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howInkAnnotation="0" codeName="ThisWorkbook" defaultThemeVersion="124226"/>
  <mc:AlternateContent xmlns:mc="http://schemas.openxmlformats.org/markup-compatibility/2006">
    <mc:Choice Requires="x15">
      <x15ac:absPath xmlns:x15ac="http://schemas.microsoft.com/office/spreadsheetml/2010/11/ac" url="C:\Users\SotiriaIgnatiadou\Downloads\"/>
    </mc:Choice>
  </mc:AlternateContent>
  <xr:revisionPtr revIDLastSave="0" documentId="13_ncr:1_{746C934D-0351-4E55-88A7-8E2B5ABB91D2}" xr6:coauthVersionLast="47" xr6:coauthVersionMax="47" xr10:uidLastSave="{00000000-0000-0000-0000-000000000000}"/>
  <workbookProtection workbookAlgorithmName="SHA-512" workbookHashValue="B2EDkXggEm1MKLy3Si0/nlFNiRRunYlelql3wnFtg0y9RZWSrlLQl9jh3aq8hMuQl/4gFqVpFlT/Y79m2go44A==" workbookSaltValue="cYxR4BqE7yCGG3eVaNuQTQ==" workbookSpinCount="100000" lockStructure="1"/>
  <bookViews>
    <workbookView xWindow="2760" yWindow="2895" windowWidth="21480" windowHeight="17760" tabRatio="722" activeTab="2" xr2:uid="{00000000-000D-0000-FFFF-FFFF00000000}"/>
  </bookViews>
  <sheets>
    <sheet name="Assessment Details" sheetId="3" r:id="rId1"/>
    <sheet name="Assessment Rating &amp; KPIs" sheetId="5" r:id="rId2"/>
    <sheet name="Assessment Issue Scoring" sheetId="1" r:id="rId3"/>
    <sheet name="Assessment Data" sheetId="6" state="hidden" r:id="rId4"/>
    <sheet name="Assessment References" sheetId="4" r:id="rId5"/>
    <sheet name="Version Control" sheetId="8" r:id="rId6"/>
  </sheets>
  <definedNames>
    <definedName name="_ene01">'Assessment Issue Scoring'!$S$1809</definedName>
    <definedName name="_Man01">'Assessment Issue Scoring'!$Z$1684</definedName>
    <definedName name="_Pol02">'Assessment Issue Scoring'!$Z$1536</definedName>
    <definedName name="AD_AD">'Assessment Details'!#REF!</definedName>
    <definedName name="AD_Add01">'Assessment Details'!$J$22</definedName>
    <definedName name="AD_Add02">'Assessment Details'!$J$24</definedName>
    <definedName name="AD_Add03">'Assessment Details'!$J$32</definedName>
    <definedName name="AD_Add04">'Assessment Details'!$J$28</definedName>
    <definedName name="AD_Air">'Assessment Details'!$Z$156</definedName>
    <definedName name="AD_Air_con">'Assessment Details'!$Z$160</definedName>
    <definedName name="AD_Aircon_list">'Assessment Details'!$Z$160:$Z$163</definedName>
    <definedName name="AD_Architect">'Assessment Details'!$J$102</definedName>
    <definedName name="AD_assessor">'Assessment Details'!$J$13</definedName>
    <definedName name="AD_Assessor_org">'Assessment Details'!$J$17</definedName>
    <definedName name="AD_Banner">'Assessment Details'!$B$2</definedName>
    <definedName name="AD_BREEAM_stage">'Assessment Details'!$Z$188</definedName>
    <definedName name="AD_BREEAM_version">'Assessment Details'!$AB$158</definedName>
    <definedName name="AD_BREEAMAP">'Assessment Details'!$J$108</definedName>
    <definedName name="AD_Buildserve">'Assessment Details'!$J$106</definedName>
    <definedName name="AD_Builduser">'Assessment Details'!$J$11</definedName>
    <definedName name="AD_catleve">'Assessment Details'!$Z$180</definedName>
    <definedName name="AD_catlevel">'Assessment Details'!$J$76</definedName>
    <definedName name="AD_catlevel01">'Assessment Details'!$Z$183</definedName>
    <definedName name="AD_catlevel02">'Assessment Details'!$Z$184</definedName>
    <definedName name="AD_catlevel03">'Assessment Details'!$Z$185</definedName>
    <definedName name="AD_catlevel1">'Assessment Details'!$J$76</definedName>
    <definedName name="AD_client">'Assessment Details'!$J$9</definedName>
    <definedName name="AD_climate">'Assessment Details'!$J$56</definedName>
    <definedName name="AD_comfort_cool">'Assessment Details'!$Z$161</definedName>
    <definedName name="AD_Contractor">'Assessment Details'!$J$100</definedName>
    <definedName name="AD_control_none">'Assessment Details'!$Z$172</definedName>
    <definedName name="AD_control_other">'Assessment Details'!$Z$171</definedName>
    <definedName name="AD_control_standard">'Assessment Details'!$Z$170</definedName>
    <definedName name="AD_controls">'Assessment Details'!$J$64</definedName>
    <definedName name="AD_controls_list">'Assessment Details'!$Z$170:$Z$172</definedName>
    <definedName name="AD_cool">'Assessment Details'!$J$60</definedName>
    <definedName name="AD_Cool_other">'Assessment Details'!$Z$162</definedName>
    <definedName name="AD_Country">'Assessment Details'!$J$34</definedName>
    <definedName name="AD_country_list">'Assessment Details'!$Z$150:$Z$153</definedName>
    <definedName name="AD_County">'Assessment Details'!$J$30</definedName>
    <definedName name="AD_Developer">'Assessment Details'!$J$98</definedName>
    <definedName name="AD_DHWS">'Assessment Details'!$J$62</definedName>
    <definedName name="AD_ene03_opt">'Assessment Details'!$Z$235:$Z$236</definedName>
    <definedName name="AD_ene03_select">'Assessment Details'!$J$88</definedName>
    <definedName name="AD_England">'Assessment Details'!$Z$150</definedName>
    <definedName name="AD_GIA">'Assessment Details'!$J$40</definedName>
    <definedName name="AD_HCoption_YesNo_list">'Assessment Details'!$Z$202:$Z$203</definedName>
    <definedName name="AD_heat">'Assessment Details'!$J$58</definedName>
    <definedName name="AD_Heat_None">'Assessment Details'!$Z$158</definedName>
    <definedName name="AD_Heat_other">'Assessment Details'!$Z$157</definedName>
    <definedName name="AD_heating_list">'Assessment Details'!$Z$155:$Z$158</definedName>
    <definedName name="AD_hotwater_list">'Assessment Details'!$Z$165:$Z$168</definedName>
    <definedName name="AD_HW_central">'Assessment Details'!$Z$165</definedName>
    <definedName name="AD_HW_None">'Assessment Details'!$Z$168</definedName>
    <definedName name="AD_HW_Other">'Assessment Details'!$Z$167</definedName>
    <definedName name="AD_HW_POU">'Assessment Details'!$Z$166</definedName>
    <definedName name="AD_INDoption_YesNo_list">'Assessment Details'!$Z$198:$Z$199</definedName>
    <definedName name="AD_labcat_list">'Assessment Details'!$Z$183:$Z$186</definedName>
    <definedName name="AD_Labsize">'Assessment Details'!$J$74</definedName>
    <definedName name="AD_Labsize_list">'Assessment Details'!$Z$178:$Z$181</definedName>
    <definedName name="AD_Labsize01">'Assessment Details'!$Z$179</definedName>
    <definedName name="AD_Labsize02">'Assessment Details'!$Z$180</definedName>
    <definedName name="AD_Labsize03">'Assessment Details'!$Z$181</definedName>
    <definedName name="AD_labsize04">'Assessment Details'!$Z$178</definedName>
    <definedName name="AD_Large_urban">'Assessment Details'!$Z$192</definedName>
    <definedName name="AD_Location">'Assessment Details'!$J$54</definedName>
    <definedName name="AD_location_list">'Assessment Details'!$Z$190:$Z$196</definedName>
    <definedName name="AD_London">'Assessment Details'!$Z$190</definedName>
    <definedName name="AD_mandatory_fields">'Assessment Details'!$AB$165:$AB$193</definedName>
    <definedName name="AD_Mandatory_fields_check">'Assessment Details'!$AB$195</definedName>
    <definedName name="AD_Mandatory_fields_text">'Assessment Details'!$B$3</definedName>
    <definedName name="AD_med_urban">'Assessment Details'!$Z$193</definedName>
    <definedName name="AD_Met">'Assessment Details'!$Z$191</definedName>
    <definedName name="AD_MultiRes_option_YesNo">'Assessment Details'!$Z$205:$Z$206</definedName>
    <definedName name="AD_MultiRes_option01">'Assessment Details'!$J$90</definedName>
    <definedName name="AD_MultiRes_option01a">'Assessment Details'!$Z$205</definedName>
    <definedName name="AD_MultiRes_option01b">'Assessment Details'!$Z$206</definedName>
    <definedName name="AD_MultiRes_option02">'Assessment Details'!$J$92</definedName>
    <definedName name="AD_NIFA">'Assessment Details'!$J$42</definedName>
    <definedName name="AD_no">'Assessment Details'!$Z$175</definedName>
    <definedName name="AD_nolab">'Assessment Details'!$Z$186</definedName>
    <definedName name="AD_none">'Assessment Details'!$Z$163</definedName>
    <definedName name="AD_Norther_Ireland">'Assessment Details'!$Z$153</definedName>
    <definedName name="AD_option_na">'Assessment Details'!$Z$176</definedName>
    <definedName name="AD_Other01">'Assessment Details'!$J$110</definedName>
    <definedName name="AD_Other02">'Assessment Details'!$J$112</definedName>
    <definedName name="AD_other03">'Assessment Details'!$J$114</definedName>
    <definedName name="AD_Other04">'Assessment Details'!$J$116</definedName>
    <definedName name="AD_PC">'Assessment Details'!#REF!</definedName>
    <definedName name="AD_percentage">'Assessment Details'!$AB$198:$AB$298</definedName>
    <definedName name="AD_project_list">'Assessment Details'!$AB$153:$AB$155</definedName>
    <definedName name="AD_Projman">'Assessment Details'!$J$104</definedName>
    <definedName name="AD_ref">'Assessment Details'!$J$7</definedName>
    <definedName name="AD_refrig">'Assessment Details'!$J$70</definedName>
    <definedName name="AD_rural">'Assessment Details'!$Z$196</definedName>
    <definedName name="AD_scheme">'Assessment Details'!$J$44</definedName>
    <definedName name="AD_SchIss">'Assessment Details'!$J$48</definedName>
    <definedName name="AD_SDNo_list">'Assessment Details'!$AB$203</definedName>
    <definedName name="AD_Shell_Only">'Assessment Details'!$Z$222</definedName>
    <definedName name="AD_small_urban">'Assessment Details'!$Z$195</definedName>
    <definedName name="AD_smallmed_urban">'Assessment Details'!$Z$194</definedName>
    <definedName name="AD_stage_list">'Assessment Details'!$AB$150:$AB$151</definedName>
    <definedName name="AD_statement02">'Assessment Details'!$Z$143</definedName>
    <definedName name="AD_statement03">'Assessment Details'!$Z$145</definedName>
    <definedName name="AD_Statement04">'Assessment Details'!$Z$146</definedName>
    <definedName name="AD_statement05">'Assessment Details'!$Z$147</definedName>
    <definedName name="AD_statement06">'Assessment Details'!$Z$148</definedName>
    <definedName name="AD_subtype_list">'Assessment Details'!$AD$164:$AD$190</definedName>
    <definedName name="AD_Tra01option">'Assessment Issue Scoring'!$Z$2017:$Z$2029</definedName>
    <definedName name="AD_tra01option01">'Assessment Issue Scoring'!$Z$2017:$AA$2027</definedName>
    <definedName name="AD_tra01type">'Assessment Issue Scoring'!$J$657</definedName>
    <definedName name="AD_Trans">'Assessment Details'!$J$72</definedName>
    <definedName name="AD_type_list">'Assessment Details'!$AD$150:$AD$161</definedName>
    <definedName name="AD_Vehiclewash">'Assessment Details'!$J$80</definedName>
    <definedName name="AD_version">'Assessment Details'!$J$46</definedName>
    <definedName name="AD_Wales">'Assessment Details'!$Z$151</definedName>
    <definedName name="AD_Wat10">'Assessment Details'!$J$68</definedName>
    <definedName name="AD_Wet">'Assessment Details'!$Z$155</definedName>
    <definedName name="AD_Yes">'Assessment Details'!$Z$174</definedName>
    <definedName name="AD_YesNo">'Assessment Details'!$Z$174:$Z$175</definedName>
    <definedName name="AD_YesNo_list">'Assessment Details'!$Z$174:$Z$176</definedName>
    <definedName name="ADAS0">'Assessment Details'!$J$52</definedName>
    <definedName name="ADAS01">'Assessment Details'!$AB$150</definedName>
    <definedName name="ADAS02">'Assessment Details'!$AB$151</definedName>
    <definedName name="ADBN">'Assessment Details'!$J$20</definedName>
    <definedName name="ADBT_sub01">'Assessment Details'!$J$38</definedName>
    <definedName name="ADBT_sub02">'Assessment Details'!#REF!</definedName>
    <definedName name="ADBT_sub03">'Assessment Details'!#REF!</definedName>
    <definedName name="ADBT_sub04">'Assessment Details'!#REF!</definedName>
    <definedName name="ADBT_sub05">'Assessment Details'!#REF!</definedName>
    <definedName name="ADBT_sub06">'Assessment Details'!$AD$164</definedName>
    <definedName name="ADBT_sub07">'Assessment Details'!$AD$165</definedName>
    <definedName name="ADBT_sub08">'Assessment Details'!$AD$166</definedName>
    <definedName name="ADBT_sub09">'Assessment Details'!$AD$167</definedName>
    <definedName name="ADBT_sub10">'Assessment Details'!$AD$168</definedName>
    <definedName name="ADBT_sub11">'Assessment Details'!$AD$169</definedName>
    <definedName name="ADBT_sub12">'Assessment Details'!$AD$170</definedName>
    <definedName name="ADBT_sub13">'Assessment Details'!$AD$171</definedName>
    <definedName name="ADBT_sub14">'Assessment Details'!$AD$172</definedName>
    <definedName name="ADBT_sub15">'Assessment Details'!#REF!</definedName>
    <definedName name="ADBT_sub16">'Assessment Details'!#REF!</definedName>
    <definedName name="ADBT_sub17">'Assessment Details'!#REF!</definedName>
    <definedName name="ADBT_sub18">'Assessment Details'!#REF!</definedName>
    <definedName name="ADBT_sub19">'Assessment Details'!#REF!</definedName>
    <definedName name="ADBT_sub20">'Assessment Details'!#REF!</definedName>
    <definedName name="ADBT_sub21">'Assessment Details'!$AD$222</definedName>
    <definedName name="ADBT_sub22">'Assessment Details'!$AD$173</definedName>
    <definedName name="ADBT_sub23">'Assessment Details'!$AD$174</definedName>
    <definedName name="ADBT_sub24">'Assessment Details'!$AD$175</definedName>
    <definedName name="ADBT_sub25">'Assessment Details'!#REF!</definedName>
    <definedName name="ADBT_sub26">'Assessment Details'!#REF!</definedName>
    <definedName name="ADBT_sub27">'Assessment Details'!#REF!</definedName>
    <definedName name="ADBT_sub28">'Assessment Details'!$AD$189</definedName>
    <definedName name="ADBT_sub29">'Assessment Details'!$AD$190</definedName>
    <definedName name="ADBT_sub30">'Assessment Details'!$AD$191</definedName>
    <definedName name="ADBT_sub31">'Assessment Details'!$AD$192</definedName>
    <definedName name="ADBT_sub32">'Assessment Details'!$AD$193</definedName>
    <definedName name="ADBT_sub33">'Assessment Details'!$AD$194</definedName>
    <definedName name="ADBT_sub34">'Assessment Details'!$AD$195</definedName>
    <definedName name="ADBT_sub35">'Assessment Details'!$AD$196</definedName>
    <definedName name="ADBT_sub36">'Assessment Details'!$AD$197</definedName>
    <definedName name="ADBT_sub37">'Assessment Details'!$AD$201</definedName>
    <definedName name="ADBT_sub38">'Assessment Details'!$AD$198</definedName>
    <definedName name="ADBT_sub39">'Assessment Details'!$AD$202</definedName>
    <definedName name="ADBT_sub40">'Assessment Details'!$AD$203</definedName>
    <definedName name="ADBT_sub41">'Assessment Details'!$AD$204</definedName>
    <definedName name="ADBT_sub42">'Assessment Details'!$AD$205</definedName>
    <definedName name="ADBT_sub43">'Assessment Details'!$AD$176</definedName>
    <definedName name="ADBT_sub44">'Assessment Details'!$AD$177</definedName>
    <definedName name="ADBT_sub45">'Assessment Details'!$AD$208</definedName>
    <definedName name="ADBT_sub46">'Assessment Details'!$AD$209</definedName>
    <definedName name="ADBT_sub47">'Assessment Details'!$AD$210</definedName>
    <definedName name="ADBT_sub48">'Assessment Details'!$AD$215</definedName>
    <definedName name="ADBT_sub49">'Assessment Details'!$AD$216</definedName>
    <definedName name="ADBT_sub50">'Assessment Details'!$AD$217</definedName>
    <definedName name="ADBT_sub51">'Assessment Details'!$AD$218</definedName>
    <definedName name="ADBT_sub52">'Assessment Details'!$AD$219</definedName>
    <definedName name="ADBT_sub53">'Assessment Details'!$AD$178</definedName>
    <definedName name="ADBT_sub54">'Assessment Details'!$AD$179</definedName>
    <definedName name="ADBT_sub55">'Assessment Details'!$AD$223</definedName>
    <definedName name="ADBT_sub56">'Assessment Details'!$AD$224</definedName>
    <definedName name="ADBT_sub57">'Assessment Details'!$AD$180</definedName>
    <definedName name="ADBT_sub58">'Assessment Details'!$AD$181</definedName>
    <definedName name="ADBT_sub59">'Assessment Details'!$AD$182</definedName>
    <definedName name="ADBT_sub6">'Assessment Details'!#REF!</definedName>
    <definedName name="ADBT_sub60">'Assessment Details'!$AD$183</definedName>
    <definedName name="ADBT_sub61">'Assessment Details'!$AD$184</definedName>
    <definedName name="ADBT_sub62">'Assessment Details'!$AD$185</definedName>
    <definedName name="ADBT_sub63">'Assessment Details'!$AD$186</definedName>
    <definedName name="ADBT_sub64">'Assessment Details'!$AD$187</definedName>
    <definedName name="ADBT_sub65">'Assessment Details'!$AD$188</definedName>
    <definedName name="ADBT_sub66">'Assessment Details'!$AD$199</definedName>
    <definedName name="ADBT_sub67">'Assessment Details'!$AD$211</definedName>
    <definedName name="ADBT0">'Assessment Details'!$J$36</definedName>
    <definedName name="ADBT1">'Assessment Details'!$AD$150</definedName>
    <definedName name="ADBT10">'Assessment Details'!$AD$159</definedName>
    <definedName name="ADBT11">'Assessment Details'!$AD$160</definedName>
    <definedName name="ADBT12">'Assessment Details'!$AD$161</definedName>
    <definedName name="ADBT2">'Assessment Details'!$AD$151</definedName>
    <definedName name="ADBT3">'Assessment Details'!$AD$152</definedName>
    <definedName name="ADBT4">'Assessment Details'!$AD$153</definedName>
    <definedName name="ADBT5">'Assessment Details'!$AD$156</definedName>
    <definedName name="ADBT6">'Assessment Details'!$AD$157</definedName>
    <definedName name="ADBT7">'Assessment Details'!$AD$158</definedName>
    <definedName name="ADBT8">'Assessment Details'!$AD$154</definedName>
    <definedName name="ADBT9">'Assessment Details'!$AD$155</definedName>
    <definedName name="ADE">'Assessment Details'!$J$93</definedName>
    <definedName name="ADFume_option01">'Assessment Details'!$J$78</definedName>
    <definedName name="ADHC_option01">'Assessment Details'!$J$82</definedName>
    <definedName name="ADIND_option01">'Assessment Details'!$J$84</definedName>
    <definedName name="ADIND_option02">'Assessment Details'!$J$66</definedName>
    <definedName name="ADIND_option03">'Assessment Details'!$J$95</definedName>
    <definedName name="ADPT">'Assessment Details'!$J$50</definedName>
    <definedName name="ADPT01">'Assessment Details'!$AB$153</definedName>
    <definedName name="ADPT02">'Assessment Details'!$AB$155</definedName>
    <definedName name="ADPT03">'Assessment Details'!$AB$154</definedName>
    <definedName name="AIS_Banner">'Assessment Issue Scoring'!$B$4</definedName>
    <definedName name="AIS_BREEAM_rating_level">'Assessment Issue Scoring'!$AI$1656</definedName>
    <definedName name="AIS_construction">'Assessment Issue Scoring'!$Z$1542</definedName>
    <definedName name="AIS_credit00">'Assessment Issue Scoring'!$AV$1534</definedName>
    <definedName name="AIS_credit01">'Assessment Issue Scoring'!$AV$1535</definedName>
    <definedName name="AIS_credit02">'Assessment Issue Scoring'!$AV$1536</definedName>
    <definedName name="AIS_Energy">'Assessment Issue Scoring'!$B$385</definedName>
    <definedName name="AIS_Error">'Assessment Issue Scoring'!$Z$1538</definedName>
    <definedName name="AIS_Health">'Assessment Issue Scoring'!$B$180</definedName>
    <definedName name="AIS_Innovation">'Assessment Issue Scoring'!$B$1497</definedName>
    <definedName name="AIS_LUE">'Assessment Issue Scoring'!$B$1267</definedName>
    <definedName name="AIS_Management">'Assessment Issue Scoring'!$B$17</definedName>
    <definedName name="AIS_Materials">'Assessment Issue Scoring'!$B$911</definedName>
    <definedName name="AIS_measured">'Assessment Issue Scoring'!$Z$1540</definedName>
    <definedName name="AIS_MinSt_benchmarks">'Assessment Issue Scoring'!$Y$1639:$AA$1644</definedName>
    <definedName name="AIS_Minstand">'Assessment Issue Scoring'!$AI$1640:$AI$1654</definedName>
    <definedName name="AIS_MinStand_rating_check">'Assessment Issue Scoring'!$AI$1657</definedName>
    <definedName name="AIS_MinStandMin">'Assessment Issue Scoring'!$AI$1655</definedName>
    <definedName name="AIS_Missing_data">'Assessment Issue Scoring'!$Z$1539</definedName>
    <definedName name="AIS_Modelled">'Assessment Issue Scoring'!$Z$1544</definedName>
    <definedName name="AIS_NA">'Assessment Issue Scoring'!$Z$1537</definedName>
    <definedName name="AIS_No">'Assessment Issue Scoring'!$Z$1536</definedName>
    <definedName name="AIS_option00">'Assessment Issue Scoring'!$AT$1534</definedName>
    <definedName name="AIS_option00a">'Assessment Issue Scoring'!$AT$1540</definedName>
    <definedName name="AIS_option00b">'Assessment Issue Scoring'!$AT$1546</definedName>
    <definedName name="AIS_option01">'Assessment Issue Scoring'!$AT$1535</definedName>
    <definedName name="AIS_option01a">'Assessment Issue Scoring'!$AT$1541</definedName>
    <definedName name="AIS_option01b">'Assessment Issue Scoring'!$AT$1547</definedName>
    <definedName name="AIS_option02">'Assessment Issue Scoring'!$AT$1536</definedName>
    <definedName name="AIS_option02a">'Assessment Issue Scoring'!$AT$1542</definedName>
    <definedName name="AIS_option02b">'Assessment Issue Scoring'!$AT$1548</definedName>
    <definedName name="AIS_option03">'Assessment Issue Scoring'!$AT$1537</definedName>
    <definedName name="AIS_option03a">'Assessment Issue Scoring'!$AT$1543</definedName>
    <definedName name="AIS_option03b">'Assessment Issue Scoring'!$AT$1549</definedName>
    <definedName name="AIS_option04">'Assessment Issue Scoring'!$AT$1538</definedName>
    <definedName name="AIS_option04a">'Assessment Issue Scoring'!$AT$1544</definedName>
    <definedName name="AIS_option04b">'Assessment Issue Scoring'!$AT$1550</definedName>
    <definedName name="AIS_option05">'Assessment Issue Scoring'!$AT$1539</definedName>
    <definedName name="AIS_option05a">'Assessment Issue Scoring'!$AT$1545</definedName>
    <definedName name="AIS_option05b">'Assessment Issue Scoring'!$AT$1551</definedName>
    <definedName name="AIS_option06">'Assessment Issue Scoring'!$Z$1791</definedName>
    <definedName name="AIS_option07">'Assessment Issue Scoring'!$Z$1792</definedName>
    <definedName name="AIS_option08">'Assessment Issue Scoring'!$Z$1793</definedName>
    <definedName name="AIS_option09">'Assessment Issue Scoring'!$Z$2060</definedName>
    <definedName name="AIS_option10">'Assessment Issue Scoring'!$Z$2061</definedName>
    <definedName name="AIS_option11">'Assessment Issue Scoring'!$Z$2065</definedName>
    <definedName name="AIS_option12">'Assessment Issue Scoring'!$Z$2066</definedName>
    <definedName name="AIS_option13">'Assessment Issue Scoring'!$Z$1972</definedName>
    <definedName name="AIS_option14">'Assessment Issue Scoring'!$Z$1973</definedName>
    <definedName name="AIS_option15">'Assessment Issue Scoring'!$Z$1974</definedName>
    <definedName name="AIS_option17">'Assessment Issue Scoring'!$Z$1979</definedName>
    <definedName name="AIS_option18">'Assessment Issue Scoring'!$Z$1980</definedName>
    <definedName name="AIS_option19">'Assessment Issue Scoring'!$Z$1982</definedName>
    <definedName name="AIS_option20">'Assessment Issue Scoring'!$Z$1983</definedName>
    <definedName name="AIS_option21">'Assessment Issue Scoring'!$Z$1984</definedName>
    <definedName name="AIS_option22">'Assessment Issue Scoring'!$Z$2012</definedName>
    <definedName name="AIS_option24">'Assessment Issue Scoring'!$Z$2013</definedName>
    <definedName name="AIS_option25">'Assessment Issue Scoring'!$Z$1790</definedName>
    <definedName name="AIS_percentrange">'Assessment Issue Scoring'!$AB$1534:$AB$1635</definedName>
    <definedName name="AIS_Pollution">'Assessment Issue Scoring'!$B$1376</definedName>
    <definedName name="AIS_Shell_option01">'Assessment Issue Scoring'!$AT$1535:$AT$1539</definedName>
    <definedName name="AIS_shell_option02">'Assessment Issue Scoring'!$AT$1541:$AT$1545</definedName>
    <definedName name="AIS_shell_option03">'Assessment Issue Scoring'!$AT$1547:$AT$1551</definedName>
    <definedName name="AIS_Stage">'Assessment Issue Scoring'!$J$87</definedName>
    <definedName name="AIS_stage00">'Assessment Issue Scoring'!$AG$1534</definedName>
    <definedName name="AIS_stage01">'Assessment Issue Scoring'!$AG$1535</definedName>
    <definedName name="AIS_stage02">'Assessment Issue Scoring'!$AG$1536</definedName>
    <definedName name="AIS_Statement_108">'Assessment Issue Scoring'!$Z$1783</definedName>
    <definedName name="AIS_Statement_109">'Assessment Issue Scoring'!$Z$1784</definedName>
    <definedName name="AIS_Statement_110">'Assessment Issue Scoring'!$Z$1785</definedName>
    <definedName name="AIS_Statement_111">'Assessment Issue Scoring'!$Z$1786</definedName>
    <definedName name="AIS_Statement_112">'Assessment Issue Scoring'!$Z$1787</definedName>
    <definedName name="AIS_statement_113">'Assessment Rating &amp; KPIs'!$AA$13</definedName>
    <definedName name="AIS_Statement_98">'Assessment Issue Scoring'!$Z$1786</definedName>
    <definedName name="AIS_statement01">'Assessment Issue Scoring'!$Z$1746</definedName>
    <definedName name="AIS_statement02">'Assessment Issue Scoring'!$Z$1682</definedName>
    <definedName name="AIS_statement03">'Assessment Issue Scoring'!$Z$1748</definedName>
    <definedName name="AIS_statement04">'Assessment Issue Scoring'!$Z$1683</definedName>
    <definedName name="AIS_statement05">'Assessment Issue Scoring'!$Z$1684</definedName>
    <definedName name="AIS_statement06">'Assessment Issue Scoring'!$Z$1686</definedName>
    <definedName name="AIS_statement08">'Assessment Issue Scoring'!$Z$1691</definedName>
    <definedName name="AIS_statement09">'Assessment Details'!$Z$144</definedName>
    <definedName name="AIS_statement10">'Assessment Issue Scoring'!$Z$1745</definedName>
    <definedName name="AIS_Statement101">'Assessment Issue Scoring'!$Z$1769</definedName>
    <definedName name="AIS_Statement102">'Assessment Issue Scoring'!$Z$1777</definedName>
    <definedName name="AIS_Statement103">'Assessment Issue Scoring'!$Z$1778</definedName>
    <definedName name="AIS_Statement104">'Assessment Issue Scoring'!$Z$1779</definedName>
    <definedName name="AIS_Statement105">'Assessment Issue Scoring'!$Z$1780</definedName>
    <definedName name="AIS_Statement106">'Assessment Issue Scoring'!$Z$1781</definedName>
    <definedName name="AIS_statement107">'Assessment Issue Scoring'!$Z$1782</definedName>
    <definedName name="AIS_statement11">'Assessment Issue Scoring'!$Z$1744</definedName>
    <definedName name="AIS_statement12">'Assessment Issue Scoring'!$Z$1692</definedName>
    <definedName name="AIS_statement15">'Assessment Issue Scoring'!$Z$1693</definedName>
    <definedName name="AIS_statement16">'Assessment Issue Scoring'!$Z$1694</definedName>
    <definedName name="AIS_statement17">'Assessment Issue Scoring'!$Z$1695</definedName>
    <definedName name="AIS_statement18">'Assessment Issue Scoring'!$Z$1696</definedName>
    <definedName name="AIS_statement19">'Assessment Issue Scoring'!$Z$1697</definedName>
    <definedName name="AIS_statement20">'Assessment Issue Scoring'!$Z$1698</definedName>
    <definedName name="AIS_statement21">'Assessment Issue Scoring'!$Z$2063</definedName>
    <definedName name="AIS_statement22">'Assessment Issue Scoring'!$Z$1699</definedName>
    <definedName name="AIS_statement23">'Assessment Issue Scoring'!$Z$1976</definedName>
    <definedName name="AIS_statement24">'Assessment Issue Scoring'!$Z$1700</definedName>
    <definedName name="AIS_statement25">'Assessment Issue Scoring'!$Z$1701</definedName>
    <definedName name="AIS_statement26">'Assessment Issue Scoring'!$Z$1749</definedName>
    <definedName name="AIS_statement27">'Assessment Issue Scoring'!$Z$1702</definedName>
    <definedName name="AIS_statement28">'Assessment Issue Scoring'!$Z$1703</definedName>
    <definedName name="AIS_statement29">'Assessment Details'!$Z$142</definedName>
    <definedName name="AIS_statement30">'Assessment Issue Scoring'!$Z$1704</definedName>
    <definedName name="AIS_statement31">'Assessment Issue Scoring'!$Z$1705</definedName>
    <definedName name="AIS_statement32">'Assessment Issue Scoring'!$Z$1750</definedName>
    <definedName name="AIS_statement33">'Assessment Issue Scoring'!$Z$1706</definedName>
    <definedName name="AIS_statement34">'Assessment Issue Scoring'!$Z$1712</definedName>
    <definedName name="AIS_statement35">'Assessment Issue Scoring'!$Z$1713</definedName>
    <definedName name="AIS_statement36">'Assessment Issue Scoring'!$Z$1714</definedName>
    <definedName name="AIS_statement37">'Assessment Issue Scoring'!$Z$1715</definedName>
    <definedName name="AIS_statement38">'Assessment Issue Scoring'!$Z$1707</definedName>
    <definedName name="AIS_statement39">'Assessment Issue Scoring'!$Z$1708</definedName>
    <definedName name="AIS_statement40">'Assessment Issue Scoring'!$Z$1709</definedName>
    <definedName name="AIS_statement41">'Assessment Issue Scoring'!$Z$1710</definedName>
    <definedName name="AIS_statement42">'Assessment Issue Scoring'!$Z$1711</definedName>
    <definedName name="AIS_statement43">'Assessment Issue Scoring'!$Z$1716</definedName>
    <definedName name="AIS_statement44">'Assessment Issue Scoring'!$Z$1718</definedName>
    <definedName name="AIS_statement45">'Assessment Issue Scoring'!$Z$1727</definedName>
    <definedName name="AIS_statement46">'Assessment Issue Scoring'!$Z$1728</definedName>
    <definedName name="AIS_statement47">'Assessment Issue Scoring'!$Z$1719</definedName>
    <definedName name="AIS_statement48">'Assessment Issue Scoring'!$Z$1721</definedName>
    <definedName name="AIS_statement49">'Assessment Issue Scoring'!$Z$1722</definedName>
    <definedName name="AIS_statement50">'Assessment Issue Scoring'!$Z$1723</definedName>
    <definedName name="AIS_statement51">'Assessment Issue Scoring'!$Z$1724</definedName>
    <definedName name="AIS_statement52">'Assessment Issue Scoring'!$Z$1720</definedName>
    <definedName name="AIS_statement53">'Assessment Issue Scoring'!$Z$1725</definedName>
    <definedName name="AIS_statement54">'Assessment Issue Scoring'!$Z$1726</definedName>
    <definedName name="AIS_statement55">'Assessment Issue Scoring'!$Z$1732</definedName>
    <definedName name="AIS_statement56">'Assessment Issue Scoring'!$Z$1733</definedName>
    <definedName name="AIS_statement57">'Assessment Issue Scoring'!$Z$1747</definedName>
    <definedName name="AIS_statement58">'Assessment Issue Scoring'!$Z$1734</definedName>
    <definedName name="AIS_statement59">'Assessment Issue Scoring'!$Z$1735</definedName>
    <definedName name="AIS_statement60">'Assessment Issue Scoring'!$Z$1736</definedName>
    <definedName name="AIS_statement61">'Assessment Issue Scoring'!$Z$1737</definedName>
    <definedName name="AIS_statement62">'Assessment Issue Scoring'!$Z$1729</definedName>
    <definedName name="AIS_statement63">'Assessment Issue Scoring'!$Z$1730</definedName>
    <definedName name="AIS_statement64">'Assessment Issue Scoring'!$Z$1731</definedName>
    <definedName name="AIS_statement65">'Assessment Issue Scoring'!$Z$1751</definedName>
    <definedName name="AIS_statement66">'Assessment Issue Scoring'!$Z$1752</definedName>
    <definedName name="AIS_statement67">'Assessment Issue Scoring'!$Z$1741</definedName>
    <definedName name="AIS_statement68">'Assessment Issue Scoring'!$Z$1742</definedName>
    <definedName name="AIS_statement69">'Assessment Issue Scoring'!$Z$1743</definedName>
    <definedName name="AIS_statement70">'Assessment Issue Scoring'!$Z$1738</definedName>
    <definedName name="AIS_statement71">'Assessment Issue Scoring'!$Z$1739</definedName>
    <definedName name="AIS_statement72">'Assessment Issue Scoring'!$Z$1740</definedName>
    <definedName name="AIS_statement73">'Assessment Issue Scoring'!$Z$1717</definedName>
    <definedName name="AIS_statement74">'Assessment Issue Scoring'!$Z$1753</definedName>
    <definedName name="AIS_statement75">'Assessment Issue Scoring'!$Z$1754</definedName>
    <definedName name="AIS_statement76">'Assessment Issue Scoring'!$Z$1755</definedName>
    <definedName name="AIS_statement77">'Assessment Issue Scoring'!$Z$1756</definedName>
    <definedName name="AIS_statement78">'Assessment Issue Scoring'!$Z$1757</definedName>
    <definedName name="AIS_statement79">'Assessment Issue Scoring'!$Z$1758</definedName>
    <definedName name="AIS_statement80">'Assessment Issue Scoring'!$Z$1759</definedName>
    <definedName name="AIS_Statement81">'Assessment Issue Scoring'!$Z$1760</definedName>
    <definedName name="AIS_statement82">'Assessment Issue Scoring'!$Z$1761</definedName>
    <definedName name="AIS_statement83">'Assessment Issue Scoring'!$Z$1762</definedName>
    <definedName name="AIS_statement84">'Assessment Issue Scoring'!$Z$1763</definedName>
    <definedName name="AIS_statement85">'Assessment Issue Scoring'!$Z$1764</definedName>
    <definedName name="AIS_statement86">'Assessment Issue Scoring'!$Z$1765</definedName>
    <definedName name="AIS_statement87">'Assessment Issue Scoring'!$Z$1766</definedName>
    <definedName name="AIS_Statement88">'Assessment Issue Scoring'!$Z$1767</definedName>
    <definedName name="AIS_statement90">'Assessment Issue Scoring'!$Z$1768</definedName>
    <definedName name="AIS_statement91">'Assessment Issue Scoring'!$Z$1770</definedName>
    <definedName name="AIS_statement92">'Assessment Issue Scoring'!$Z$1771</definedName>
    <definedName name="AIS_statement93">'Assessment Issue Scoring'!$Z$1772</definedName>
    <definedName name="AIS_statement94">'Assessment Issue Scoring'!$Z$1773</definedName>
    <definedName name="AIS_Statement95">'Assessment Issue Scoring'!$Z$1774</definedName>
    <definedName name="AIS_statement96">'Assessment Issue Scoring'!$Z$1775</definedName>
    <definedName name="AIS_statement97">'Assessment Issue Scoring'!$Z$1776</definedName>
    <definedName name="AIS_statement98">'Assessment Issue Scoring'!$Z$1689</definedName>
    <definedName name="AIS_statement99">'Assessment Issue Scoring'!$Z$1690</definedName>
    <definedName name="AIS_target">'Assessment Issue Scoring'!$Z$1541</definedName>
    <definedName name="AIS_Tra01_Type">'Assessment Issue Scoring'!$AD$2028</definedName>
    <definedName name="AIS_Transport">'Assessment Issue Scoring'!$B$649</definedName>
    <definedName name="AIS_units01">'Assessment Issue Scoring'!$AD$1534</definedName>
    <definedName name="AIS_units02">'Assessment Issue Scoring'!$AD$1535</definedName>
    <definedName name="AIS_units03">'Assessment Issue Scoring'!$AD$1536</definedName>
    <definedName name="AIS_units04">'Assessment Issue Scoring'!$AD$1537</definedName>
    <definedName name="AIS_units05">'Assessment Issue Scoring'!$AD$1538</definedName>
    <definedName name="AIS_units06">'Assessment Issue Scoring'!$AD$1539</definedName>
    <definedName name="AIS_units07">'Assessment Issue Scoring'!$AD$1540</definedName>
    <definedName name="AIS_units08">'Assessment Issue Scoring'!$AD$1541</definedName>
    <definedName name="AIS_units09">'Assessment Issue Scoring'!$AD$1542</definedName>
    <definedName name="AIS_units10">'Assessment Issue Scoring'!$AD$1543</definedName>
    <definedName name="AIS_units11">'Assessment Issue Scoring'!$AD$1544</definedName>
    <definedName name="AIS_units12">'Assessment Issue Scoring'!$AD$1545</definedName>
    <definedName name="AIS_units13">'Assessment Issue Scoring'!$AD$1546</definedName>
    <definedName name="AIS_units14">'Assessment Issue Scoring'!$AD$1547</definedName>
    <definedName name="AIS_units15">'Assessment Issue Scoring'!$AD$1548</definedName>
    <definedName name="AIS_units16">'Assessment Issue Scoring'!$AD$1549</definedName>
    <definedName name="AIS_units17">'Assessment Issue Scoring'!$AD$1550</definedName>
    <definedName name="AIS_units18">'Assessment Issue Scoring'!$AD$1551</definedName>
    <definedName name="AIS_units19">'Assessment Issue Scoring'!$AD$1553</definedName>
    <definedName name="AIS_units20">'Assessment Issue Scoring'!$AD$1554</definedName>
    <definedName name="AIS_units21">'Assessment Issue Scoring'!$AD$1552</definedName>
    <definedName name="AIS_units22">'Assessment Issue Scoring'!$AD$1555</definedName>
    <definedName name="AIS_units23">'Assessment Issue Scoring'!$AD$1556</definedName>
    <definedName name="AIS_units24">'Assessment Issue Scoring'!$AD$1557</definedName>
    <definedName name="AIS_units25">'Assessment Issue Scoring'!$AD$1558</definedName>
    <definedName name="AIS_units26">'Assessment Issue Scoring'!$AD$1559</definedName>
    <definedName name="AIS_units27">'Assessment Issue Scoring'!$AD$1560</definedName>
    <definedName name="AIS_units28">'Assessment Issue Scoring'!$AD$1561</definedName>
    <definedName name="AIS_use">'Assessment Issue Scoring'!$Z$1543</definedName>
    <definedName name="AIS_Waste">'Assessment Issue Scoring'!$B$1074</definedName>
    <definedName name="AIS_Water">'Assessment Issue Scoring'!$B$808</definedName>
    <definedName name="AIS_Yes">'Assessment Issue Scoring'!$Z$1535</definedName>
    <definedName name="AISStage">'Assessment Issue Scoring'!$J$87</definedName>
    <definedName name="AR_Banner">'Assessment References'!$B$2</definedName>
    <definedName name="AR_credit_list">'Assessment References'!$X$205:$X$359</definedName>
    <definedName name="Assessment_data">'Assessment Data'!$A$6:$HP$6</definedName>
    <definedName name="BP_01">'Assessment Rating &amp; KPIs'!$J$17</definedName>
    <definedName name="BP_02">'Assessment Rating &amp; KPIs'!$J$19</definedName>
    <definedName name="BP_03">'Assessment Rating &amp; KPIs'!$J$21</definedName>
    <definedName name="BP_04">'Assessment Rating &amp; KPIs'!$J$23</definedName>
    <definedName name="BP_05">'Assessment Rating &amp; KPIs'!$J$25</definedName>
    <definedName name="BP_06">'Assessment Rating &amp; KPIs'!$J$27</definedName>
    <definedName name="BP_07">'Assessment Rating &amp; KPIs'!$J$29</definedName>
    <definedName name="BP_08">'Assessment Rating &amp; KPIs'!$J$31</definedName>
    <definedName name="BP_09">'Assessment Rating &amp; KPIs'!$J$33</definedName>
    <definedName name="BP_10">'Assessment Rating &amp; KPIs'!$J$35</definedName>
    <definedName name="BP_11">'Assessment Rating &amp; KPIs'!$L$17</definedName>
    <definedName name="BP_12">'Assessment Rating &amp; KPIs'!$L$19</definedName>
    <definedName name="BP_13">'Assessment Rating &amp; KPIs'!$L$21</definedName>
    <definedName name="BP_14">'Assessment Rating &amp; KPIs'!$L$23</definedName>
    <definedName name="BP_15">'Assessment Rating &amp; KPIs'!$L$25</definedName>
    <definedName name="BP_16">'Assessment Rating &amp; KPIs'!$L$27</definedName>
    <definedName name="BP_17">'Assessment Rating &amp; KPIs'!$L$28</definedName>
    <definedName name="BP_18">'Assessment Rating &amp; KPIs'!$L$29</definedName>
    <definedName name="BP_19">'Assessment Rating &amp; KPIs'!$L$31</definedName>
    <definedName name="BP_20">'Assessment Rating &amp; KPIs'!$L$33</definedName>
    <definedName name="BP_21">'Assessment Rating &amp; KPIs'!$L$35</definedName>
    <definedName name="BP_22">'Assessment Rating &amp; KPIs'!$N$17</definedName>
    <definedName name="BP_23">'Assessment Rating &amp; KPIs'!$N$19</definedName>
    <definedName name="BP_24">'Assessment Rating &amp; KPIs'!$N$21</definedName>
    <definedName name="BP_25">'Assessment Rating &amp; KPIs'!$N$23</definedName>
    <definedName name="BP_26">'Assessment Rating &amp; KPIs'!$N$25</definedName>
    <definedName name="BP_27">'Assessment Rating &amp; KPIs'!$N$27</definedName>
    <definedName name="BP_28">'Assessment Rating &amp; KPIs'!$N$29</definedName>
    <definedName name="BP_29">'Assessment Rating &amp; KPIs'!$N$31</definedName>
    <definedName name="BP_30">'Assessment Rating &amp; KPIs'!$N$33</definedName>
    <definedName name="BP_31">'Assessment Rating &amp; KPIs'!$N$35</definedName>
    <definedName name="BP_32">'Assessment Rating &amp; KPIs'!$P$17</definedName>
    <definedName name="BP_33">'Assessment Rating &amp; KPIs'!$P$19</definedName>
    <definedName name="BP_34">'Assessment Rating &amp; KPIs'!$P$21</definedName>
    <definedName name="BP_35">'Assessment Rating &amp; KPIs'!$P$23</definedName>
    <definedName name="BP_36">'Assessment Rating &amp; KPIs'!$P$25</definedName>
    <definedName name="BP_38">'Assessment Rating &amp; KPIs'!$P$27</definedName>
    <definedName name="BP_39">'Assessment Rating &amp; KPIs'!$P$29</definedName>
    <definedName name="BP_40">'Assessment Rating &amp; KPIs'!$P$31</definedName>
    <definedName name="BP_41">'Assessment Rating &amp; KPIs'!$P$33</definedName>
    <definedName name="BP_42">'Assessment Rating &amp; KPIs'!$P$35</definedName>
    <definedName name="BP_BREEAAMRating">'Assessment Rating &amp; KPIs'!$S$8</definedName>
    <definedName name="BP_BREEAMRating">'Assessment Rating &amp; KPIs'!$F$8</definedName>
    <definedName name="BP_Energy_score">'Assessment Rating &amp; KPIs'!$R$21</definedName>
    <definedName name="BP_HW_score">'Assessment Rating &amp; KPIs'!$R$19</definedName>
    <definedName name="BP_Innovation_score">'Assessment Rating &amp; KPIs'!$R$35</definedName>
    <definedName name="BP_KPI01">'Assessment Rating &amp; KPIs'!$L$39</definedName>
    <definedName name="BP_KPI02">'Assessment Rating &amp; KPIs'!$P$39</definedName>
    <definedName name="BP_KPI03">'Assessment Rating &amp; KPIs'!$L$43</definedName>
    <definedName name="BP_KPI04">'Assessment Rating &amp; KPIs'!$P$43</definedName>
    <definedName name="BP_KPI05">'Assessment Rating &amp; KPIs'!$L$45</definedName>
    <definedName name="BP_KPI06">'Assessment Rating &amp; KPIs'!$P$45</definedName>
    <definedName name="BP_KPI07">'Assessment Rating &amp; KPIs'!$L$41</definedName>
    <definedName name="BP_KPI08">'Assessment Rating &amp; KPIs'!$P$41</definedName>
    <definedName name="BP_KPI09">'Assessment Rating &amp; KPIs'!$L$49</definedName>
    <definedName name="BP_KPI10">'Assessment Rating &amp; KPIs'!$P$49</definedName>
    <definedName name="BP_KPI11">'Assessment Rating &amp; KPIs'!$L$55</definedName>
    <definedName name="BP_KPI12">'Assessment Rating &amp; KPIs'!$P$55</definedName>
    <definedName name="BP_KPI13">'Assessment Rating &amp; KPIs'!$L$57</definedName>
    <definedName name="BP_KPI14">'Assessment Rating &amp; KPIs'!$P$57</definedName>
    <definedName name="BP_KPI15">'Assessment Rating &amp; KPIs'!$L$51</definedName>
    <definedName name="BP_KPI16">'Assessment Rating &amp; KPIs'!$P$51</definedName>
    <definedName name="BP_KPI17">'Assessment Rating &amp; KPIs'!$L$59</definedName>
    <definedName name="BP_KPI18">'Assessment Rating &amp; KPIs'!$P$59</definedName>
    <definedName name="BP_KPI21">'Assessment Rating &amp; KPIs'!$L$62</definedName>
    <definedName name="BP_KPI22">'Assessment Rating &amp; KPIs'!$P$62</definedName>
    <definedName name="BP_KPI23">'Assessment Rating &amp; KPIs'!$L$65</definedName>
    <definedName name="BP_KPI24">'Assessment Rating &amp; KPIs'!$P$65</definedName>
    <definedName name="BP_KPI25">'Assessment Rating &amp; KPIs'!$L$67</definedName>
    <definedName name="BP_KPI26">'Assessment Rating &amp; KPIs'!$P$67</definedName>
    <definedName name="BP_KPI27">'Assessment Rating &amp; KPIs'!$L$70</definedName>
    <definedName name="BP_KPI28">'Assessment Rating &amp; KPIs'!$P$70</definedName>
    <definedName name="BP_KPI29">'Assessment Rating &amp; KPIs'!$L$72</definedName>
    <definedName name="BP_KPI30">'Assessment Rating &amp; KPIs'!$P$72</definedName>
    <definedName name="BP_KPI31">'Assessment Rating &amp; KPIs'!$L$74</definedName>
    <definedName name="BP_KPI32">'Assessment Rating &amp; KPIs'!$P$74</definedName>
    <definedName name="BP_KPI33">'Assessment Rating &amp; KPIs'!$L$76</definedName>
    <definedName name="BP_KPI34">'Assessment Rating &amp; KPIs'!$P$76</definedName>
    <definedName name="BP_KPI35">'Assessment Rating &amp; KPIs'!$L$84</definedName>
    <definedName name="BP_KPI36">'Assessment Rating &amp; KPIs'!$P$84</definedName>
    <definedName name="BP_KPI37">'Assessment Rating &amp; KPIs'!$L$78</definedName>
    <definedName name="BP_KPI38">'Assessment Rating &amp; KPIs'!$P$78</definedName>
    <definedName name="BP_KPI39">'Assessment Rating &amp; KPIs'!$L$80</definedName>
    <definedName name="BP_KPI40">'Assessment Rating &amp; KPIs'!$P$80</definedName>
    <definedName name="BP_KPI41">'Assessment Rating &amp; KPIs'!$L$82</definedName>
    <definedName name="BP_KPI42">'Assessment Rating &amp; KPIs'!$P$82</definedName>
    <definedName name="BP_KPI43">'Assessment Rating &amp; KPIs'!$L$87</definedName>
    <definedName name="BP_KPI44">'Assessment Rating &amp; KPIs'!$P$87</definedName>
    <definedName name="BP_KPI45">'Assessment Rating &amp; KPIs'!#REF!</definedName>
    <definedName name="BP_KPI46">'Assessment Rating &amp; KPIs'!#REF!</definedName>
    <definedName name="BP_KPI47">'Assessment Rating &amp; KPIs'!$L$95</definedName>
    <definedName name="BP_KPI48">'Assessment Rating &amp; KPIs'!$L$97</definedName>
    <definedName name="BP_KPI49">'Assessment Rating &amp; KPIs'!$R$53</definedName>
    <definedName name="BP_LUE_score">'Assessment Rating &amp; KPIs'!$R$31</definedName>
    <definedName name="BP_Man_score">'Assessment Rating &amp; KPIs'!$R$17</definedName>
    <definedName name="BP_Materials_score">'Assessment Rating &amp; KPIs'!$R$27</definedName>
    <definedName name="BP_MinStandards">'Assessment Rating &amp; KPIs'!$F$12</definedName>
    <definedName name="BP_OverallScore">'Assessment Rating &amp; KPIs'!$F$10</definedName>
    <definedName name="BP_Pollution_score">'Assessment Rating &amp; KPIs'!$R$33</definedName>
    <definedName name="BP_rating_benchmarks">'Assessment Issue Scoring'!$AB$1657:$AD$1662</definedName>
    <definedName name="BP_Trans_score">'Assessment Rating &amp; KPIs'!$R$23</definedName>
    <definedName name="BP_Waste_Score">'Assessment Rating &amp; KPIs'!$R$29</definedName>
    <definedName name="BP_Water_score">'Assessment Rating &amp; KPIs'!$R$25</definedName>
    <definedName name="BPKPI_08">'Assessment Issue Scoring'!$J$413</definedName>
    <definedName name="BRK_Banner">'Assessment Rating &amp; KPIs'!$B$2</definedName>
    <definedName name="Country">'Assessment Issue Scoring'!$H$395</definedName>
    <definedName name="Education">'Assessment Details'!$AD$164:$AD$172</definedName>
    <definedName name="Ene_01">'Assessment Issue Scoring'!$B$387</definedName>
    <definedName name="Ene_02">'Assessment Issue Scoring'!$B$433</definedName>
    <definedName name="Ene_03">'Assessment Issue Scoring'!$B$473</definedName>
    <definedName name="Ene_04">'Assessment Issue Scoring'!$B$493</definedName>
    <definedName name="Ene_05">'Assessment Issue Scoring'!$B$524</definedName>
    <definedName name="Ene_06">'Assessment Issue Scoring'!$B$545</definedName>
    <definedName name="Ene_07">'Assessment Issue Scoring'!$B$565</definedName>
    <definedName name="Ene_08">'Assessment Issue Scoring'!$B$599</definedName>
    <definedName name="Ene_09">'Assessment Issue Scoring'!$B$628</definedName>
    <definedName name="Ene01_01">'Assessment Issue Scoring'!$H$402</definedName>
    <definedName name="Ene01_02">'Assessment Issue Scoring'!$H$404</definedName>
    <definedName name="Ene01_03">'Assessment Issue Scoring'!$H$405</definedName>
    <definedName name="Ene01_04">'Assessment Issue Scoring'!$H$406</definedName>
    <definedName name="Ene01_05">'Assessment Issue Scoring'!$H$407</definedName>
    <definedName name="Ene01_06">'Assessment Issue Scoring'!$H$408</definedName>
    <definedName name="Ene01_07">'Assessment Issue Scoring'!$H$409</definedName>
    <definedName name="Ene01_08">'Assessment Issue Scoring'!$H$410</definedName>
    <definedName name="Ene01_08_Err">'Assessment Issue Scoring'!$AA$2234</definedName>
    <definedName name="Ene01_09">'Assessment Issue Scoring'!$H$414</definedName>
    <definedName name="Ene01_10">'Assessment Issue Scoring'!$AC$1815</definedName>
    <definedName name="Ene01_100">'Assessment Issue Scoring'!#REF!</definedName>
    <definedName name="Ene01_101">'Assessment Issue Scoring'!#REF!</definedName>
    <definedName name="Ene01_102">'Assessment Issue Scoring'!#REF!</definedName>
    <definedName name="Ene01_103">'Assessment Issue Scoring'!#REF!</definedName>
    <definedName name="Ene01_104">'Assessment Issue Scoring'!#REF!</definedName>
    <definedName name="Ene01_105">'Assessment Issue Scoring'!#REF!</definedName>
    <definedName name="Ene01_106">'Assessment Issue Scoring'!#REF!</definedName>
    <definedName name="Ene01_107">'Assessment Issue Scoring'!#REF!</definedName>
    <definedName name="Ene01_108">'Assessment Issue Scoring'!#REF!</definedName>
    <definedName name="Ene01_11">'Assessment Issue Scoring'!$AC$1816</definedName>
    <definedName name="Ene01_12">'Assessment Issue Scoring'!$AC$1817</definedName>
    <definedName name="Ene01_13">'Assessment Issue Scoring'!$Z$1815</definedName>
    <definedName name="Ene01_14">'Assessment Issue Scoring'!$Z$1816</definedName>
    <definedName name="Ene01_15">'Assessment Issue Scoring'!$Z$1817</definedName>
    <definedName name="Ene01_16">'Assessment Issue Scoring'!$AE$1815</definedName>
    <definedName name="Ene01_17">'Assessment Issue Scoring'!$AE$1816</definedName>
    <definedName name="Ene01_18">'Assessment Issue Scoring'!$AE$1817</definedName>
    <definedName name="Ene01_19">'Assessment Issue Scoring'!$AG$1815</definedName>
    <definedName name="Ene01_20">'Assessment Issue Scoring'!$AG$1816</definedName>
    <definedName name="Ene01_21">'Assessment Issue Scoring'!$AG$1817</definedName>
    <definedName name="Ene01_22">'Assessment Issue Scoring'!$AL$1815</definedName>
    <definedName name="Ene01_23">'Assessment Issue Scoring'!$AL$1816</definedName>
    <definedName name="Ene01_24">'Assessment Issue Scoring'!$AL$1817</definedName>
    <definedName name="Ene01_25">'Assessment Issue Scoring'!$AL$1818</definedName>
    <definedName name="Ene01_27">'Assessment Issue Scoring'!$H$427</definedName>
    <definedName name="Ene01_28">'Assessment Issue Scoring'!$H$429</definedName>
    <definedName name="Ene01_29">'Assessment Issue Scoring'!$AH$1842</definedName>
    <definedName name="Ene01_30">'Assessment Issue Scoring'!$AH$1843</definedName>
    <definedName name="Ene01_31">'Assessment Issue Scoring'!$AJ$1842</definedName>
    <definedName name="Ene01_32">'Assessment Issue Scoring'!$AJ$1843</definedName>
    <definedName name="Ene01_33">'Assessment Issue Scoring'!$H$411</definedName>
    <definedName name="Ene01_34">'Assessment Issue Scoring'!$H$412</definedName>
    <definedName name="Ene01_35">'Assessment Issue Scoring'!$H$413</definedName>
    <definedName name="Ene01_36">'Assessment Issue Scoring'!$P$419</definedName>
    <definedName name="Ene01_37">'Assessment Issue Scoring'!$P$420</definedName>
    <definedName name="Ene01_38">'Assessment Issue Scoring'!$P$402</definedName>
    <definedName name="Ene01_39">'Assessment Issue Scoring'!$H$391</definedName>
    <definedName name="Ene01_40">'Assessment Issue Scoring'!$P$421</definedName>
    <definedName name="Ene01_41">'Assessment Issue Scoring'!$P$389</definedName>
    <definedName name="Ene01_42">'Assessment Issue Scoring'!$H$425</definedName>
    <definedName name="Ene01_43">'Assessment Issue Scoring'!$L$402</definedName>
    <definedName name="Ene01_44">'Assessment Issue Scoring'!$L$404</definedName>
    <definedName name="Ene01_45">'Assessment Issue Scoring'!$L$405</definedName>
    <definedName name="Ene01_46">'Assessment Issue Scoring'!$L$406</definedName>
    <definedName name="Ene01_47">'Assessment Issue Scoring'!$L$407</definedName>
    <definedName name="Ene01_48">'Assessment Issue Scoring'!$L$408</definedName>
    <definedName name="Ene01_49">'Assessment Issue Scoring'!$L$409</definedName>
    <definedName name="Ene01_50">'Assessment Issue Scoring'!$L$410</definedName>
    <definedName name="Ene01_50_Err">'Assessment Issue Scoring'!$AA$2235</definedName>
    <definedName name="Ene01_51">'Assessment Issue Scoring'!$L$411</definedName>
    <definedName name="Ene01_52">'Assessment Issue Scoring'!$L$412</definedName>
    <definedName name="Ene01_53">'Assessment Issue Scoring'!$L$413</definedName>
    <definedName name="Ene01_54">'Assessment Issue Scoring'!$L$414</definedName>
    <definedName name="Ene01_55">'Assessment Issue Scoring'!$L$415</definedName>
    <definedName name="Ene01_60">'Assessment Issue Scoring'!$AL$1827</definedName>
    <definedName name="Ene01_61">'Assessment Issue Scoring'!$AL$1828</definedName>
    <definedName name="Ene01_63">'Assessment Issue Scoring'!$AL$1825</definedName>
    <definedName name="Ene01_64">'Assessment Issue Scoring'!$AL$1821</definedName>
    <definedName name="Ene01_65">'Assessment Issue Scoring'!$AL$1822</definedName>
    <definedName name="Ene01_66">'Assessment Issue Scoring'!$AL$1823</definedName>
    <definedName name="Ene01_67">'Assessment Issue Scoring'!$P$410</definedName>
    <definedName name="Ene01_70">'Assessment Issue Scoring'!$AL$1824</definedName>
    <definedName name="Ene01_71">'Assessment Issue Scoring'!$AI$1842</definedName>
    <definedName name="Ene01_72">'Assessment Issue Scoring'!$AI$1843</definedName>
    <definedName name="Ene01_73">'Assessment Issue Scoring'!$AL$1829</definedName>
    <definedName name="Ene01_74">'Assessment Issue Scoring'!$AL$1819</definedName>
    <definedName name="Ene01_75">'Assessment Issue Scoring'!$AQ$1813</definedName>
    <definedName name="Ene01_76">'Assessment Issue Scoring'!$AO$1818</definedName>
    <definedName name="Ene01_77">'Assessment Issue Scoring'!$AO$1830</definedName>
    <definedName name="Ene01_78">'Assessment Issue Scoring'!$AO$1819</definedName>
    <definedName name="Ene01_79">'Assessment Issue Scoring'!$AO$1831</definedName>
    <definedName name="Ene01_80">'Assessment Issue Scoring'!$Z$1809</definedName>
    <definedName name="Ene01_81">'Assessment Issue Scoring'!$AL$1830</definedName>
    <definedName name="Ene01_84">'Assessment Issue Scoring'!$AI$1844</definedName>
    <definedName name="Ene01_85">'Assessment Issue Scoring'!$AJ$1844</definedName>
    <definedName name="Ene01_86">'Assessment Issue Scoring'!$AH$1844</definedName>
    <definedName name="Ene01_87">'Assessment Issue Scoring'!$AO$1817</definedName>
    <definedName name="Ene01_88">'Assessment Issue Scoring'!$AO$1829</definedName>
    <definedName name="Ene01_89">'Assessment Issue Scoring'!$H$415</definedName>
    <definedName name="Ene01_90">'Assessment Issue Scoring'!$AO$1823</definedName>
    <definedName name="Ene01_91">'Assessment Issue Scoring'!$AO$1824</definedName>
    <definedName name="Ene01_92">'Assessment Issue Scoring'!$AO$1825</definedName>
    <definedName name="Ene01_93">'Assessment Issue Scoring'!#REF!</definedName>
    <definedName name="Ene01_94">'Assessment Issue Scoring'!#REF!</definedName>
    <definedName name="Ene01_95">'Assessment Issue Scoring'!#REF!</definedName>
    <definedName name="Ene01_96">'Assessment Issue Scoring'!#REF!</definedName>
    <definedName name="Ene01_97">'Assessment Issue Scoring'!#REF!</definedName>
    <definedName name="Ene01_98">'Assessment Issue Scoring'!#REF!</definedName>
    <definedName name="Ene01_99">'Assessment Issue Scoring'!#REF!</definedName>
    <definedName name="Ene01_BERTER">'Assessment Issue Scoring'!$AQ$1823</definedName>
    <definedName name="Ene01_credits">'Assessment Issue Scoring'!$H$389</definedName>
    <definedName name="Ene01_credits_range">'Assessment Issue Scoring'!$Z$1841:$AA$1853</definedName>
    <definedName name="Ene01_imp_fact">'Assessment Issue Scoring'!$H$403</definedName>
    <definedName name="Ene01_KPI101">'Assessment Issue Scoring'!$P$418</definedName>
    <definedName name="Ene01_notes">'Assessment Issue Scoring'!$B$432</definedName>
    <definedName name="Ene01_tot">'Assessment Issue Scoring'!#REF!</definedName>
    <definedName name="Ene02_02">'Assessment Issue Scoring'!$J$440</definedName>
    <definedName name="Ene02_03">'Assessment Issue Scoring'!$J$441</definedName>
    <definedName name="Ene02_04">'Assessment Issue Scoring'!$L$440</definedName>
    <definedName name="Ene02_05">'Assessment Issue Scoring'!$L$441</definedName>
    <definedName name="Ene02_06">'Assessment Issue Scoring'!$N$440</definedName>
    <definedName name="Ene02_07">'Assessment Issue Scoring'!$N$441</definedName>
    <definedName name="Ene02_08">'Assessment Issue Scoring'!$P$440</definedName>
    <definedName name="Ene02_09">'Assessment Issue Scoring'!$P$441</definedName>
    <definedName name="Ene02_10">'Assessment Issue Scoring'!$P$435</definedName>
    <definedName name="Ene02_11">'Assessment Issue Scoring'!$H$447</definedName>
    <definedName name="Ene02_12">'Assessment Issue Scoring'!$H$449</definedName>
    <definedName name="Ene02_13">'Assessment Issue Scoring'!$H$445</definedName>
    <definedName name="Ene02_credits">'Assessment Issue Scoring'!$H$435</definedName>
    <definedName name="Ene02_notes">'Assessment Issue Scoring'!$B$452</definedName>
    <definedName name="Ene02_tot">'Assessment Issue Scoring'!$H$443</definedName>
    <definedName name="Ene02_Tot_Err">'Assessment Issue Scoring'!$AA$2236</definedName>
    <definedName name="Ene02b_01">'Assessment Issue Scoring'!$J$460</definedName>
    <definedName name="Ene02b_02">'Assessment Issue Scoring'!$J$461</definedName>
    <definedName name="Ene02b_03">'Assessment Issue Scoring'!$L$460</definedName>
    <definedName name="Ene02b_04">'Assessment Issue Scoring'!$L$461</definedName>
    <definedName name="Ene02b_05">'Assessment Issue Scoring'!$N$460</definedName>
    <definedName name="Ene02b_06">'Assessment Issue Scoring'!$N$461</definedName>
    <definedName name="Ene02b_07">'Assessment Issue Scoring'!$P$453</definedName>
    <definedName name="Ene02b_credits">'Assessment Issue Scoring'!$H$455</definedName>
    <definedName name="Ene02b_tot">'Assessment Issue Scoring'!$H$463</definedName>
    <definedName name="Ene03_01">'Assessment Issue Scoring'!$J$480</definedName>
    <definedName name="Ene03_02">'Assessment Issue Scoring'!$L$480</definedName>
    <definedName name="Ene03_03">'Assessment Issue Scoring'!$N$480</definedName>
    <definedName name="Ene03_04">'Assessment Issue Scoring'!$P$480</definedName>
    <definedName name="Ene03_05">'Assessment Issue Scoring'!$P$475</definedName>
    <definedName name="Ene03_06">'Assessment Issue Scoring'!$H$485</definedName>
    <definedName name="Ene03_07">'Assessment Issue Scoring'!$J$481</definedName>
    <definedName name="Ene03_08">'Assessment Issue Scoring'!$L$481</definedName>
    <definedName name="Ene03_09">'Assessment Issue Scoring'!$N$481</definedName>
    <definedName name="Ene03_13">'Assessment Issue Scoring'!$P$433</definedName>
    <definedName name="Ene03_credits">'Assessment Issue Scoring'!$H$475</definedName>
    <definedName name="Ene03_notes">'Assessment Issue Scoring'!$B$492</definedName>
    <definedName name="Ene03_tot">'Assessment Issue Scoring'!$H$483</definedName>
    <definedName name="ENE04_01">'Assessment Issue Scoring'!$J$500</definedName>
    <definedName name="ENE04_02">'Assessment Issue Scoring'!$J$501</definedName>
    <definedName name="ENE04_03">'Assessment Issue Scoring'!$J$502</definedName>
    <definedName name="ENE04_04">'Assessment Issue Scoring'!$N$500</definedName>
    <definedName name="ENE04_05">'Assessment Issue Scoring'!$N$501</definedName>
    <definedName name="ENE04_06">'Assessment Issue Scoring'!$N$502</definedName>
    <definedName name="Ene04_10">'Assessment Issue Scoring'!$B$508</definedName>
    <definedName name="Ene04_11">'Assessment Issue Scoring'!$N$500</definedName>
    <definedName name="Ene04_12">'Assessment Issue Scoring'!#REF!</definedName>
    <definedName name="Ene04_13">'Assessment Issue Scoring'!#REF!</definedName>
    <definedName name="Ene04_15">'Assessment Issue Scoring'!$H$517</definedName>
    <definedName name="Ene04_16">'Assessment Issue Scoring'!$H$519</definedName>
    <definedName name="Ene04_17">'Assessment Issue Scoring'!$H$497</definedName>
    <definedName name="Ene04_18">'Assessment Issue Scoring'!#REF!</definedName>
    <definedName name="Ene04_19">'Assessment Issue Scoring'!$P$495</definedName>
    <definedName name="Ene04_20">'Assessment Issue Scoring'!$H$515</definedName>
    <definedName name="Ene04_20_Err">'Assessment Issue Scoring'!$AA$2238</definedName>
    <definedName name="Ene04_21">'Assessment Issue Scoring'!$Z$1990</definedName>
    <definedName name="Ene04_22">'Assessment Issue Scoring'!$AA$1990</definedName>
    <definedName name="Ene04_23">'Assessment Issue Scoring'!$L$511</definedName>
    <definedName name="Ene04_benchmarks">'Assessment Issue Scoring'!$Z$1987:$AA$1989</definedName>
    <definedName name="Ene04_credits">'Assessment Issue Scoring'!$H$495</definedName>
    <definedName name="Ene04_Inn">'Assessment Issue Scoring'!$AK$1980</definedName>
    <definedName name="Ene04_KPI01">'Assessment Issue Scoring'!$J$511</definedName>
    <definedName name="Ene04_notes">'Assessment Issue Scoring'!$B$522</definedName>
    <definedName name="Ene04_options01">'Assessment Issue Scoring'!$AD$1971:$AD$1981</definedName>
    <definedName name="Ene04_options02">'Assessment Issue Scoring'!$Z$1971:$Z$1974</definedName>
    <definedName name="Ene04_options03">'Assessment Issue Scoring'!$Z$1978:$Z$1980</definedName>
    <definedName name="Ene04_options04">'Assessment Issue Scoring'!$AG$1971:$AG$1982</definedName>
    <definedName name="Ene04_Perc">'Assessment Issue Scoring'!$J$505</definedName>
    <definedName name="Ene04_Please_select">'Assessment Issue Scoring'!$AD$1971</definedName>
    <definedName name="Ene04_tot">'Assessment Issue Scoring'!$H$513</definedName>
    <definedName name="Ene04_Tot_Err">'Assessment Issue Scoring'!$AA$2237</definedName>
    <definedName name="Ene04_TZC">'Assessment Issue Scoring'!$J$506</definedName>
    <definedName name="Ene05_01">'Assessment Issue Scoring'!$J$531</definedName>
    <definedName name="Ene05_02">'Assessment Issue Scoring'!$J$533</definedName>
    <definedName name="Ene05_03">'Assessment Issue Scoring'!$J$532</definedName>
    <definedName name="Ene05_04">'Assessment Issue Scoring'!$L$531</definedName>
    <definedName name="Ene05_05">'Assessment Issue Scoring'!$L$533</definedName>
    <definedName name="Ene05_06">'Assessment Issue Scoring'!$L$532</definedName>
    <definedName name="Ene05_07">'Assessment Issue Scoring'!$N$531</definedName>
    <definedName name="Ene05_08">'Assessment Issue Scoring'!$N$533</definedName>
    <definedName name="Ene05_09">'Assessment Issue Scoring'!$N$532</definedName>
    <definedName name="Ene05_10">'Assessment Issue Scoring'!$P$531</definedName>
    <definedName name="Ene05_11">'Assessment Issue Scoring'!$P$533</definedName>
    <definedName name="Ene05_12">'Assessment Issue Scoring'!#REF!</definedName>
    <definedName name="Ene05_14">'Assessment Issue Scoring'!$H$539</definedName>
    <definedName name="Ene05_15">'Assessment Issue Scoring'!$H$541</definedName>
    <definedName name="Ene05_17">'Assessment Issue Scoring'!$H$528</definedName>
    <definedName name="Ene05_18">'Assessment Issue Scoring'!$P$528</definedName>
    <definedName name="ene05_19">'Assessment Issue Scoring'!$P$524</definedName>
    <definedName name="Ene05_20">'Assessment Issue Scoring'!$P$526</definedName>
    <definedName name="Ene05_21">'Assessment Issue Scoring'!$H$537</definedName>
    <definedName name="Ene05_credits">'Assessment Issue Scoring'!$H$526</definedName>
    <definedName name="Ene05_notes">'Assessment Issue Scoring'!$B$544</definedName>
    <definedName name="Ene05_tot">'Assessment Issue Scoring'!$H$535</definedName>
    <definedName name="Ene05_Tot_Err">'Assessment Issue Scoring'!$AA$2239</definedName>
    <definedName name="Ene06_01">'Assessment Issue Scoring'!$J$552</definedName>
    <definedName name="Ene06_02">'Assessment Issue Scoring'!$J$553</definedName>
    <definedName name="ENE06_02a_tot_err">'Assessment Issue Scoring'!$AH$1996</definedName>
    <definedName name="Ene06_03">'Assessment Issue Scoring'!$L$552</definedName>
    <definedName name="Ene06_04">'Assessment Issue Scoring'!$L$553</definedName>
    <definedName name="ENE06_04_tot_err">'Assessment Issue Scoring'!$AH$1995</definedName>
    <definedName name="Ene06_05">'Assessment Issue Scoring'!$N$552</definedName>
    <definedName name="ENE06_05a">'Assessment Issue Scoring'!$N$553</definedName>
    <definedName name="Ene06_07">'Assessment Issue Scoring'!$P$552</definedName>
    <definedName name="Ene06_08">'Assessment Issue Scoring'!#REF!</definedName>
    <definedName name="Ene06_10">'Assessment Issue Scoring'!$P$545</definedName>
    <definedName name="Ene06_11">'Assessment Issue Scoring'!$P$547</definedName>
    <definedName name="Ene06_12">'Assessment Issue Scoring'!$H$557</definedName>
    <definedName name="Ene06_credits">'Assessment Issue Scoring'!$H$547</definedName>
    <definedName name="Ene06_notes">'Assessment Issue Scoring'!$B$564</definedName>
    <definedName name="Ene06_tot">'Assessment Issue Scoring'!$H$555</definedName>
    <definedName name="Ene06_Tot_Err">'Assessment Issue Scoring'!$AA$2240</definedName>
    <definedName name="Ene07_01">'Assessment Issue Scoring'!$P$565</definedName>
    <definedName name="Ene07_03">'Assessment Issue Scoring'!$J$573</definedName>
    <definedName name="Ene07_04">'Assessment Issue Scoring'!$L$573</definedName>
    <definedName name="Ene07_05">'Assessment Issue Scoring'!$N$573</definedName>
    <definedName name="Ene07_06">'Assessment Issue Scoring'!$J$575</definedName>
    <definedName name="Ene07_08">'Assessment Issue Scoring'!$L$575</definedName>
    <definedName name="Ene07_08_Err">'Assessment Issue Scoring'!$AA$2234</definedName>
    <definedName name="Ene07_09">'Assessment Issue Scoring'!$N$575</definedName>
    <definedName name="Ene07_10">'Assessment Issue Scoring'!$J$576</definedName>
    <definedName name="Ene07_11">'Assessment Issue Scoring'!$J$577</definedName>
    <definedName name="Ene07_12">'Assessment Issue Scoring'!$J$578</definedName>
    <definedName name="Ene07_13">'Assessment Issue Scoring'!$J$579</definedName>
    <definedName name="Ene07_14">'Assessment Issue Scoring'!$J$580</definedName>
    <definedName name="Ene07_15">'Assessment Issue Scoring'!$J$581</definedName>
    <definedName name="Ene07_16">'Assessment Issue Scoring'!$J$582</definedName>
    <definedName name="Ene07_17">'Assessment Issue Scoring'!$J$583</definedName>
    <definedName name="Ene07_18">'Assessment Issue Scoring'!$J$584</definedName>
    <definedName name="Ene07_19">'Assessment Issue Scoring'!$J$585</definedName>
    <definedName name="Ene07_20">'Assessment Issue Scoring'!$J$586</definedName>
    <definedName name="Ene07_21">'Assessment Issue Scoring'!$AB$2006</definedName>
    <definedName name="Ene07_22">'Assessment Issue Scoring'!$AB$2007</definedName>
    <definedName name="Ene07_23">'Assessment Issue Scoring'!$AB$2008</definedName>
    <definedName name="Ene07_24">'Assessment Issue Scoring'!$P$567</definedName>
    <definedName name="Ene07_25">'Assessment Issue Scoring'!$H$590</definedName>
    <definedName name="Ene07_ADBT">'Assessment Issue Scoring'!$S$565</definedName>
    <definedName name="Ene07_Cat">'Assessment Issue Scoring'!$U$565</definedName>
    <definedName name="Ene07_credits">'Assessment Issue Scoring'!$H$567</definedName>
    <definedName name="Ene07_FC">'Assessment Issue Scoring'!$V$565</definedName>
    <definedName name="Ene07_Labsize">'Assessment Issue Scoring'!$T$565</definedName>
    <definedName name="Ene07_notes">'Assessment Issue Scoring'!$B$597</definedName>
    <definedName name="Ene07_tot">'Assessment Issue Scoring'!$H$588</definedName>
    <definedName name="Ene07_Tot_Err">'Assessment Issue Scoring'!$AA$2241</definedName>
    <definedName name="Ene08_01">'Assessment Issue Scoring'!$J$606</definedName>
    <definedName name="Ene08_02">'Assessment Issue Scoring'!$J$607</definedName>
    <definedName name="Ene08_03">'Assessment Issue Scoring'!$J$608</definedName>
    <definedName name="Ene08_04">'Assessment Issue Scoring'!$J$609</definedName>
    <definedName name="Ene08_05">'Assessment Issue Scoring'!$J$610</definedName>
    <definedName name="Ene08_06">'Assessment Issue Scoring'!$J$611</definedName>
    <definedName name="Ene08_07">'Assessment Issue Scoring'!$J$612</definedName>
    <definedName name="Ene08_08">'Assessment Issue Scoring'!$J$613</definedName>
    <definedName name="Ene08_09">'Assessment Issue Scoring'!$L$606</definedName>
    <definedName name="Ene08_10">'Assessment Issue Scoring'!$L$607</definedName>
    <definedName name="Ene08_11">'Assessment Issue Scoring'!$L$608</definedName>
    <definedName name="Ene08_12">'Assessment Issue Scoring'!$L$609</definedName>
    <definedName name="Ene08_13">'Assessment Issue Scoring'!$L$610</definedName>
    <definedName name="Ene08_14">'Assessment Issue Scoring'!$L$611</definedName>
    <definedName name="Ene08_15">'Assessment Issue Scoring'!$L$612</definedName>
    <definedName name="Ene08_16">'Assessment Issue Scoring'!$L$613</definedName>
    <definedName name="Ene08_17">'Assessment Issue Scoring'!$J$616</definedName>
    <definedName name="Ene08_18">'Assessment Issue Scoring'!$L$616</definedName>
    <definedName name="Ene08_19">'Assessment Issue Scoring'!$N$616</definedName>
    <definedName name="Ene08_20">'Assessment Issue Scoring'!$P$616</definedName>
    <definedName name="Ene08_22">'Assessment Issue Scoring'!$N$611</definedName>
    <definedName name="Ene08_23">'Assessment Issue Scoring'!$R$606</definedName>
    <definedName name="Ene08_24">'Assessment Issue Scoring'!$R$611</definedName>
    <definedName name="Ene08_25">'Assessment Issue Scoring'!$R$616</definedName>
    <definedName name="Ene08_26">'Assessment Issue Scoring'!$AB$2012</definedName>
    <definedName name="Ene08_27">'Assessment Issue Scoring'!$P$601</definedName>
    <definedName name="Ene08_29">'Assessment Issue Scoring'!$H$620</definedName>
    <definedName name="Ene08_30">'Assessment Issue Scoring'!$P$599</definedName>
    <definedName name="Ene08_credits">'Assessment Issue Scoring'!$H$601</definedName>
    <definedName name="Ene08_Maj">'Assessment Issue Scoring'!$AB$2014</definedName>
    <definedName name="Ene08_notes">'Assessment Issue Scoring'!$B$627</definedName>
    <definedName name="Ene08_tot">'Assessment Issue Scoring'!$H$618</definedName>
    <definedName name="Ene09_01">'Assessment Issue Scoring'!$J$636</definedName>
    <definedName name="Ene09_02">'Assessment Issue Scoring'!$L$635</definedName>
    <definedName name="Ene09_03">'Assessment Issue Scoring'!$N$635</definedName>
    <definedName name="Ene09_04">'Assessment Issue Scoring'!$P$635</definedName>
    <definedName name="Ene09_05">'Assessment Issue Scoring'!$J$635</definedName>
    <definedName name="Ene09_06">'Assessment Issue Scoring'!$P$628</definedName>
    <definedName name="Ene09_07">'Assessment Issue Scoring'!$P$630</definedName>
    <definedName name="Ene09_10">'Assessment Issue Scoring'!$H$640</definedName>
    <definedName name="Ene09_credits">'Assessment Issue Scoring'!$H$630</definedName>
    <definedName name="Ene09_notes">'Assessment Issue Scoring'!$B$647</definedName>
    <definedName name="Ene09_tot">'Assessment Issue Scoring'!$H$638</definedName>
    <definedName name="Ene09_Tot_Err">'Assessment Issue Scoring'!$AA$2242</definedName>
    <definedName name="ene10_80">'Assessment Issue Scoring'!$AR$1820</definedName>
    <definedName name="England">'Assessment Issue Scoring'!$Z$1558</definedName>
    <definedName name="Hea_01">'Assessment Issue Scoring'!$B$182</definedName>
    <definedName name="Hea_02">'Assessment Issue Scoring'!$B$206</definedName>
    <definedName name="Hea_03">'Assessment Issue Scoring'!$B$237</definedName>
    <definedName name="Hea_04">'Assessment Issue Scoring'!$B$258</definedName>
    <definedName name="Hea_05">'Assessment Issue Scoring'!$B$285</definedName>
    <definedName name="Hea_06">'Assessment Issue Scoring'!$B$304</definedName>
    <definedName name="Hea01_01">'Assessment Issue Scoring'!$J$190</definedName>
    <definedName name="Hea01_02">'Assessment Issue Scoring'!$J$191</definedName>
    <definedName name="Hea01_03">'Assessment Issue Scoring'!$J$192</definedName>
    <definedName name="Hea01_04">'Assessment Issue Scoring'!$J$193</definedName>
    <definedName name="Hea01_05">'Assessment Issue Scoring'!#REF!</definedName>
    <definedName name="Hea01_06">'Assessment Issue Scoring'!#REF!</definedName>
    <definedName name="Hea01_07">'Assessment Issue Scoring'!$L$191</definedName>
    <definedName name="Hea01_08">'Assessment Issue Scoring'!$L$192</definedName>
    <definedName name="Hea01_09">'Assessment Issue Scoring'!$L$193</definedName>
    <definedName name="Hea01_10">'Assessment Issue Scoring'!#REF!</definedName>
    <definedName name="Hea01_11">'Assessment Issue Scoring'!#REF!</definedName>
    <definedName name="Hea01_12">'Assessment Issue Scoring'!$N$190</definedName>
    <definedName name="Hea01_13">'Assessment Issue Scoring'!$N$191</definedName>
    <definedName name="Hea01_14">'Assessment Issue Scoring'!$N$192</definedName>
    <definedName name="Hea01_15">'Assessment Issue Scoring'!$N$193</definedName>
    <definedName name="Hea01_16">'Assessment Issue Scoring'!#REF!</definedName>
    <definedName name="Hea01_17">'Assessment Issue Scoring'!#REF!</definedName>
    <definedName name="Hea01_18">'Assessment Issue Scoring'!$P$190</definedName>
    <definedName name="Hea01_19">'Assessment Issue Scoring'!$P$191</definedName>
    <definedName name="Hea01_20">'Assessment Issue Scoring'!$P$192</definedName>
    <definedName name="Hea01_21">'Assessment Issue Scoring'!$P$193</definedName>
    <definedName name="Hea01_22">'Assessment Issue Scoring'!#REF!</definedName>
    <definedName name="Hea01_23">'Assessment Issue Scoring'!#REF!</definedName>
    <definedName name="Hea01_25">'Assessment Issue Scoring'!$H$200</definedName>
    <definedName name="Hea01_26">'Assessment Issue Scoring'!$P$184</definedName>
    <definedName name="Hea01_27">'Assessment Issue Scoring'!$H$198</definedName>
    <definedName name="Hea01_credits">'Assessment Issue Scoring'!$H$184</definedName>
    <definedName name="Hea01_notes">'Assessment Issue Scoring'!$B$205</definedName>
    <definedName name="Hea01_prereq">'Assessment Issue Scoring'!$J$189</definedName>
    <definedName name="Hea01_tot">'Assessment Issue Scoring'!$H$196</definedName>
    <definedName name="Hea01_Tot_Err">'Assessment Issue Scoring'!$AA$2229</definedName>
    <definedName name="Hea02_01">'Assessment Issue Scoring'!$J$215</definedName>
    <definedName name="Hea02_02">'Assessment Issue Scoring'!$J$217</definedName>
    <definedName name="Hea02_03">'Assessment Issue Scoring'!$J$218</definedName>
    <definedName name="Hea02_04">'Assessment Issue Scoring'!$J$219</definedName>
    <definedName name="Hea02_05">'Assessment Issue Scoring'!$J$221</definedName>
    <definedName name="Hea02_06">'Assessment Issue Scoring'!#REF!</definedName>
    <definedName name="Hea02_07">'Assessment Issue Scoring'!$L$215</definedName>
    <definedName name="Hea02_08">'Assessment Issue Scoring'!$L$217</definedName>
    <definedName name="Hea02_09">'Assessment Issue Scoring'!$L$218</definedName>
    <definedName name="Hea02_10">'Assessment Issue Scoring'!$L$219</definedName>
    <definedName name="Hea02_11">'Assessment Issue Scoring'!$L$221</definedName>
    <definedName name="Hea02_12">'Assessment Issue Scoring'!#REF!</definedName>
    <definedName name="Hea02_13">'Assessment Issue Scoring'!$N$215</definedName>
    <definedName name="Hea02_14">'Assessment Issue Scoring'!$N$217</definedName>
    <definedName name="Hea02_15">'Assessment Issue Scoring'!$N$218</definedName>
    <definedName name="Hea02_16">'Assessment Issue Scoring'!$N$219</definedName>
    <definedName name="Hea02_17">'Assessment Issue Scoring'!$N$221</definedName>
    <definedName name="Hea02_18">'Assessment Issue Scoring'!#REF!</definedName>
    <definedName name="Hea02_19">'Assessment Issue Scoring'!$P$215</definedName>
    <definedName name="Hea02_20">'Assessment Issue Scoring'!$P$217</definedName>
    <definedName name="Hea02_21">'Assessment Issue Scoring'!$P$218</definedName>
    <definedName name="Hea02_22">'Assessment Issue Scoring'!$P$219</definedName>
    <definedName name="Hea02_23">'Assessment Issue Scoring'!$P$221</definedName>
    <definedName name="hEA02_24">'Assessment Issue Scoring'!#REF!</definedName>
    <definedName name="Hea02_25">'Assessment Issue Scoring'!$P$208</definedName>
    <definedName name="Hea02_26">'Assessment Issue Scoring'!$H$229</definedName>
    <definedName name="Hea02_27">'Assessment Issue Scoring'!$P$206</definedName>
    <definedName name="Hea02_28">'Assessment Issue Scoring'!$J$216</definedName>
    <definedName name="Hea02_30">'Assessment Issue Scoring'!$H$231</definedName>
    <definedName name="Hea02_credits">'Assessment Issue Scoring'!$H$208</definedName>
    <definedName name="Hea02_KPI01">'Assessment Issue Scoring'!$J$224</definedName>
    <definedName name="Hea02_KPI02">'Assessment Issue Scoring'!$J$225</definedName>
    <definedName name="Hea02_notes">'Assessment Issue Scoring'!$B$236</definedName>
    <definedName name="Hea02_tot">'Assessment Issue Scoring'!$H$227</definedName>
    <definedName name="Hea02_Tot_Err">'Assessment Issue Scoring'!$AA$2230</definedName>
    <definedName name="Hea03_01">'Assessment Issue Scoring'!$J$245</definedName>
    <definedName name="Hea03_02">'Assessment Issue Scoring'!$J$246</definedName>
    <definedName name="Hea03_03">'Assessment Issue Scoring'!$L$245</definedName>
    <definedName name="Hea03_04">'Assessment Issue Scoring'!$L$246</definedName>
    <definedName name="Hea03_05">'Assessment Issue Scoring'!$N$245</definedName>
    <definedName name="Hea03_06">'Assessment Issue Scoring'!$N$246</definedName>
    <definedName name="Hea03_07">'Assessment Issue Scoring'!$P$245</definedName>
    <definedName name="Hea03_08">'Assessment Issue Scoring'!$P$246</definedName>
    <definedName name="Hea03_09">'Assessment Issue Scoring'!$P$239</definedName>
    <definedName name="Hea03_10">'Assessment Issue Scoring'!$H$252</definedName>
    <definedName name="Hea03_11">'Assessment Issue Scoring'!$H$254</definedName>
    <definedName name="Hea03_12">'Assessment Issue Scoring'!#REF!</definedName>
    <definedName name="Hea03_13">'Assessment Issue Scoring'!$P$237</definedName>
    <definedName name="Hea03_14">'Assessment Issue Scoring'!$Z$1800</definedName>
    <definedName name="Hea03_15">'Assessment Issue Scoring'!$Z$1801</definedName>
    <definedName name="Hea03_AC1">'Assessment Issue Scoring'!$J$244</definedName>
    <definedName name="Hea03_credits">'Assessment Issue Scoring'!$H$239</definedName>
    <definedName name="Hea03_notes">'Assessment Issue Scoring'!$B$257</definedName>
    <definedName name="Hea03_tot">'Assessment Issue Scoring'!$H$248</definedName>
    <definedName name="Hea03_Tot_Err">'Assessment Issue Scoring'!$AA$2231</definedName>
    <definedName name="Hea04_01">'Assessment Issue Scoring'!$J$266</definedName>
    <definedName name="Hea04_02">'Assessment Issue Scoring'!$J$268</definedName>
    <definedName name="Hea04_03">'Assessment Issue Scoring'!$J$265</definedName>
    <definedName name="Hea04_03a">'Assessment Issue Scoring'!$N$265</definedName>
    <definedName name="Hea04_04">'Assessment Issue Scoring'!$L$266</definedName>
    <definedName name="Hea04_05">'Assessment Issue Scoring'!$N$266</definedName>
    <definedName name="Hea04_06">'Assessment Issue Scoring'!$P$266</definedName>
    <definedName name="Hea04_07">'Assessment Issue Scoring'!$P$268</definedName>
    <definedName name="Hea04_08">'Assessment Issue Scoring'!#REF!</definedName>
    <definedName name="Hea04_10">'Assessment Issue Scoring'!$H$279</definedName>
    <definedName name="Hea04_11">'Assessment Issue Scoring'!$H$281</definedName>
    <definedName name="Hea04_12">'Assessment Issue Scoring'!$P$260</definedName>
    <definedName name="Hea04_13">'Assessment Issue Scoring'!$H$277</definedName>
    <definedName name="Hea04_14">'Assessment Issue Scoring'!$Z$1805</definedName>
    <definedName name="Hea04_15">'Assessment Issue Scoring'!$J$272</definedName>
    <definedName name="Hea04_16">'Assessment Issue Scoring'!$J$273</definedName>
    <definedName name="Hea04_17">'Assessment Issue Scoring'!$P$258</definedName>
    <definedName name="Hea04_credits">'Assessment Issue Scoring'!$H$260</definedName>
    <definedName name="Hea04_notes">'Assessment Issue Scoring'!$B$284</definedName>
    <definedName name="Hea04_tot">'Assessment Issue Scoring'!$H$275</definedName>
    <definedName name="Hea05_01">'Assessment Issue Scoring'!$J$291</definedName>
    <definedName name="Hea05_02">'Assessment Issue Scoring'!$L$291</definedName>
    <definedName name="Hea05_03">'Assessment Issue Scoring'!$N$291</definedName>
    <definedName name="Hea05_04">'Assessment Issue Scoring'!#REF!</definedName>
    <definedName name="Hea05_05">'Assessment Issue Scoring'!#REF!</definedName>
    <definedName name="Hea05_06">'Assessment Issue Scoring'!$AA$2232</definedName>
    <definedName name="Hea05_07">'Assessment Issue Scoring'!$P$287</definedName>
    <definedName name="Hea05_08">'Assessment Issue Scoring'!$H$296</definedName>
    <definedName name="Hea05_26">'Assessment Issue Scoring'!$H$202</definedName>
    <definedName name="Hea05_credits">'Assessment Issue Scoring'!$H$287</definedName>
    <definedName name="Hea05_notes">'Assessment Issue Scoring'!$B$303</definedName>
    <definedName name="Hea05_Scoring">'Assessment Issue Scoring'!$AC$1800:$AC$1804</definedName>
    <definedName name="Hea05_tot">'Assessment Issue Scoring'!$H$294</definedName>
    <definedName name="Hea05_Tot_Err">'Assessment Issue Scoring'!$AA$2232</definedName>
    <definedName name="Hea06_01">'Assessment Issue Scoring'!$J$311</definedName>
    <definedName name="Hea06_02">'Assessment Issue Scoring'!$J$312</definedName>
    <definedName name="Hea06_03">'Assessment Issue Scoring'!$L$311</definedName>
    <definedName name="Hea06_04">'Assessment Issue Scoring'!$L$312</definedName>
    <definedName name="Hea06_05">'Assessment Issue Scoring'!$N$311</definedName>
    <definedName name="Hea06_06">'Assessment Issue Scoring'!$N$312</definedName>
    <definedName name="Hea06_07">'Assessment Issue Scoring'!$P$306</definedName>
    <definedName name="Hea06_credits">'Assessment Issue Scoring'!$H$306</definedName>
    <definedName name="Hea06_notes">'Assessment Issue Scoring'!$B$323</definedName>
    <definedName name="Hea06_tot">'Assessment Issue Scoring'!$H$314</definedName>
    <definedName name="Hea06_Tot_Err">'Assessment Issue Scoring'!$AA$2233</definedName>
    <definedName name="Hea07_08">'Assessment Issue Scoring'!$H$316</definedName>
    <definedName name="Hea08_01">'Assessment Issue Scoring'!$J$331</definedName>
    <definedName name="Hea08_02">'Assessment Issue Scoring'!$L$331</definedName>
    <definedName name="Hea08_03">'Assessment Issue Scoring'!$N$331</definedName>
    <definedName name="Hea08_04">'Assessment Issue Scoring'!$P$326</definedName>
    <definedName name="Hea08_credits">'Assessment Issue Scoring'!$H$326</definedName>
    <definedName name="Hea08_tot">'Assessment Issue Scoring'!$H$333</definedName>
    <definedName name="Hea09_01">'Assessment Issue Scoring'!$J$350</definedName>
    <definedName name="Hea09_02">'Assessment Issue Scoring'!$J$351</definedName>
    <definedName name="Hea09_03">'Assessment Issue Scoring'!$L$350</definedName>
    <definedName name="Hea09_04">'Assessment Issue Scoring'!$N$350</definedName>
    <definedName name="Hea09_05">'Assessment Issue Scoring'!$P$345</definedName>
    <definedName name="Hea09_06">'Assessment Issue Scoring'!$H$355</definedName>
    <definedName name="Hea09_07">'Assessment Issue Scoring'!$H$359</definedName>
    <definedName name="Hea09_credits">'Assessment Issue Scoring'!$H$345</definedName>
    <definedName name="Hea09_tot">'Assessment Issue Scoring'!$H$353</definedName>
    <definedName name="Hea10_01">'Assessment Issue Scoring'!$J$370</definedName>
    <definedName name="Hea10_02">'Assessment Issue Scoring'!$J$371</definedName>
    <definedName name="Hea10_03">'Assessment Issue Scoring'!$J$372</definedName>
    <definedName name="Hea10_04">'Assessment Issue Scoring'!$L$371</definedName>
    <definedName name="Hea10_05">'Assessment Issue Scoring'!$L$372</definedName>
    <definedName name="Hea10_06">'Assessment Issue Scoring'!$N$371</definedName>
    <definedName name="Hea10_07">'Assessment Issue Scoring'!$N$372</definedName>
    <definedName name="Hea10_08">'Assessment Issue Scoring'!$H$376</definedName>
    <definedName name="Hea10_09">'Assessment Issue Scoring'!$H$380</definedName>
    <definedName name="Hea10_10">'Assessment Issue Scoring'!$P$365</definedName>
    <definedName name="Hea10_credits">'Assessment Issue Scoring'!$H$365</definedName>
    <definedName name="Hea10_tot">'Assessment Issue Scoring'!$H$374</definedName>
    <definedName name="i">'Assessment Issue Scoring'!$H$411</definedName>
    <definedName name="Industrial">'Assessment Details'!$AD$173:$AD$175</definedName>
    <definedName name="Inn_01">'Assessment Issue Scoring'!$B$1499</definedName>
    <definedName name="Inn01_01">'Assessment Issue Scoring'!$N$1520</definedName>
    <definedName name="Inn01_02">'Assessment Issue Scoring'!$P$1501</definedName>
    <definedName name="Inn01_03">'Assessment Issue Scoring'!$N$1506:$N$1518</definedName>
    <definedName name="Inn01_04">'Assessment Issue Scoring'!$H$1524</definedName>
    <definedName name="Inn01_credits">'Assessment Issue Scoring'!$H$1501</definedName>
    <definedName name="Inn01_notes">'Assessment Issue Scoring'!$B$1529</definedName>
    <definedName name="Inn01_tot">'Assessment Issue Scoring'!$H$1522</definedName>
    <definedName name="Inn01_Tot_Err">'Assessment Issue Scoring'!$AA$2270</definedName>
    <definedName name="ISERROR">'Assessment Issue Scoring'!$H$411</definedName>
    <definedName name="Law_Court">'Assessment Details'!$AD$189:$AD$192</definedName>
    <definedName name="LE_01">'Assessment Issue Scoring'!$B$1269</definedName>
    <definedName name="LE_02">'Assessment Issue Scoring'!$B$1289</definedName>
    <definedName name="LE_04">'Assessment Issue Scoring'!$B$1332</definedName>
    <definedName name="LE_05">'Assessment Issue Scoring'!$B$1353</definedName>
    <definedName name="LE01_01">'Assessment Issue Scoring'!$J$1276</definedName>
    <definedName name="LE01_02">'Assessment Issue Scoring'!$J$1277</definedName>
    <definedName name="LE01_03">'Assessment Issue Scoring'!$L$1276</definedName>
    <definedName name="LE01_04">'Assessment Issue Scoring'!$L$1277</definedName>
    <definedName name="LE01_05">'Assessment Issue Scoring'!$N$1276</definedName>
    <definedName name="LE01_06">'Assessment Issue Scoring'!$N$1277</definedName>
    <definedName name="LE01_07">'Assessment Issue Scoring'!$P$1271</definedName>
    <definedName name="LE01_08">'Assessment Issue Scoring'!$H$1281</definedName>
    <definedName name="LE01_credits">'Assessment Issue Scoring'!$H$1271</definedName>
    <definedName name="LE01_notes">'Assessment Issue Scoring'!$B$1288</definedName>
    <definedName name="LE01_tot">'Assessment Issue Scoring'!$H$1279</definedName>
    <definedName name="LE02_02">'Assessment Issue Scoring'!$J$1295</definedName>
    <definedName name="LE02_03">'Assessment Issue Scoring'!$J$1298</definedName>
    <definedName name="LE02_04">'Assessment Issue Scoring'!$J$1299</definedName>
    <definedName name="LE02_05">'Assessment Issue Scoring'!$L$1298</definedName>
    <definedName name="LE02_06">'Assessment Issue Scoring'!$N$1298</definedName>
    <definedName name="LE02_07">'Assessment Issue Scoring'!$P$1291</definedName>
    <definedName name="LE02_08">'Assessment Issue Scoring'!$H$1303</definedName>
    <definedName name="LE02_credits">'Assessment Issue Scoring'!$H$1291</definedName>
    <definedName name="LE02_notes">'Assessment Issue Scoring'!$B$1310</definedName>
    <definedName name="LE02_options">'Assessment Issue Scoring'!$Z$2148:$Z$2150</definedName>
    <definedName name="LE02_tot">'Assessment Issue Scoring'!$H$1301</definedName>
    <definedName name="LE03_02">'Assessment Issue Scoring'!$J$1317</definedName>
    <definedName name="LE03_03">'Assessment Issue Scoring'!$J$1320</definedName>
    <definedName name="LE03_05">'Assessment Issue Scoring'!$AB$2155</definedName>
    <definedName name="LE03_06">'Assessment Issue Scoring'!$AB$2156</definedName>
    <definedName name="LE03_08">'Assessment Issue Scoring'!$AD$2156</definedName>
    <definedName name="LE03_09">'Assessment Issue Scoring'!$P$1313</definedName>
    <definedName name="LE03_10">'Assessment Issue Scoring'!$H$1324</definedName>
    <definedName name="LE03_credits">'Assessment Issue Scoring'!$H$1313</definedName>
    <definedName name="LE03_notes">'Assessment Issue Scoring'!$B$1331</definedName>
    <definedName name="LE03_options">'Assessment Issue Scoring'!$Z$2155:$Z$2156</definedName>
    <definedName name="LE03_subtot">'Assessment Issue Scoring'!$AD$2155</definedName>
    <definedName name="LE03_tot">'Assessment Issue Scoring'!$H$1322</definedName>
    <definedName name="LE03_Tot_Err">'Assessment Issue Scoring'!$AA$2266</definedName>
    <definedName name="LE04_02">'Assessment Issue Scoring'!$J$1339</definedName>
    <definedName name="LE04_03">'Assessment Issue Scoring'!$J$1340</definedName>
    <definedName name="LE04_04">'Assessment Issue Scoring'!#REF!</definedName>
    <definedName name="LE04_05">'Assessment Issue Scoring'!$L$1339</definedName>
    <definedName name="LE04_06">'Assessment Issue Scoring'!$N$1339</definedName>
    <definedName name="LE04_07">'Assessment Issue Scoring'!#REF!</definedName>
    <definedName name="LE04_08">'Assessment Issue Scoring'!$Z$2164</definedName>
    <definedName name="LE04_09">'Assessment Issue Scoring'!$Z$2165</definedName>
    <definedName name="LE04_10">'Assessment Issue Scoring'!$AA$2164</definedName>
    <definedName name="LE04_11">'Assessment Issue Scoring'!$AA$2165</definedName>
    <definedName name="LE04_12">'Assessment Issue Scoring'!$AA$2163</definedName>
    <definedName name="LE04_13">'Assessment Issue Scoring'!$P$1334</definedName>
    <definedName name="LE04_14">'Assessment Issue Scoring'!$H$1345</definedName>
    <definedName name="LE04_credits">'Assessment Issue Scoring'!$H$1334</definedName>
    <definedName name="LE04_lookup">'Assessment Issue Scoring'!$AG$2162:$AH$2165</definedName>
    <definedName name="Le04_nonPrison">'Assessment Issue Scoring'!$AD$2164</definedName>
    <definedName name="LE04_nonPrison1">'Assessment Issue Scoring'!$AE$2164</definedName>
    <definedName name="LE04_notes">'Assessment Issue Scoring'!$B$1352</definedName>
    <definedName name="Le04_Prison">'Assessment Issue Scoring'!$AD$2165</definedName>
    <definedName name="LE04_tot">'Assessment Issue Scoring'!$H$1343</definedName>
    <definedName name="LE05_02">'Assessment Issue Scoring'!$J$1360</definedName>
    <definedName name="LE05_03">'Assessment Issue Scoring'!$J$1361</definedName>
    <definedName name="LE05_04">'Assessment Issue Scoring'!$J$1362</definedName>
    <definedName name="LE05_05">'Assessment Issue Scoring'!$J$1363</definedName>
    <definedName name="LE05_06">'Assessment Issue Scoring'!#REF!</definedName>
    <definedName name="LE05_07">'Assessment Issue Scoring'!#REF!</definedName>
    <definedName name="LE05_08">'Assessment Issue Scoring'!#REF!</definedName>
    <definedName name="LE05_09">'Assessment Issue Scoring'!$L$1360</definedName>
    <definedName name="LE05_10">'Assessment Issue Scoring'!$N$1360</definedName>
    <definedName name="LE05_11">'Assessment Issue Scoring'!$AA$2170</definedName>
    <definedName name="LE05_12">'Assessment Issue Scoring'!$AA$2169</definedName>
    <definedName name="LE05_13">'Assessment Issue Scoring'!$AA$2171</definedName>
    <definedName name="LE05_14">'Assessment Issue Scoring'!$P$1355</definedName>
    <definedName name="LE05_15">'Assessment Issue Scoring'!$H$1367</definedName>
    <definedName name="LE05_16">'Assessment Issue Scoring'!$AA$2173</definedName>
    <definedName name="LE05_1to6">'Assessment Issue Scoring'!$AC$2168:$AC$2174</definedName>
    <definedName name="LE05_credits">'Assessment Issue Scoring'!$H$1355</definedName>
    <definedName name="LE05_notes">'Assessment Issue Scoring'!$B$1374</definedName>
    <definedName name="LE05_range01">'Assessment Issue Scoring'!$J$1361:$J$1363</definedName>
    <definedName name="LE05_range02">'Assessment Issue Scoring'!$J$1361:$J$1363</definedName>
    <definedName name="LE05_range03">'Assessment Issue Scoring'!$AG$2171:$AI$2176</definedName>
    <definedName name="LE05_range04">'Assessment Issue Scoring'!$AG$2180:$AH$2182</definedName>
    <definedName name="LE05_range05">'Assessment Issue Scoring'!$AK$2171:$AN$2175</definedName>
    <definedName name="LE05_range06">'Assessment Issue Scoring'!$AK$2179:$AL$2182</definedName>
    <definedName name="LE05_tot">'Assessment Issue Scoring'!$H$1365</definedName>
    <definedName name="LE05_tot_err">'Assessment Issue Scoring'!$AP$2179</definedName>
    <definedName name="LE05NA">'Assessment Issue Scoring'!$Z$1582</definedName>
    <definedName name="M_Resi_Weight">'Assessment Rating &amp; KPIs'!$AA$125:$AK$126</definedName>
    <definedName name="Man_01">'Assessment Issue Scoring'!$B$19</definedName>
    <definedName name="Man_02">'Assessment Issue Scoring'!$B$41</definedName>
    <definedName name="Man_03">'Assessment Issue Scoring'!$B$63</definedName>
    <definedName name="MAN_03_Scoring">'Assessment Issue Scoring'!$AE$1791:$AE$1793</definedName>
    <definedName name="Man_04">'Assessment Issue Scoring'!$B$112</definedName>
    <definedName name="Man_05">'Assessment Issue Scoring'!$B$136</definedName>
    <definedName name="Man_05_Aftercare">'Assessment Issue Scoring'!$B$136:$P$158</definedName>
    <definedName name="Man01_01">'Assessment Issue Scoring'!$J$26</definedName>
    <definedName name="Man01_02">'Assessment Issue Scoring'!$J$27</definedName>
    <definedName name="Man01_03">'Assessment Issue Scoring'!$J$28</definedName>
    <definedName name="Man01_04">'Assessment Issue Scoring'!$J$29</definedName>
    <definedName name="Man01_05">'Assessment Issue Scoring'!#REF!</definedName>
    <definedName name="Man01_06">'Assessment Issue Scoring'!#REF!</definedName>
    <definedName name="Man01_07">'Assessment Issue Scoring'!#REF!</definedName>
    <definedName name="Man01_08">'Assessment Issue Scoring'!#REF!</definedName>
    <definedName name="Man01_09">'Assessment Issue Scoring'!#REF!</definedName>
    <definedName name="Man01_10">'Assessment Issue Scoring'!$L$26</definedName>
    <definedName name="Man01_11">'Assessment Issue Scoring'!$L$27</definedName>
    <definedName name="Man01_12">'Assessment Issue Scoring'!$L$28</definedName>
    <definedName name="Man01_13">'Assessment Issue Scoring'!$L$29</definedName>
    <definedName name="Man01_14">'Assessment Issue Scoring'!#REF!</definedName>
    <definedName name="Man01_15">'Assessment Issue Scoring'!#REF!</definedName>
    <definedName name="Man01_16">'Assessment Issue Scoring'!#REF!</definedName>
    <definedName name="Man01_17">'Assessment Issue Scoring'!#REF!</definedName>
    <definedName name="Man01_18">'Assessment Issue Scoring'!#REF!</definedName>
    <definedName name="Man01_19">'Assessment Issue Scoring'!$N$26</definedName>
    <definedName name="Man01_20">'Assessment Issue Scoring'!$N$27</definedName>
    <definedName name="Man01_21">'Assessment Issue Scoring'!$N$28</definedName>
    <definedName name="Man01_22">'Assessment Issue Scoring'!$N$29</definedName>
    <definedName name="Man01_23">'Assessment Issue Scoring'!#REF!</definedName>
    <definedName name="Man01_24">'Assessment Issue Scoring'!#REF!</definedName>
    <definedName name="Man01_25">'Assessment Issue Scoring'!#REF!</definedName>
    <definedName name="Man01_26">'Assessment Issue Scoring'!#REF!</definedName>
    <definedName name="Man01_27">'Assessment Issue Scoring'!#REF!</definedName>
    <definedName name="Man01_28">'Assessment Issue Scoring'!$P$26</definedName>
    <definedName name="Man01_29">'Assessment Issue Scoring'!$P$27</definedName>
    <definedName name="Man01_30">'Assessment Issue Scoring'!$P$28</definedName>
    <definedName name="Man01_31">'Assessment Issue Scoring'!$P$29</definedName>
    <definedName name="Man01_32">'Assessment Issue Scoring'!#REF!</definedName>
    <definedName name="Man01_33">'Assessment Issue Scoring'!#REF!</definedName>
    <definedName name="Man01_34">'Assessment Issue Scoring'!#REF!</definedName>
    <definedName name="Man01_35">'Assessment Issue Scoring'!#REF!</definedName>
    <definedName name="Man01_36">'Assessment Issue Scoring'!#REF!</definedName>
    <definedName name="Man01_37">'Assessment Issue Scoring'!$H$37</definedName>
    <definedName name="Man01_38">'Assessment Issue Scoring'!$P$21</definedName>
    <definedName name="Man01_39">'Assessment Issue Scoring'!$H$33</definedName>
    <definedName name="Man01_ccs_credits02">'Assessment Issue Scoring'!$AC$1794</definedName>
    <definedName name="Man01_credits">'Assessment Issue Scoring'!$H$21</definedName>
    <definedName name="Man01_Exemp">'Assessment Issue Scoring'!$H$35</definedName>
    <definedName name="Man01_notes">'Assessment Issue Scoring'!$B$40</definedName>
    <definedName name="Man01_Tot">'Assessment Issue Scoring'!$H$31</definedName>
    <definedName name="Man01_Tot_Err">'Assessment Issue Scoring'!$AA$2220</definedName>
    <definedName name="Man02_01">'Assessment Issue Scoring'!$J$48</definedName>
    <definedName name="Man02_02">'Assessment Issue Scoring'!$H$45</definedName>
    <definedName name="Man02_03">'Assessment Issue Scoring'!$P$49</definedName>
    <definedName name="Man02_11">'Assessment Issue Scoring'!$P$43</definedName>
    <definedName name="Man02_12">'Assessment Issue Scoring'!$H$55</definedName>
    <definedName name="Man02_14">'Assessment Issue Scoring'!$J$49</definedName>
    <definedName name="Man02_15">'Assessment Issue Scoring'!$J$50</definedName>
    <definedName name="Man02_16">'Assessment Issue Scoring'!$J$51</definedName>
    <definedName name="Man02_ccs_credits01">'Assessment Issue Scoring'!$AC$1793</definedName>
    <definedName name="Man02_ccs_credits03">'Assessment Issue Scoring'!$AC$1795</definedName>
    <definedName name="Man02_ccs_credits04">'Assessment Issue Scoring'!$AC$1796</definedName>
    <definedName name="Man02_ccs_option01">'Assessment Issue Scoring'!$AB$1790</definedName>
    <definedName name="Man02_ccs_option03">'Assessment Issue Scoring'!$AB$1794</definedName>
    <definedName name="Man02_ccs_option04">'Assessment Issue Scoring'!$AB$1795</definedName>
    <definedName name="Man02_ccs_option05">'Assessment Issue Scoring'!$AB$1796</definedName>
    <definedName name="Man02_ccs_optipn02">'Assessment Issue Scoring'!$AB$1793</definedName>
    <definedName name="Man02_CCSscheme_Standard_benchmarks">'Assessment Issue Scoring'!$AB$1790:$AC$1795</definedName>
    <definedName name="Man02_CCSschemelist">'Assessment Issue Scoring'!$AB$1791:$AB$1795</definedName>
    <definedName name="Man02_credits">'Assessment Issue Scoring'!$H$43</definedName>
    <definedName name="Man02_Exemp">'Assessment Issue Scoring'!$H$57</definedName>
    <definedName name="Man02_notes">'Assessment Issue Scoring'!$B$62</definedName>
    <definedName name="Man02_options">'Assessment Issue Scoring'!$Z$1790:$Z$1793</definedName>
    <definedName name="Man02_Tot">'Assessment Issue Scoring'!$H$53</definedName>
    <definedName name="Man02_Tot_Err">'Assessment Issue Scoring'!$AA$2221</definedName>
    <definedName name="Man03_01">'Assessment Issue Scoring'!$J$72</definedName>
    <definedName name="Man03_02">'Assessment Issue Scoring'!$J$73</definedName>
    <definedName name="Man03_03">'Assessment Issue Scoring'!$J$74</definedName>
    <definedName name="Man03_04">'Assessment Issue Scoring'!$J$75</definedName>
    <definedName name="Man03_05">'Assessment Issue Scoring'!#REF!</definedName>
    <definedName name="Man03_06">'Assessment Issue Scoring'!$L$72</definedName>
    <definedName name="Man03_07">'Assessment Issue Scoring'!$L$73</definedName>
    <definedName name="Man03_08">'Assessment Issue Scoring'!$L$74</definedName>
    <definedName name="Man03_09">'Assessment Issue Scoring'!$L$75</definedName>
    <definedName name="Man03_10">'Assessment Issue Scoring'!#REF!</definedName>
    <definedName name="Man03_11">'Assessment Issue Scoring'!#REF!</definedName>
    <definedName name="Man03_11a">'Assessment Issue Scoring'!$J$76</definedName>
    <definedName name="Man03_11b">'Assessment Issue Scoring'!$J$77</definedName>
    <definedName name="Man03_11c">'Assessment Issue Scoring'!$J$78</definedName>
    <definedName name="Man03_12">'Assessment Issue Scoring'!$P$65</definedName>
    <definedName name="Man03_13">'Assessment Issue Scoring'!$N$72</definedName>
    <definedName name="Man03_14">'Assessment Issue Scoring'!$N$73</definedName>
    <definedName name="Man03_15">'Assessment Issue Scoring'!$N$74</definedName>
    <definedName name="Man03_16">'Assessment Issue Scoring'!$N$75</definedName>
    <definedName name="Man03_17">'Assessment Issue Scoring'!#REF!</definedName>
    <definedName name="Man03_18">'Assessment Issue Scoring'!$H$104</definedName>
    <definedName name="Man03_47">'Assessment Issue Scoring'!$H$106</definedName>
    <definedName name="Man03_credits">'Assessment Issue Scoring'!$H$65</definedName>
    <definedName name="Man03_inn">'Assessment Issue Scoring'!$H$67</definedName>
    <definedName name="Man03_kPI01">'Assessment Issue Scoring'!$J$81</definedName>
    <definedName name="Man03_KPI02">'Assessment Issue Scoring'!$J$82</definedName>
    <definedName name="Man03_KPI03">'Assessment Issue Scoring'!$J$91</definedName>
    <definedName name="Man03_KPI04">'Assessment Issue Scoring'!$J$92</definedName>
    <definedName name="Man03_KPI05">'Assessment Issue Scoring'!$J$99</definedName>
    <definedName name="Man03_KPI06">'Assessment Issue Scoring'!$J$100</definedName>
    <definedName name="Man03_KPI07">'Assessment Issue Scoring'!$J$83</definedName>
    <definedName name="Man03_KPI08">'Assessment Issue Scoring'!$J$85</definedName>
    <definedName name="Man03_KPI09">'Assessment Issue Scoring'!$J$87</definedName>
    <definedName name="Man03_KPI09_Err">'Assessment Issue Scoring'!$AA$2222</definedName>
    <definedName name="Man03_KPI10">'Assessment Issue Scoring'!$J$93</definedName>
    <definedName name="Man03_KPI11">'Assessment Issue Scoring'!$J$95</definedName>
    <definedName name="Man03_KPI11_Err">'Assessment Issue Scoring'!$AA$2224</definedName>
    <definedName name="Man03_kPI12">'Assessment Issue Scoring'!$J$84</definedName>
    <definedName name="Man03_KPI13">'Assessment Issue Scoring'!$J$86</definedName>
    <definedName name="Man03_KPI14">'Assessment Issue Scoring'!$J$88</definedName>
    <definedName name="Man03_KPI14_Err">'Assessment Issue Scoring'!$AA$2223</definedName>
    <definedName name="Man03_KPI15">'Assessment Issue Scoring'!$J$94</definedName>
    <definedName name="Man03_KPI16">'Assessment Issue Scoring'!$J$96</definedName>
    <definedName name="Man03_KPI16_Err">'Assessment Issue Scoring'!$AA$2225</definedName>
    <definedName name="Man03_notes">'Assessment Issue Scoring'!$B$111</definedName>
    <definedName name="Man03_prereq">'Assessment Issue Scoring'!$J$70</definedName>
    <definedName name="Man03_prereq2">'Assessment Issue Scoring'!$J$71</definedName>
    <definedName name="Man03_Tot">'Assessment Issue Scoring'!$H$102</definedName>
    <definedName name="Man03_Tot_Err">'Assessment Issue Scoring'!$AA$2226</definedName>
    <definedName name="Man04_01">'Assessment Issue Scoring'!$J$119</definedName>
    <definedName name="Man04_02">'Assessment Issue Scoring'!$J$120</definedName>
    <definedName name="Man04_03">'Assessment Issue Scoring'!$J$121</definedName>
    <definedName name="Man04_03cred_FF_SnC">'Assessment Issue Scoring'!$AH$1796</definedName>
    <definedName name="Man04_03credit_SO">'Assessment Issue Scoring'!$AI$1796</definedName>
    <definedName name="Man04_04">'Assessment Issue Scoring'!$J$122</definedName>
    <definedName name="Man04_04_1">'Assessment Issue Scoring'!$J$123</definedName>
    <definedName name="Man04_05">'Assessment Issue Scoring'!$L$119</definedName>
    <definedName name="Man04_06">'Assessment Issue Scoring'!$L$120</definedName>
    <definedName name="Man04_07">'Assessment Issue Scoring'!$L$121</definedName>
    <definedName name="Man04_08">'Assessment Issue Scoring'!$L$122</definedName>
    <definedName name="Man04_09">'Assessment Issue Scoring'!$N$119</definedName>
    <definedName name="Man04_10">'Assessment Issue Scoring'!$N$120</definedName>
    <definedName name="Man04_11">'Assessment Issue Scoring'!$N$121</definedName>
    <definedName name="Man04_12">'Assessment Issue Scoring'!$N$122</definedName>
    <definedName name="Man04_13">'Assessment Issue Scoring'!$P$119</definedName>
    <definedName name="Man04_14">'Assessment Issue Scoring'!$P$120</definedName>
    <definedName name="Man04_15">'Assessment Issue Scoring'!$P$121</definedName>
    <definedName name="Man04_16">'Assessment Issue Scoring'!$P$122</definedName>
    <definedName name="Man04_17">'Assessment Issue Scoring'!$P$114</definedName>
    <definedName name="Man04_40">'Assessment Issue Scoring'!$J$123</definedName>
    <definedName name="Man04_BUG">'Assessment Issue Scoring'!$J$123</definedName>
    <definedName name="Man04_credits">'Assessment Issue Scoring'!$H$114</definedName>
    <definedName name="Man04_notes">'Assessment Issue Scoring'!$B$134</definedName>
    <definedName name="Man04_shell">'Assessment Issue Scoring'!$AE$1796</definedName>
    <definedName name="Man04_tot">'Assessment Issue Scoring'!$H$125</definedName>
    <definedName name="Man04_Tot_Err">'Assessment Issue Scoring'!$AA$2227</definedName>
    <definedName name="Man05_01">'Assessment Issue Scoring'!$J$143</definedName>
    <definedName name="Man05_02">'Assessment Issue Scoring'!$J$144</definedName>
    <definedName name="Man05_03">'Assessment Issue Scoring'!$J$145</definedName>
    <definedName name="Man05_04">'Assessment Issue Scoring'!$L$143</definedName>
    <definedName name="Man05_05">'Assessment Issue Scoring'!$L$144</definedName>
    <definedName name="Man05_06">'Assessment Issue Scoring'!$L$145</definedName>
    <definedName name="Man05_07">'Assessment Issue Scoring'!$N$143</definedName>
    <definedName name="Man05_08">'Assessment Issue Scoring'!$N$144</definedName>
    <definedName name="Man05_09">'Assessment Issue Scoring'!$N$145</definedName>
    <definedName name="Man05_10">'Assessment Issue Scoring'!$P$138</definedName>
    <definedName name="Man05_11">'Assessment Issue Scoring'!$P$136</definedName>
    <definedName name="Man05_credits">'Assessment Issue Scoring'!$H$138</definedName>
    <definedName name="Man05_exemp">'Assessment Issue Scoring'!$J$146</definedName>
    <definedName name="Man05_exemp_01">'Assessment Issue Scoring'!$L$146</definedName>
    <definedName name="Man05_exemp_02">'Assessment Issue Scoring'!$N$146</definedName>
    <definedName name="Man05_notes">'Assessment Issue Scoring'!$B$157</definedName>
    <definedName name="Man05_tot">'Assessment Issue Scoring'!$H$148</definedName>
    <definedName name="Man05_Tot_Err">'Assessment Issue Scoring'!$AA$2228</definedName>
    <definedName name="Man06_01">'Assessment Issue Scoring'!$J$166</definedName>
    <definedName name="Man06_02">'Assessment Issue Scoring'!$L$166</definedName>
    <definedName name="Man06_03">'Assessment Issue Scoring'!$N$166</definedName>
    <definedName name="Man06_04">'Assessment Issue Scoring'!$P$159</definedName>
    <definedName name="Man06_05">'Assessment Issue Scoring'!$P$161</definedName>
    <definedName name="Man06_cont">'Assessment Issue Scoring'!$H$170</definedName>
    <definedName name="Man06_credits">'Assessment Issue Scoring'!$H$161</definedName>
    <definedName name="Man06_prereq">'Assessment Issue Scoring'!$J$165</definedName>
    <definedName name="Man06_tot">'Assessment Issue Scoring'!$H$168</definedName>
    <definedName name="Mat_04">'Assessment Issue Scoring'!$B$991</definedName>
    <definedName name="Mat_05">'Assessment Issue Scoring'!$B$1011</definedName>
    <definedName name="Mat_06">'Assessment Issue Scoring'!$B$1032</definedName>
    <definedName name="Mat01_02">'Assessment Issue Scoring'!$H$917</definedName>
    <definedName name="Mat01_03">'Assessment Issue Scoring'!$J$921</definedName>
    <definedName name="Mat01_04">'Assessment Issue Scoring'!#REF!</definedName>
    <definedName name="Mat01_05">'Assessment Issue Scoring'!$J$920</definedName>
    <definedName name="Mat01_06">'Assessment Issue Scoring'!$J$922</definedName>
    <definedName name="Mat01_07">'Assessment Issue Scoring'!$J$923</definedName>
    <definedName name="Mat01_08">'Assessment Issue Scoring'!$H$942</definedName>
    <definedName name="Mat01_09">'Assessment Issue Scoring'!$J$927</definedName>
    <definedName name="Mat01_10">'Assessment Issue Scoring'!$J$928</definedName>
    <definedName name="Mat01_11">'Assessment Issue Scoring'!$J$929</definedName>
    <definedName name="Mat01_12">'Assessment Issue Scoring'!$J$930</definedName>
    <definedName name="Mat01_13">'Assessment Issue Scoring'!$J$931</definedName>
    <definedName name="Mat01_14">'Assessment Issue Scoring'!$J$932</definedName>
    <definedName name="Mat01_15">'Assessment Issue Scoring'!$L$927</definedName>
    <definedName name="Mat01_16">'Assessment Issue Scoring'!$L$928</definedName>
    <definedName name="Mat01_17">'Assessment Issue Scoring'!$L$929</definedName>
    <definedName name="Mat01_18">'Assessment Issue Scoring'!$L$930</definedName>
    <definedName name="Mat01_19">'Assessment Issue Scoring'!$L$931</definedName>
    <definedName name="Mat01_20">'Assessment Issue Scoring'!$L$932</definedName>
    <definedName name="Mat01_21">'Assessment Issue Scoring'!$N$927</definedName>
    <definedName name="Mat01_22">'Assessment Issue Scoring'!$N$928</definedName>
    <definedName name="Mat01_23">'Assessment Issue Scoring'!$N$929</definedName>
    <definedName name="Mat01_24">'Assessment Issue Scoring'!$N$930</definedName>
    <definedName name="Mat01_25">'Assessment Issue Scoring'!$N$931</definedName>
    <definedName name="Mat01_26">'Assessment Issue Scoring'!$N$932</definedName>
    <definedName name="Mat01_27">'Assessment Issue Scoring'!$P$915</definedName>
    <definedName name="Mat01_28">'Assessment Issue Scoring'!$H$940</definedName>
    <definedName name="Mat01_29">'Assessment Issue Scoring'!$J$924</definedName>
    <definedName name="Mat01_courts">'Assessment Issue Scoring'!$AC$2088</definedName>
    <definedName name="Mat01_credits">'Assessment Issue Scoring'!$H$915</definedName>
    <definedName name="Mat01_credits_extra">'Assessment Issue Scoring'!$H$914</definedName>
    <definedName name="Mat01_dataapp">'Assessment Issue Scoring'!$N$927:$N$932</definedName>
    <definedName name="Mat01_datacheck">'Assessment Issue Scoring'!$Z$2087</definedName>
    <definedName name="Mat01_education">'Assessment Issue Scoring'!$AC$2085</definedName>
    <definedName name="Mat01_Exemp_tot">'Assessment Issue Scoring'!$AA$2275</definedName>
    <definedName name="Mat01_healthcare">'Assessment Issue Scoring'!$AC$2086</definedName>
    <definedName name="Mat01_industrial">'Assessment Issue Scoring'!$AC$2084</definedName>
    <definedName name="Mat01_KPI01">'Assessment Issue Scoring'!$J$935</definedName>
    <definedName name="Mat01_KPI02">'Assessment Issue Scoring'!$N$935</definedName>
    <definedName name="Mat01_KPI03">'Assessment Issue Scoring'!$J$936</definedName>
    <definedName name="Mat01_multires">'Assessment Issue Scoring'!$AC$2089</definedName>
    <definedName name="Mat01_notes">'Assessment Issue Scoring'!$B$947</definedName>
    <definedName name="Mat01_office">'Assessment Issue Scoring'!$AC$2082</definedName>
    <definedName name="Mat01_other">'Assessment Issue Scoring'!$AC$2090</definedName>
    <definedName name="Mat01_prisons">'Assessment Issue Scoring'!$AC$2087</definedName>
    <definedName name="Mat01_retail">'Assessment Issue Scoring'!$AC$2083</definedName>
    <definedName name="Mat01_tot">'Assessment Issue Scoring'!$H$938</definedName>
    <definedName name="Mat01_totalarea">'Assessment Issue Scoring'!$J$927:$J$932</definedName>
    <definedName name="Mat01_totalimpact">'Assessment Issue Scoring'!$L$927:$L$932</definedName>
    <definedName name="Mat02_02">'Assessment Issue Scoring'!$J$955</definedName>
    <definedName name="Mat02_03">'Assessment Issue Scoring'!$L$955</definedName>
    <definedName name="Mat02_04">'Assessment Issue Scoring'!$N$955</definedName>
    <definedName name="Mat02_05">'Assessment Issue Scoring'!$P$950</definedName>
    <definedName name="Mat02_06">'Assessment Issue Scoring'!$H$959</definedName>
    <definedName name="Mat02_credits">'Assessment Issue Scoring'!$H$950</definedName>
    <definedName name="Mat02_notes">'Assessment Issue Scoring'!$B$966</definedName>
    <definedName name="Mat02_tot">'Assessment Issue Scoring'!$H$957</definedName>
    <definedName name="Mat03_02">'Assessment Issue Scoring'!$H$971</definedName>
    <definedName name="Mat03_03">'Assessment Issue Scoring'!$J$977</definedName>
    <definedName name="Mat03_03_Err">'Assessment Issue Scoring'!$AA$2260</definedName>
    <definedName name="Mat03_04">'Assessment Issue Scoring'!$L$977</definedName>
    <definedName name="Mat03_05">'Assessment Issue Scoring'!$N$977</definedName>
    <definedName name="Mat03_05_Err">'Assessment Issue Scoring'!$AA$2261</definedName>
    <definedName name="Mat03_06">'Assessment Issue Scoring'!$J$974</definedName>
    <definedName name="Mat03_07">'Assessment Issue Scoring'!#REF!</definedName>
    <definedName name="Mat03_08">'Assessment Issue Scoring'!#REF!</definedName>
    <definedName name="Mat03_09">'Assessment Issue Scoring'!#REF!</definedName>
    <definedName name="Mat03_10">'Assessment Issue Scoring'!#REF!</definedName>
    <definedName name="Mat03_11">'Assessment Issue Scoring'!#REF!</definedName>
    <definedName name="Mat03_12">'Assessment Issue Scoring'!#REF!</definedName>
    <definedName name="Mat03_13">'Assessment Issue Scoring'!#REF!</definedName>
    <definedName name="Mat03_14">'Assessment Issue Scoring'!#REF!</definedName>
    <definedName name="Mat03_15">'Assessment Issue Scoring'!#REF!</definedName>
    <definedName name="Mat03_16">'Assessment Issue Scoring'!#REF!</definedName>
    <definedName name="Mat03_17">'Assessment Issue Scoring'!#REF!</definedName>
    <definedName name="Mat03_18">'Assessment Issue Scoring'!#REF!</definedName>
    <definedName name="Mat03_19">'Assessment Issue Scoring'!#REF!</definedName>
    <definedName name="Mat03_20">'Assessment Issue Scoring'!#REF!</definedName>
    <definedName name="Mat03_21">'Assessment Issue Scoring'!#REF!</definedName>
    <definedName name="Mat03_22">'Assessment Issue Scoring'!#REF!</definedName>
    <definedName name="Mat03_23">'Assessment Issue Scoring'!#REF!</definedName>
    <definedName name="Mat03_24">'Assessment Issue Scoring'!#REF!</definedName>
    <definedName name="Mat03_25">'Assessment Issue Scoring'!#REF!</definedName>
    <definedName name="Mat03_26">'Assessment Issue Scoring'!#REF!</definedName>
    <definedName name="Mat03_27">'Assessment Issue Scoring'!#REF!</definedName>
    <definedName name="Mat03_28">'Assessment Issue Scoring'!#REF!</definedName>
    <definedName name="Mat03_29">'Assessment Issue Scoring'!#REF!</definedName>
    <definedName name="Mat03_30">'Assessment Issue Scoring'!#REF!</definedName>
    <definedName name="Mat03_31">'Assessment Issue Scoring'!#REF!</definedName>
    <definedName name="Mat03_32">'Assessment Issue Scoring'!#REF!</definedName>
    <definedName name="Mat03_33">'Assessment Issue Scoring'!#REF!</definedName>
    <definedName name="Mat03_35">'Assessment Issue Scoring'!$H$985</definedName>
    <definedName name="Mat03_36">'Assessment Issue Scoring'!$H$987</definedName>
    <definedName name="Mat03_37">'Assessment Issue Scoring'!$P$969</definedName>
    <definedName name="Mat03_38">'Assessment Issue Scoring'!$H$983</definedName>
    <definedName name="Mat03_credit_benchmarks">'Assessment Issue Scoring'!$Z$2095:$AA$2098</definedName>
    <definedName name="Mat03_credits">'Assessment Issue Scoring'!$H$969</definedName>
    <definedName name="Mat03_data_range01">'Assessment Issue Scoring'!#REF!</definedName>
    <definedName name="Mat03_elementapp">'Assessment Issue Scoring'!#REF!</definedName>
    <definedName name="Mat03_errorcheck">'Assessment Issue Scoring'!$Z$2102</definedName>
    <definedName name="Mat03_exemp">'Assessment Issue Scoring'!$AA$2100</definedName>
    <definedName name="Mat03_notes">'Assessment Issue Scoring'!$B$990</definedName>
    <definedName name="Mat03_route_options">'Assessment Issue Scoring'!$AC$2094:$AC$2097</definedName>
    <definedName name="Mat03_tot">'Assessment Issue Scoring'!$H$981</definedName>
    <definedName name="Mat03_totalpoints">'Assessment Issue Scoring'!#REF!</definedName>
    <definedName name="Mat03susproc">'Assessment Issue Scoring'!$J$976</definedName>
    <definedName name="Mat04_01">'Assessment Issue Scoring'!$J$998</definedName>
    <definedName name="Mat04_02">'Assessment Issue Scoring'!#REF!</definedName>
    <definedName name="Mat04_03">'Assessment Issue Scoring'!$L$998</definedName>
    <definedName name="Mat04_04">'Assessment Issue Scoring'!#REF!</definedName>
    <definedName name="Mat04_05">'Assessment Issue Scoring'!$N$998</definedName>
    <definedName name="Mat04_06">'Assessment Issue Scoring'!#REF!</definedName>
    <definedName name="Mat04_07">'Assessment Issue Scoring'!$P$998</definedName>
    <definedName name="Mat04_08">'Assessment Issue Scoring'!#REF!</definedName>
    <definedName name="Mat04_09">'Assessment Issue Scoring'!$P$993</definedName>
    <definedName name="Mat04_10">'Assessment Issue Scoring'!$H$1002</definedName>
    <definedName name="Mat04_credits">'Assessment Issue Scoring'!$H$993</definedName>
    <definedName name="Mat04_notes">'Assessment Issue Scoring'!$B$1009</definedName>
    <definedName name="Mat04_tot">'Assessment Issue Scoring'!$H$1000</definedName>
    <definedName name="Mat05_01">'Assessment Issue Scoring'!$J$1018</definedName>
    <definedName name="Mat05_01a">'Assessment Issue Scoring'!$J$1019</definedName>
    <definedName name="Mat05_02">'Assessment Issue Scoring'!$L$1018</definedName>
    <definedName name="Mat05_03">'Assessment Issue Scoring'!$N$1018</definedName>
    <definedName name="Mat05_04">'Assessment Issue Scoring'!$P$1018</definedName>
    <definedName name="Mat05_05">'Assessment Issue Scoring'!$P$1013</definedName>
    <definedName name="Mat05_06">'Assessment Issue Scoring'!$H$1023</definedName>
    <definedName name="Mat05_08">'Assessment Issue Scoring'!$H$152</definedName>
    <definedName name="Mat05_credits">'Assessment Issue Scoring'!$H$1013</definedName>
    <definedName name="Mat05_notes">'Assessment Issue Scoring'!$B$1030</definedName>
    <definedName name="Mat05_tot">'Assessment Issue Scoring'!$H$1021</definedName>
    <definedName name="Mat06_01">'Assessment Issue Scoring'!$J$1039</definedName>
    <definedName name="MAt06_09">'Assessment Issue Scoring'!$P$1034</definedName>
    <definedName name="Mat06_Credits">'Assessment Issue Scoring'!$H$1034</definedName>
    <definedName name="Mat06_tot">'Assessment Issue Scoring'!$H$1041</definedName>
    <definedName name="Mat07_01">'Assessment Issue Scoring'!$J$1059</definedName>
    <definedName name="Mat07_02">'Assessment Issue Scoring'!$L$1059</definedName>
    <definedName name="Mat07_03">'Assessment Issue Scoring'!$N$1059</definedName>
    <definedName name="Mat07_04">'Assessment Issue Scoring'!$J$1060</definedName>
    <definedName name="Mat07_05">'Assessment Issue Scoring'!$L$1060</definedName>
    <definedName name="Mat07_06">'Assessment Issue Scoring'!$N$1060</definedName>
    <definedName name="Mat07_07">'Assessment Issue Scoring'!$P$1053</definedName>
    <definedName name="Mat07_08">'Assessment Issue Scoring'!$H$1055</definedName>
    <definedName name="mat07_09">'Assessment Issue Scoring'!$J$1061</definedName>
    <definedName name="Mat07_10">'Assessment Issue Scoring'!$H$1067</definedName>
    <definedName name="Mat07_credits">'Assessment Issue Scoring'!$H$1053</definedName>
    <definedName name="Mat07_tot">'Assessment Issue Scoring'!$H$1063</definedName>
    <definedName name="MinSt_01">'Assessment Issue Scoring'!$AK$1640</definedName>
    <definedName name="MinSt_02">'Assessment Issue Scoring'!$AI$1640</definedName>
    <definedName name="MinSt_03">'Assessment Issue Scoring'!$AI$1641</definedName>
    <definedName name="MinSt_04">'Assessment Issue Scoring'!$AI$1642</definedName>
    <definedName name="MinSt_05">'Assessment Issue Scoring'!#REF!</definedName>
    <definedName name="MinSt_06">'Assessment Issue Scoring'!$AI$1647</definedName>
    <definedName name="MinSt_07">'Assessment Issue Scoring'!$AI$1648</definedName>
    <definedName name="MinSt_08">'Assessment Issue Scoring'!#REF!</definedName>
    <definedName name="MinSt_09">'Assessment Issue Scoring'!$AI$1650</definedName>
    <definedName name="MinSt_10">'Assessment Issue Scoring'!$AI$1651</definedName>
    <definedName name="MinSt_11">'Assessment Issue Scoring'!$AI$1652</definedName>
    <definedName name="MinSt_12">'Assessment Issue Scoring'!$AI$1653</definedName>
    <definedName name="MinSt_13">'Assessment Issue Scoring'!$AI$1654</definedName>
    <definedName name="MinSt_14">'Assessment Issue Scoring'!$AI$1643</definedName>
    <definedName name="MinSt_15">'Assessment Issue Scoring'!$AI$1644</definedName>
    <definedName name="MinSt_16">'Assessment Issue Scoring'!$AI$1645</definedName>
    <definedName name="MinSt_17">'Assessment Issue Scoring'!$AI$1646</definedName>
    <definedName name="MinSt_18">'Assessment Issue Scoring'!$AI$1649</definedName>
    <definedName name="Mna02_ccs_credits00">'Assessment Issue Scoring'!$AC$1790</definedName>
    <definedName name="MultiResidential_Accommodation">'Assessment Details'!$AD$193:$AD$199</definedName>
    <definedName name="Non_Resi_Weight">'Assessment Rating &amp; KPIs'!$AA$133:$AK$135</definedName>
    <definedName name="Northern_Ireland">'Assessment Issue Scoring'!$Z$1557</definedName>
    <definedName name="Not_cons_imp">'Assessment Issue Scoring'!$AA$1816</definedName>
    <definedName name="Not_Cons_Imp_SAP">'Assessment Issue Scoring'!$AA$1822</definedName>
    <definedName name="Not_dem_imp">'Assessment Issue Scoring'!$AA$1815</definedName>
    <definedName name="Not_dem_impSAP">'Assessment Issue Scoring'!$AA$1821</definedName>
    <definedName name="Office">'Assessment Details'!$AD$176:$AD$177</definedName>
    <definedName name="Old_wst01_02">'Assessment Issue Scoring'!$J$981</definedName>
    <definedName name="Pol_01">'Assessment Issue Scoring'!$B$1378</definedName>
    <definedName name="Pol_02">'Assessment Issue Scoring'!$B$1402</definedName>
    <definedName name="Pol_03">'Assessment Issue Scoring'!$B$1428</definedName>
    <definedName name="Pol_04">'Assessment Issue Scoring'!$B$1454</definedName>
    <definedName name="Pol_05">'Assessment Issue Scoring'!$B$1473</definedName>
    <definedName name="Pol01_01">'Assessment Issue Scoring'!$P$1378</definedName>
    <definedName name="Pol01_02">'Assessment Issue Scoring'!$J$1385</definedName>
    <definedName name="Pol01_03">'Assessment Issue Scoring'!$L$1385</definedName>
    <definedName name="Pol01_04">'Assessment Issue Scoring'!$N$1385</definedName>
    <definedName name="Pol01_05">'Assessment Issue Scoring'!$P$1385</definedName>
    <definedName name="Pol01_06">'Assessment Issue Scoring'!$J$1387</definedName>
    <definedName name="Pol01_07">'Assessment Issue Scoring'!$J$1388</definedName>
    <definedName name="Pol01_08">'Assessment Issue Scoring'!$J$1390</definedName>
    <definedName name="Pol01_09">'Assessment Issue Scoring'!$L$1390</definedName>
    <definedName name="Pol01_10">'Assessment Issue Scoring'!$N$1390</definedName>
    <definedName name="Pol01_11">'Assessment Issue Scoring'!$Z$2186</definedName>
    <definedName name="Pol01_12">'Assessment Issue Scoring'!$Z$2187</definedName>
    <definedName name="Pol01_13">'Assessment Issue Scoring'!$Z$2188</definedName>
    <definedName name="Pol01_14">'Assessment Issue Scoring'!$AA$2186</definedName>
    <definedName name="Pol01_15">'Assessment Issue Scoring'!$AA$2187</definedName>
    <definedName name="Pol01_16">'Assessment Issue Scoring'!$AA$2188</definedName>
    <definedName name="Pol01_17">'Assessment Issue Scoring'!$AA$2189</definedName>
    <definedName name="Pol01_18">'Assessment Issue Scoring'!$P$1390</definedName>
    <definedName name="Pol01_19">'Assessment Issue Scoring'!$P$1380</definedName>
    <definedName name="Pol01_20">'Assessment Issue Scoring'!$H$1394</definedName>
    <definedName name="Pol01_21">'Assessment Issue Scoring'!$J$1389</definedName>
    <definedName name="Pol01_credits">'Assessment Issue Scoring'!$H$1380</definedName>
    <definedName name="Pol01_KPI02">'Assessment Issue Scoring'!$J$1413</definedName>
    <definedName name="Pol01_notes">'Assessment Issue Scoring'!$B$1401</definedName>
    <definedName name="Pol01_prereq">'Assessment Issue Scoring'!$J$1386</definedName>
    <definedName name="Pol01_tot">'Assessment Issue Scoring'!$H$1392</definedName>
    <definedName name="Pol01_Tot_Err">'Assessment Issue Scoring'!$AA$2267</definedName>
    <definedName name="Pol02_02">'Assessment Issue Scoring'!$AH$2203</definedName>
    <definedName name="Pol02_03">'Assessment Issue Scoring'!$AG$2204</definedName>
    <definedName name="Pol02_04">'Assessment Issue Scoring'!$AG$2205</definedName>
    <definedName name="Pol02_05">'Assessment Issue Scoring'!$AL$2197</definedName>
    <definedName name="Pol02_06">'Assessment Issue Scoring'!$AL$2198</definedName>
    <definedName name="Pol02_07">'Assessment Issue Scoring'!$AM$2197</definedName>
    <definedName name="Pol02_08">'Assessment Issue Scoring'!$AM$2198</definedName>
    <definedName name="Pol02_09">'Assessment Issue Scoring'!$AN$2197</definedName>
    <definedName name="Pol02_10">'Assessment Issue Scoring'!$AN$2198</definedName>
    <definedName name="Pol02_11">'Assessment Issue Scoring'!$AO$2197</definedName>
    <definedName name="Pol02_12">'Assessment Issue Scoring'!$AO$2198</definedName>
    <definedName name="Pol02_20">'Assessment Issue Scoring'!$J$1409</definedName>
    <definedName name="Pol02_21">'Assessment Issue Scoring'!$J$1411</definedName>
    <definedName name="Pol02_23">'Assessment Issue Scoring'!$P$1409</definedName>
    <definedName name="Pol02_24">'Assessment Issue Scoring'!$P$1402</definedName>
    <definedName name="Pol02_25">'Assessment Issue Scoring'!$P$1411</definedName>
    <definedName name="Pol02_26">'Assessment Issue Scoring'!$P$1404</definedName>
    <definedName name="Pol02_27">'Assessment Issue Scoring'!$H$1420</definedName>
    <definedName name="Pol02_28">'Assessment Issue Scoring'!$P$1410</definedName>
    <definedName name="Pol02_29">'Assessment Issue Scoring'!$J$1410</definedName>
    <definedName name="Pol02_30">'Assessment Issue Scoring'!$J$1412</definedName>
    <definedName name="Pol02_31">'Assessment Issue Scoring'!$AC$2204</definedName>
    <definedName name="Pol02_32">'Assessment Issue Scoring'!#REF!</definedName>
    <definedName name="Pol02_40">'Assessment Issue Scoring'!#REF!</definedName>
    <definedName name="Pol02_benchmark01">'Assessment Issue Scoring'!$Z$2197:$AA$2203</definedName>
    <definedName name="Pol02_benchmark02">'Assessment Issue Scoring'!$AH$2197:$AI$2204</definedName>
    <definedName name="Pol02_Calc_tot">'Assessment Issue Scoring'!$AA$2271</definedName>
    <definedName name="Pol02_credits">'Assessment Issue Scoring'!$H$1404</definedName>
    <definedName name="Pol02_HIB_options">'Assessment Issue Scoring'!$AC$2199:$AC$2200</definedName>
    <definedName name="Pol02_notes">'Assessment Issue Scoring'!$B$1427</definedName>
    <definedName name="Pol02_result">'Assessment Issue Scoring'!$Z$2206</definedName>
    <definedName name="Pol02_result01">'Assessment Issue Scoring'!$Z$2204</definedName>
    <definedName name="Pol02_result02">'Assessment Issue Scoring'!$AG$2207</definedName>
    <definedName name="Pol02_result03">'Assessment Issue Scoring'!$AL$2200</definedName>
    <definedName name="Pol02_tot">'Assessment Issue Scoring'!$H$1418</definedName>
    <definedName name="Pol02_Tot_01">'Assessment Issue Scoring'!$AC$2196</definedName>
    <definedName name="Pol02_Tot_02">'Assessment Issue Scoring'!$AC$2197</definedName>
    <definedName name="Pol02_Tot_2">'Assessment Issue Scoring'!$AC$2197</definedName>
    <definedName name="Pol03_01">'Assessment Issue Scoring'!$J$1435</definedName>
    <definedName name="Pol03_02">'Assessment Issue Scoring'!$J$1436</definedName>
    <definedName name="Pol03_03">'Assessment Issue Scoring'!$J$1437</definedName>
    <definedName name="Pol03_04">'Assessment Issue Scoring'!$J$1438</definedName>
    <definedName name="Pol03_05">'Assessment Issue Scoring'!$J$1439</definedName>
    <definedName name="Pol03_06">'Assessment Issue Scoring'!$L$1435</definedName>
    <definedName name="Pol03_07">'Assessment Issue Scoring'!$L$1437</definedName>
    <definedName name="Pol03_08">'Assessment Issue Scoring'!$L$1438</definedName>
    <definedName name="Pol03_09">'Assessment Issue Scoring'!$L$1439</definedName>
    <definedName name="Pol03_10">'Assessment Issue Scoring'!$N$1435</definedName>
    <definedName name="Pol03_11">'Assessment Issue Scoring'!$N$1437</definedName>
    <definedName name="Pol03_12">'Assessment Issue Scoring'!$N$1438</definedName>
    <definedName name="Pol03_13">'Assessment Issue Scoring'!$N$1439</definedName>
    <definedName name="Pol03_14">'Assessment Issue Scoring'!$P$1430</definedName>
    <definedName name="Pol03_15">'Assessment Issue Scoring'!$H$1446</definedName>
    <definedName name="Pol03_30">'Assessment Issue Scoring'!$H$1448</definedName>
    <definedName name="Pol03_31">'Assessment Issue Scoring'!$AC$2212</definedName>
    <definedName name="Pol03_32">'Assessment Issue Scoring'!$AC$2213</definedName>
    <definedName name="Pol03_33">'Assessment Issue Scoring'!$AC$2214</definedName>
    <definedName name="Pol03_34">'Assessment Issue Scoring'!$AC$2215</definedName>
    <definedName name="Pol03_35">'Assessment Issue Scoring'!$L$1441</definedName>
    <definedName name="Pol03_36">'Assessment Issue Scoring'!$N$1441</definedName>
    <definedName name="Pol03_37">'Assessment Issue Scoring'!$L$1442</definedName>
    <definedName name="Pol03_38">'Assessment Issue Scoring'!$N$1442</definedName>
    <definedName name="Pol03_39">'Assessment Issue Scoring'!$AC$2217</definedName>
    <definedName name="Pol03_40">'Assessment Issue Scoring'!$AC$2218</definedName>
    <definedName name="Pol03_41">'Assessment Issue Scoring'!$AC$2219</definedName>
    <definedName name="Pol03_42">'Assessment Issue Scoring'!$AC$2220</definedName>
    <definedName name="Pol03_43">'Assessment Issue Scoring'!$B$1442</definedName>
    <definedName name="Pol03_44">'Assessment Issue Scoring'!$H$1440</definedName>
    <definedName name="Pol03_credits">'Assessment Issue Scoring'!$H$1430</definedName>
    <definedName name="Pol03_floodoptions">'Assessment Issue Scoring'!$Z$2212:$Z$2217</definedName>
    <definedName name="Pol03_notes">'Assessment Issue Scoring'!$B$1453</definedName>
    <definedName name="Pol03_option01">'Assessment Issue Scoring'!$Z$2213</definedName>
    <definedName name="Pol03_option02">'Assessment Issue Scoring'!$Z$2214</definedName>
    <definedName name="Pol03_option03">'Assessment Issue Scoring'!$Z$2215</definedName>
    <definedName name="Pol03_option04">'Assessment Issue Scoring'!$Z$2216</definedName>
    <definedName name="Pol03_option05">'Assessment Issue Scoring'!$Z$2217</definedName>
    <definedName name="Pol03_SD_01">'Assessment Issue Scoring'!$B$1441</definedName>
    <definedName name="Pol03_SD_options">'Assessment Issue Scoring'!$AC$2212:$AC$2215</definedName>
    <definedName name="Pol03_tot">'Assessment Issue Scoring'!$H$1444</definedName>
    <definedName name="Pol03_Tot_Err">'Assessment Issue Scoring'!$AA$2268</definedName>
    <definedName name="Pol04_01">'Assessment Issue Scoring'!$J$1461</definedName>
    <definedName name="Pol04_02">'Assessment Issue Scoring'!$L$1461</definedName>
    <definedName name="Pol04_03">'Assessment Issue Scoring'!$N$1461</definedName>
    <definedName name="Pol04_04">'Assessment Issue Scoring'!$P$1461</definedName>
    <definedName name="Pol04_05">'Assessment Issue Scoring'!$P$1456</definedName>
    <definedName name="Pol04_06">'Assessment Issue Scoring'!$H$1465</definedName>
    <definedName name="Pol04_08">'Assessment Issue Scoring'!$P$1454</definedName>
    <definedName name="Pol04_credits">'Assessment Issue Scoring'!$H$1456</definedName>
    <definedName name="Pol04_notes">'Assessment Issue Scoring'!$B$1472</definedName>
    <definedName name="Pol04_switch">'Assessment Issue Scoring'!$R$1454</definedName>
    <definedName name="Pol04_tot">'Assessment Issue Scoring'!$H$1463</definedName>
    <definedName name="Pol05_02">'Assessment Issue Scoring'!$J$1482</definedName>
    <definedName name="Pol05_03">'Assessment Issue Scoring'!$J$1484</definedName>
    <definedName name="Pol05_04">'Assessment Issue Scoring'!$L$1482</definedName>
    <definedName name="Pol05_06">'Assessment Issue Scoring'!$N$1482</definedName>
    <definedName name="Pol05_07">'Assessment Issue Scoring'!$P$1484</definedName>
    <definedName name="Pol05_09">'Assessment Issue Scoring'!$P$1473</definedName>
    <definedName name="Pol05_10">'Assessment Issue Scoring'!$P$1475</definedName>
    <definedName name="Pol05_11">'Assessment Issue Scoring'!$H$1488</definedName>
    <definedName name="Pol05_12">'Assessment Issue Scoring'!$P$1480</definedName>
    <definedName name="Pol05_13">'Assessment Issue Scoring'!$J$1480</definedName>
    <definedName name="Pol05_14">'Assessment Issue Scoring'!$R$1480</definedName>
    <definedName name="Pol05_credits">'Assessment Issue Scoring'!$H$1475</definedName>
    <definedName name="Pol05_notes">'Assessment Issue Scoring'!$B$1495</definedName>
    <definedName name="Pol05_tot">'Assessment Issue Scoring'!$H$1486</definedName>
    <definedName name="Pol05_Tot_Err">'Assessment Issue Scoring'!$AA$2269</definedName>
    <definedName name="Prison">'Assessment Details'!$AD$215:$AD$219</definedName>
    <definedName name="Prisons">'Assessment Details'!$AD$215:$AD$219</definedName>
    <definedName name="projecttype">'Assessment Details'!$Z$211</definedName>
    <definedName name="Residential">'Assessment Details'!$AD$189:$AD$190</definedName>
    <definedName name="Residential_Institution">'Assessment Details'!$AD$178:$AD$179</definedName>
    <definedName name="Retail">'Assessment Details'!$AD$180:$AD$188</definedName>
    <definedName name="S_Resi_Weight">'Assessment Rating &amp; KPIs'!$AA$121:$AK$122</definedName>
    <definedName name="Scotland">'Assessment Issue Scoring'!$Z$1556</definedName>
    <definedName name="Scotland_Bld_Regs_v">'Assessment Issue Scoring'!$N$396</definedName>
    <definedName name="Scotland_List">'Assessment Issue Scoring'!$Z$1569:$Z$1570</definedName>
    <definedName name="SEne01_01">'Assessment Issue Scoring'!$H$396</definedName>
    <definedName name="SEne01_02">'Assessment Issue Scoring'!$H$397</definedName>
    <definedName name="SEne01_03">'Assessment Issue Scoring'!$H$398</definedName>
    <definedName name="SEne01_N_Res_Range">'Assessment Issue Scoring'!$AW$1812:$AX$1826</definedName>
    <definedName name="SEne01_Pimp">'Assessment Issue Scoring'!$AX$1808</definedName>
    <definedName name="SEne01_Res_Range">'Assessment Issue Scoring'!$AZ$1812:$BA$1826</definedName>
    <definedName name="SEne01_Tot">'Assessment Issue Scoring'!$H$423</definedName>
    <definedName name="SETra03_01">'Assessment Issue Scoring'!$J$664</definedName>
    <definedName name="Tra_01">'Assessment Issue Scoring'!$B$651</definedName>
    <definedName name="Tra_02">'Assessment Issue Scoring'!$B$673</definedName>
    <definedName name="Tra_03">'Assessment Issue Scoring'!$B$692</definedName>
    <definedName name="Tra_03b">'Assessment Issue Scoring'!$B$719</definedName>
    <definedName name="Tra_04">'Assessment Issue Scoring'!$B$747</definedName>
    <definedName name="Tra_05">'Assessment Issue Scoring'!$B$769</definedName>
    <definedName name="Tra01_01">'Assessment Issue Scoring'!$AD$2017</definedName>
    <definedName name="Tra01_03">'Assessment Issue Scoring'!$J$660</definedName>
    <definedName name="Tra01_04">'Assessment Issue Scoring'!$J$661</definedName>
    <definedName name="Tra01_05">'Assessment Issue Scoring'!$N$660</definedName>
    <definedName name="Tra01_06">'Assessment Issue Scoring'!$N$661</definedName>
    <definedName name="Tra01_07">'Assessment Issue Scoring'!$P$653</definedName>
    <definedName name="Tra01_07_Err">'Assessment Issue Scoring'!$AA$2243</definedName>
    <definedName name="TRa01_08">'Assessment Issue Scoring'!$H$665</definedName>
    <definedName name="Tra01_08_Err">'Assessment Issue Scoring'!$AA$2245</definedName>
    <definedName name="Tra01_09">'Assessment Issue Scoring'!$AD$2020</definedName>
    <definedName name="Tra01_10">'Assessment Issue Scoring'!$AD$2021</definedName>
    <definedName name="Tra01_11">'Assessment Issue Scoring'!$AD$2022</definedName>
    <definedName name="Tra01_12">'Assessment Issue Scoring'!$AD$2023</definedName>
    <definedName name="Tra01_13">'Assessment Issue Scoring'!$AD$2024</definedName>
    <definedName name="Tra01_3b">'Assessment Issue Scoring'!#REF!</definedName>
    <definedName name="Tra01_AI_calc">'Assessment Issue Scoring'!$AD$2029</definedName>
    <definedName name="Tra01_benchmarks">'Assessment Issue Scoring'!$AC$2018:$AD$2024</definedName>
    <definedName name="Tra01_credits">'Assessment Issue Scoring'!$H$653</definedName>
    <definedName name="Tra01_Max_credits_available">'Assessment Issue Scoring'!$AD$2030</definedName>
    <definedName name="Tra01_notes">'Assessment Issue Scoring'!$B$672</definedName>
    <definedName name="Tra01_retail">'Assessment Issue Scoring'!$Z$2022</definedName>
    <definedName name="Tra01_rural">'Assessment Issue Scoring'!$Z$2028</definedName>
    <definedName name="Tra01_rural_sens">'Assessment Issue Scoring'!$Z$2027</definedName>
    <definedName name="Tra01_school">'Assessment Issue Scoring'!$Z$2021</definedName>
    <definedName name="Tra01_tot">'Assessment Issue Scoring'!$H$663</definedName>
    <definedName name="Tra01_Tot_Err">'Assessment Issue Scoring'!$AA$2244</definedName>
    <definedName name="Tra01_Type00">'Assessment Issue Scoring'!$Z$2017</definedName>
    <definedName name="Tra01_type1">'Assessment Issue Scoring'!$AA$2018</definedName>
    <definedName name="Tra01_type1a">'Assessment Issue Scoring'!$AA$2019</definedName>
    <definedName name="Tra01_type1b">'Assessment Issue Scoring'!$AA$2020</definedName>
    <definedName name="Tra01_type1c">'Assessment Issue Scoring'!$AA$2025</definedName>
    <definedName name="Tra01_type2">'Assessment Issue Scoring'!$AA$2021</definedName>
    <definedName name="Tra01_type2b">'Assessment Issue Scoring'!$AA$2022</definedName>
    <definedName name="Tra01_type2c">'Assessment Issue Scoring'!$AA$2024</definedName>
    <definedName name="Tra01_type2d">'Assessment Issue Scoring'!#REF!</definedName>
    <definedName name="Tra01_type2e">'Assessment Issue Scoring'!#REF!</definedName>
    <definedName name="Tra01_type2f">'Assessment Issue Scoring'!#REF!</definedName>
    <definedName name="Tra01_type3">'Assessment Issue Scoring'!$AA$2023</definedName>
    <definedName name="Tra01_type4">'Assessment Issue Scoring'!#REF!</definedName>
    <definedName name="Tra01_type4a">'Assessment Issue Scoring'!$AA$2026</definedName>
    <definedName name="Tra01_type4b">'Assessment Issue Scoring'!#REF!</definedName>
    <definedName name="Tra01_type4c">'Assessment Issue Scoring'!#REF!</definedName>
    <definedName name="Tra01_type5">'Assessment Issue Scoring'!$AA$2027</definedName>
    <definedName name="Tra02_01">'Assessment Issue Scoring'!$J$680</definedName>
    <definedName name="Tra02_02">'Assessment Issue Scoring'!$L$680</definedName>
    <definedName name="Tra02_03">'Assessment Issue Scoring'!$N$680</definedName>
    <definedName name="Tra02_04">'Assessment Issue Scoring'!$P$680</definedName>
    <definedName name="Tra02_05">'Assessment Issue Scoring'!$P$673</definedName>
    <definedName name="Tra02_06">'Assessment Issue Scoring'!$P$675</definedName>
    <definedName name="Tra02_06_Err">'Assessment Issue Scoring'!$AA$2246</definedName>
    <definedName name="Tra02_07">'Assessment Issue Scoring'!$H$684</definedName>
    <definedName name="Tra02_07_Err">'Assessment Issue Scoring'!$AA$2248</definedName>
    <definedName name="Tra02_credits">'Assessment Issue Scoring'!$H$675</definedName>
    <definedName name="Tra02_notes">'Assessment Issue Scoring'!$B$691</definedName>
    <definedName name="Tra02_sub_credits">'Assessment Issue Scoring'!$Z$2031:$Z$2033</definedName>
    <definedName name="Tra02_tot">'Assessment Issue Scoring'!$H$682</definedName>
    <definedName name="Tra02_Tot_Err">'Assessment Issue Scoring'!$AA$2247</definedName>
    <definedName name="Tra03_01">'Assessment Issue Scoring'!$Z$1760</definedName>
    <definedName name="Tra03_02">'Assessment Issue Scoring'!$J$698</definedName>
    <definedName name="Tra03_03">'Assessment Issue Scoring'!$J$702</definedName>
    <definedName name="Tra03_04">'Assessment Issue Scoring'!$J$705</definedName>
    <definedName name="Tra03_05">'Assessment Issue Scoring'!#REF!</definedName>
    <definedName name="Tra03_06">'Assessment Issue Scoring'!#REF!</definedName>
    <definedName name="Tra03_07">'Assessment Issue Scoring'!#REF!</definedName>
    <definedName name="Tra03_09">'Assessment Issue Scoring'!#REF!</definedName>
    <definedName name="Tra03_09_Extra">'Assessment Issue Scoring'!$N$708</definedName>
    <definedName name="Tra03_10">'Assessment Issue Scoring'!#REF!</definedName>
    <definedName name="Tra03_11">'Assessment Issue Scoring'!#REF!</definedName>
    <definedName name="Tra03_12">'Assessment Issue Scoring'!#REF!</definedName>
    <definedName name="Tra03_13">'Assessment Issue Scoring'!$P$694</definedName>
    <definedName name="Tra03_13_Err">'Assessment Issue Scoring'!$AA$2249</definedName>
    <definedName name="Tra03_14">'Assessment Issue Scoring'!$H$711</definedName>
    <definedName name="Tra03_14_Err">'Assessment Issue Scoring'!$AA$2251</definedName>
    <definedName name="Tra03_15">'Assessment Issue Scoring'!$P$692</definedName>
    <definedName name="Tra03_16">'Assessment Issue Scoring'!$J$700</definedName>
    <definedName name="Tra03_17">'Assessment Issue Scoring'!$J$707</definedName>
    <definedName name="Tra03_credits">'Assessment Issue Scoring'!$H$694</definedName>
    <definedName name="Tra03_Credits_Err">'Assessment Issue Scoring'!$AA$2249</definedName>
    <definedName name="Tra03_Credits_Tot">'Assessment Issue Scoring'!$AA$2249</definedName>
    <definedName name="Tra03_cycle">'Assessment Issue Scoring'!$AG$2043</definedName>
    <definedName name="Tra03_cycle_fac">'Assessment Issue Scoring'!$AG$2044</definedName>
    <definedName name="Tra03_facilities">'Assessment Issue Scoring'!$AD$2037:$AD$2045</definedName>
    <definedName name="Tra03_LT_Resi">'Assessment Issue Scoring'!$AB$2039</definedName>
    <definedName name="Tra03_notes">'Assessment Issue Scoring'!$B$718</definedName>
    <definedName name="Tra03_option">'Assessment Issue Scoring'!$Z$2037:$Z$2055</definedName>
    <definedName name="Tra03_option00">'Assessment Issue Scoring'!$Z$2037</definedName>
    <definedName name="Tra03_option01">'Assessment Issue Scoring'!$Z$2038</definedName>
    <definedName name="Tra03_option02">'Assessment Issue Scoring'!$Z$2039</definedName>
    <definedName name="Tra03_option03">'Assessment Issue Scoring'!$Z$2040</definedName>
    <definedName name="Tra03_option04">'Assessment Issue Scoring'!$Z$2041</definedName>
    <definedName name="Tra03_option05">'Assessment Issue Scoring'!$Z$2042</definedName>
    <definedName name="Tra03_option06">'Assessment Issue Scoring'!$Z$2043</definedName>
    <definedName name="Tra03_option07">'Assessment Issue Scoring'!$Z$2044</definedName>
    <definedName name="Tra03_option08">'Assessment Issue Scoring'!$Z$2045</definedName>
    <definedName name="Tra03_option09">'Assessment Issue Scoring'!$Z$2046</definedName>
    <definedName name="Tra03_option10">'Assessment Issue Scoring'!$Z$2047</definedName>
    <definedName name="Tra03_option11">'Assessment Issue Scoring'!$Z$2048</definedName>
    <definedName name="Tra03_option12">'Assessment Issue Scoring'!$Z$2049</definedName>
    <definedName name="Tra03_option13">'Assessment Issue Scoring'!$Z$2050</definedName>
    <definedName name="Tra03_option14">'Assessment Issue Scoring'!$Z$2051</definedName>
    <definedName name="Tra03_option15">'Assessment Issue Scoring'!$Z$2052</definedName>
    <definedName name="Tra03_option16">'Assessment Issue Scoring'!$Z$2053</definedName>
    <definedName name="Tra03_option17">'Assessment Issue Scoring'!$Z$2054</definedName>
    <definedName name="Tra03_option18">'Assessment Issue Scoring'!$Z$2055</definedName>
    <definedName name="Tra03_options">'Assessment Issue Scoring'!$AG$2038:$AG$2044</definedName>
    <definedName name="Tra03_retail">'Assessment Issue Scoring'!$AB$2042</definedName>
    <definedName name="Tra03_rural">'Assessment Issue Scoring'!$AB$2048</definedName>
    <definedName name="Tra03_rural_sens">'Assessment Issue Scoring'!$AB$2047</definedName>
    <definedName name="Tra03_school">'Assessment Issue Scoring'!$AB$2041</definedName>
    <definedName name="Tra03_tot">'Assessment Issue Scoring'!$H$709</definedName>
    <definedName name="Tra03_Tot_Err">'Assessment Issue Scoring'!$AA$2250</definedName>
    <definedName name="Tra03_TransHub">'Assessment Issue Scoring'!$AA$2278</definedName>
    <definedName name="Tra03a_Inn">'Assessment Issue Scoring'!$H$713</definedName>
    <definedName name="Tra03a_option">'Assessment Issue Scoring'!$AB$2037:$AB$2048</definedName>
    <definedName name="Tra03b_02">'Assessment Issue Scoring'!$J$725</definedName>
    <definedName name="Tra03b_13">'Assessment Issue Scoring'!$P$721</definedName>
    <definedName name="Tra03b_14">'Assessment Issue Scoring'!$H$739</definedName>
    <definedName name="Tra03b_14_err">'Assessment Issue Scoring'!$AC$2251</definedName>
    <definedName name="Tra03b_15">'Assessment Issue Scoring'!$P$719</definedName>
    <definedName name="Tra03b_16">'Assessment Issue Scoring'!$J$727</definedName>
    <definedName name="Tra03b_17">'Assessment Issue Scoring'!$J$735</definedName>
    <definedName name="Tra03b_credits">'Assessment Issue Scoring'!$H$721</definedName>
    <definedName name="Tra03b_cycle">'Assessment Issue Scoring'!$AJ$2043</definedName>
    <definedName name="Tra03b_Inn">'Assessment Issue Scoring'!$H$741</definedName>
    <definedName name="Tra03b_options">'Assessment Issue Scoring'!$AJ$2038:$AJ$2044</definedName>
    <definedName name="Tra03b_tot">'Assessment Issue Scoring'!$H$737</definedName>
    <definedName name="Tra03b_tot_err">'Assessment Issue Scoring'!$AC$2250</definedName>
    <definedName name="Tra04_02">'Assessment Issue Scoring'!$J$757</definedName>
    <definedName name="Tra04_03">'Assessment Issue Scoring'!$L$757</definedName>
    <definedName name="Tra04_04">'Assessment Issue Scoring'!$N$757</definedName>
    <definedName name="Tra04_05">'Assessment Issue Scoring'!$P$757</definedName>
    <definedName name="tra04_06">'Assessment Issue Scoring'!$J$753</definedName>
    <definedName name="Tra04_07">'Assessment Issue Scoring'!$P$747</definedName>
    <definedName name="Tra04_08">'Assessment Issue Scoring'!$R$757</definedName>
    <definedName name="Tra04_09">'Assessment Issue Scoring'!$P$749</definedName>
    <definedName name="Tra04_09_Err">'Assessment Issue Scoring'!$AA$2252</definedName>
    <definedName name="Tra04_10">'Assessment Issue Scoring'!$H$761</definedName>
    <definedName name="Tra04_10_Err">'Assessment Issue Scoring'!$AA$2254</definedName>
    <definedName name="Tra04_credits">'Assessment Issue Scoring'!$H$749</definedName>
    <definedName name="Tra04_notes">'Assessment Issue Scoring'!$B$768</definedName>
    <definedName name="Tra04_tot">'Assessment Issue Scoring'!$H$759</definedName>
    <definedName name="Tra04_Tot_Err">'Assessment Issue Scoring'!$AA$2253</definedName>
    <definedName name="Tra05_01">'Assessment Issue Scoring'!$J$776</definedName>
    <definedName name="Tra05_02">'Assessment Issue Scoring'!$L$776</definedName>
    <definedName name="Tra05_03">'Assessment Issue Scoring'!$N$776</definedName>
    <definedName name="Tra05_04">'Assessment Issue Scoring'!$P$771</definedName>
    <definedName name="Tra05_04_Err">'Assessment Issue Scoring'!$AA$2255</definedName>
    <definedName name="Tra05_05">'Assessment Issue Scoring'!$H$780</definedName>
    <definedName name="Tra05_05_Err">'Assessment Issue Scoring'!$AA$2256</definedName>
    <definedName name="Tra05_credits">'Assessment Issue Scoring'!$H$771</definedName>
    <definedName name="Tra05_notes">'Assessment Issue Scoring'!$B$787</definedName>
    <definedName name="Tra05_switch">'Assessment Issue Scoring'!$R$769</definedName>
    <definedName name="Tra05_tot">'Assessment Issue Scoring'!$H$778</definedName>
    <definedName name="Tra06_01">'Assessment Issue Scoring'!$J$795</definedName>
    <definedName name="Tra06_02">'Assessment Issue Scoring'!$L$795</definedName>
    <definedName name="Tra06_03">'Assessment Issue Scoring'!$N$795</definedName>
    <definedName name="Tra06_04">'Assessment Issue Scoring'!$P$790</definedName>
    <definedName name="Tra06_05">'Assessment Issue Scoring'!$H$799</definedName>
    <definedName name="Tra06_credits">'Assessment Issue Scoring'!$H$790</definedName>
    <definedName name="Tra06_switch">'Assessment Issue Scoring'!$R$788</definedName>
    <definedName name="Tra06_tot">'Assessment Issue Scoring'!$H$797</definedName>
    <definedName name="TVC_Current_Version">'Version Control'!$B$8</definedName>
    <definedName name="TVC_Previous_version">'Version Control'!#REF!</definedName>
    <definedName name="_xlnm.Print_Area" localSheetId="0">'Assessment Details'!$B$2:$Q$135</definedName>
    <definedName name="_xlnm.Print_Area" localSheetId="2">'Assessment Issue Scoring'!$B$1:$P$1529</definedName>
    <definedName name="_xlnm.Print_Area" localSheetId="1">'Assessment Rating &amp; KPIs'!$B$2:$R$116</definedName>
    <definedName name="_xlnm.Print_Area" localSheetId="4">'Assessment References'!$B$2:$V$307</definedName>
    <definedName name="_xlnm.Print_Titles" localSheetId="0">'Assessment Details'!$2:$2</definedName>
    <definedName name="_xlnm.Print_Titles" localSheetId="4">'Assessment References'!$6:$6</definedName>
    <definedName name="Wales">'Assessment Issue Scoring'!$Z$1555</definedName>
    <definedName name="Wat_01">'Assessment Issue Scoring'!$B$810</definedName>
    <definedName name="Wat_02">'Assessment Issue Scoring'!$B$846</definedName>
    <definedName name="Wat_03">'Assessment Issue Scoring'!$B$868</definedName>
    <definedName name="Wat_04">'Assessment Issue Scoring'!$B$890</definedName>
    <definedName name="Wat01_00">'Assessment Issue Scoring'!$H$814</definedName>
    <definedName name="Wat01_01">'Assessment Issue Scoring'!$H$816</definedName>
    <definedName name="Wat01_02">'Assessment Issue Scoring'!$J$821</definedName>
    <definedName name="Wat01_03">'Assessment Issue Scoring'!$J$822</definedName>
    <definedName name="Wat01_04">'Assessment Issue Scoring'!$J$823</definedName>
    <definedName name="Wat01_05">'Assessment Issue Scoring'!$J$824</definedName>
    <definedName name="Wat01_08">'Assessment Issue Scoring'!$H$840</definedName>
    <definedName name="Wat01_09">'Assessment Issue Scoring'!$H$842</definedName>
    <definedName name="Wat01_10">'Assessment Issue Scoring'!$J$832</definedName>
    <definedName name="Wat01_11">'Assessment Issue Scoring'!$J$833</definedName>
    <definedName name="Wat01_12">'Assessment Issue Scoring'!$P$816</definedName>
    <definedName name="Wat01_13">'Assessment Issue Scoring'!$H$818</definedName>
    <definedName name="Wat01_14">'Assessment Issue Scoring'!$P$812</definedName>
    <definedName name="Wat01_15">'Assessment Issue Scoring'!$H$838</definedName>
    <definedName name="Wat01_15_Err">'Assessment Issue Scoring'!$AA$2258</definedName>
    <definedName name="Wat01_15_Tot">'Assessment Issue Scoring'!$AA$2258</definedName>
    <definedName name="Wat01_16">'Assessment Issue Scoring'!$B$833</definedName>
    <definedName name="Wat01_Alt_bench">'Assessment Issue Scoring'!$AG$2060:$AH$2065</definedName>
    <definedName name="Wat01_Alt_bench01">'Assessment Issue Scoring'!$AI$2063:$AJ$2065</definedName>
    <definedName name="Wat01_Alt_Exemp">'Assessment Issue Scoring'!$AI$2066</definedName>
    <definedName name="Wat01_Alt_level5">'Assessment Issue Scoring'!$AD$2066</definedName>
    <definedName name="Wat01_Alt_Levels">'Assessment Issue Scoring'!$AD$2060:$AD$2066</definedName>
    <definedName name="Wat01_Alt_Recycle_systems">'Assessment Issue Scoring'!$AD$2072:$AD$2075</definedName>
    <definedName name="Wat01_Alt_subtotal">'Assessment Issue Scoring'!$AH$2066</definedName>
    <definedName name="Wat01_Alt_total">'Assessment Issue Scoring'!$AH$2068</definedName>
    <definedName name="Wat01_benchmarks">'Assessment Issue Scoring'!$Z$2069:$AA$2074</definedName>
    <definedName name="Wat01_credits">'Assessment Issue Scoring'!$H$812</definedName>
    <definedName name="Wat01_Exemp">'Assessment Issue Scoring'!$Z$2076:$AA$2077</definedName>
    <definedName name="Wat01_KPI01">'Assessment Issue Scoring'!$J$827</definedName>
    <definedName name="Wat01_KPI02">'Assessment Issue Scoring'!$J$828</definedName>
    <definedName name="Wat01_notes">'Assessment Issue Scoring'!$B$845</definedName>
    <definedName name="Wat01_tot">'Assessment Issue Scoring'!$H$836</definedName>
    <definedName name="Wat01_Tot_Err">'Assessment Issue Scoring'!$AA$2257</definedName>
    <definedName name="Wat02_02">'Assessment Issue Scoring'!$J$853</definedName>
    <definedName name="Wat02_03">'Assessment Issue Scoring'!$J$854</definedName>
    <definedName name="Wat02_04">'Assessment Issue Scoring'!$J$855</definedName>
    <definedName name="Wat02_05">'Assessment Issue Scoring'!$J$856</definedName>
    <definedName name="Wat02_06">'Assessment Issue Scoring'!$L$853</definedName>
    <definedName name="Wat02_07">'Assessment Issue Scoring'!$N$853</definedName>
    <definedName name="Wat02_08">'Assessment Issue Scoring'!$P$853</definedName>
    <definedName name="Wat02_10">'Assessment Issue Scoring'!$H$862</definedName>
    <definedName name="Wat02_11">'Assessment Issue Scoring'!$H$864</definedName>
    <definedName name="Wat02_12">'Assessment Issue Scoring'!$P$848</definedName>
    <definedName name="Wat02_13">'Assessment Issue Scoring'!$H$860</definedName>
    <definedName name="Wat02_credits">'Assessment Issue Scoring'!$H$848</definedName>
    <definedName name="Wat02_notes">'Assessment Issue Scoring'!$B$867</definedName>
    <definedName name="Wat02_tot">'Assessment Issue Scoring'!$H$858</definedName>
    <definedName name="Wat03_01">'Assessment Issue Scoring'!$J$875</definedName>
    <definedName name="Wat03_02">'Assessment Issue Scoring'!$J$877</definedName>
    <definedName name="Wat03_03">'Assessment Issue Scoring'!$L$875</definedName>
    <definedName name="Wat03_04">'Assessment Issue Scoring'!$L$877</definedName>
    <definedName name="Wat03_05">'Assessment Issue Scoring'!$N$875</definedName>
    <definedName name="Wat03_06">'Assessment Issue Scoring'!$N$877</definedName>
    <definedName name="Wat03_07">'Assessment Issue Scoring'!$P$875</definedName>
    <definedName name="Wat03_08">'Assessment Issue Scoring'!$P$877</definedName>
    <definedName name="Wat03_09">'Assessment Issue Scoring'!$P$870</definedName>
    <definedName name="Wat03_10">'Assessment Issue Scoring'!$H$881</definedName>
    <definedName name="Wat03_11">'Assessment Issue Scoring'!$J$876</definedName>
    <definedName name="Wat03_12">'Assessment Issue Scoring'!$L$876</definedName>
    <definedName name="Wat03_13">'Assessment Issue Scoring'!$N$876</definedName>
    <definedName name="Wat03_credits">'Assessment Issue Scoring'!$H$870</definedName>
    <definedName name="Wat03_notes">'Assessment Issue Scoring'!$B$888</definedName>
    <definedName name="Wat03_tot">'Assessment Issue Scoring'!$H$879</definedName>
    <definedName name="Wat04_01">'Assessment Issue Scoring'!$P$890</definedName>
    <definedName name="Wat04_02">'Assessment Issue Scoring'!$J$898</definedName>
    <definedName name="Wat04_03">'Assessment Issue Scoring'!$L$898</definedName>
    <definedName name="Wat04_04">'Assessment Issue Scoring'!$N$898</definedName>
    <definedName name="Wat04_05">'Assessment Issue Scoring'!$P$892</definedName>
    <definedName name="Wat04_06">'Assessment Issue Scoring'!$H$902</definedName>
    <definedName name="Wat04_credits">'Assessment Issue Scoring'!$H$892</definedName>
    <definedName name="Wat04_notes">'Assessment Issue Scoring'!$B$909</definedName>
    <definedName name="Wat04_tot">'Assessment Issue Scoring'!$H$900</definedName>
    <definedName name="Wat04_Tot_Err">'Assessment Issue Scoring'!$AA$2259</definedName>
    <definedName name="WD_Scotland">'Assessment Details'!$Z$152</definedName>
    <definedName name="Wst_01">'Assessment Issue Scoring'!$B$1076</definedName>
    <definedName name="Wst_02">'Assessment Issue Scoring'!$B$1133</definedName>
    <definedName name="Wst_03">'Assessment Issue Scoring'!$B$1164</definedName>
    <definedName name="Wst_04">'Assessment Issue Scoring'!$B$1207</definedName>
    <definedName name="Wst01_01">'Assessment Issue Scoring'!$J$1104</definedName>
    <definedName name="Wst01_01a">'Assessment Issue Scoring'!$J$1107</definedName>
    <definedName name="Wst01_02">'Assessment Issue Scoring'!$J$1111</definedName>
    <definedName name="Wst01_03">'Assessment Issue Scoring'!$J$1112</definedName>
    <definedName name="Wst01_04">'Assessment Issue Scoring'!$J$1110</definedName>
    <definedName name="Wst01_05">'Assessment Issue Scoring'!$J$1113</definedName>
    <definedName name="Wst01_06">'Assessment Issue Scoring'!$J$1114</definedName>
    <definedName name="Wst01_07">'Assessment Issue Scoring'!$J$1116</definedName>
    <definedName name="Wst01_08">'Assessment Issue Scoring'!$J$1117</definedName>
    <definedName name="Wst01_09">'Assessment Issue Scoring'!$J$1118</definedName>
    <definedName name="Wst01_10">'Assessment Issue Scoring'!$J$1119</definedName>
    <definedName name="Wst01_11">'Assessment Issue Scoring'!$J$1120</definedName>
    <definedName name="Wst01_12">'Assessment Issue Scoring'!$J$1121</definedName>
    <definedName name="Wst01_13">'Assessment Issue Scoring'!$AA$2112</definedName>
    <definedName name="Wst01_14">'Assessment Issue Scoring'!$AB$2112</definedName>
    <definedName name="Wst01_15">'Assessment Issue Scoring'!$J$1106</definedName>
    <definedName name="Wst01_17">'Assessment Issue Scoring'!$H$1127</definedName>
    <definedName name="Wst01_17_Err">'Assessment Issue Scoring'!$AA$2263</definedName>
    <definedName name="Wst01_18">'Assessment Issue Scoring'!$H$1129</definedName>
    <definedName name="Wst01_19">'Assessment Issue Scoring'!$AH$2114</definedName>
    <definedName name="Wst01_20">'Assessment Issue Scoring'!$AI$2114</definedName>
    <definedName name="Wst01_22">'Assessment Issue Scoring'!$AN$2114</definedName>
    <definedName name="Wst01_23">'Assessment Issue Scoring'!$AO$2114</definedName>
    <definedName name="Wst01_24">'Assessment Issue Scoring'!$AA$2114</definedName>
    <definedName name="Wst01_25">'Assessment Issue Scoring'!$AB$2114</definedName>
    <definedName name="Wst01_26">'Assessment Issue Scoring'!$AJ$2108</definedName>
    <definedName name="Wst01_27">'Assessment Issue Scoring'!$P$1078</definedName>
    <definedName name="Wst01_28">'Assessment Issue Scoring'!$H$1125</definedName>
    <definedName name="Wst01_29">'Assessment Issue Scoring'!$J$1115</definedName>
    <definedName name="Wst01_50">'Assessment Issue Scoring'!$J$1105</definedName>
    <definedName name="Wst01_51">'Assessment Issue Scoring'!$AH$2115</definedName>
    <definedName name="Wst01_61">'Assessment Issue Scoring'!$J$1085</definedName>
    <definedName name="Wst01_62">'Assessment Issue Scoring'!$J$1086</definedName>
    <definedName name="Wst01_63">'Assessment Issue Scoring'!$J$1087</definedName>
    <definedName name="Wst01_64">'Assessment Issue Scoring'!$J$1088</definedName>
    <definedName name="Wst01_65">'Assessment Issue Scoring'!$J$1089</definedName>
    <definedName name="Wst01_66">'Assessment Issue Scoring'!$J$1090</definedName>
    <definedName name="Wst01_67">'Assessment Issue Scoring'!$J$1092</definedName>
    <definedName name="Wst01_68">'Assessment Issue Scoring'!$J$1094</definedName>
    <definedName name="Wst01_69">'Assessment Issue Scoring'!$J$1096</definedName>
    <definedName name="Wst01_70">'Assessment Issue Scoring'!$J$1099</definedName>
    <definedName name="Wst01_71">'Assessment Issue Scoring'!$J$1101</definedName>
    <definedName name="Wst01_72">'Assessment Issue Scoring'!$J$1103</definedName>
    <definedName name="Wst01_73">'Assessment Issue Scoring'!$L$1092</definedName>
    <definedName name="Wst01_74">'Assessment Issue Scoring'!$H$1080</definedName>
    <definedName name="Wst01_credit_awarded">'Assessment Issue Scoring'!$AR$2104:$AR$2106</definedName>
    <definedName name="Wst01_credits">'Assessment Issue Scoring'!$H$1078</definedName>
    <definedName name="Wst01_notes">'Assessment Issue Scoring'!$B$1132</definedName>
    <definedName name="Wst01_tot">'Assessment Issue Scoring'!$H$1123</definedName>
    <definedName name="Wst01_Tot_Er">'Assessment Issue Scoring'!$Z$1730</definedName>
    <definedName name="Wst01_Tot_Err">'Assessment Issue Scoring'!$AA$2262</definedName>
    <definedName name="Wst01_Units">'Assessment Issue Scoring'!$AD$1563:$AD$1565</definedName>
    <definedName name="Wst02_01">'Assessment Issue Scoring'!$J$1141</definedName>
    <definedName name="Wst02_02">'Assessment Issue Scoring'!$J$1145</definedName>
    <definedName name="Wst02_03">'Assessment Issue Scoring'!$J$1146</definedName>
    <definedName name="Wst02_04">'Assessment Issue Scoring'!$J$1147</definedName>
    <definedName name="Wst02_05">'Assessment Issue Scoring'!$J$1148</definedName>
    <definedName name="Wst02_06">'Assessment Issue Scoring'!$J$1149</definedName>
    <definedName name="Wst02_07">'Assessment Issue Scoring'!$J$1150</definedName>
    <definedName name="Wst02_08">'Assessment Issue Scoring'!$J$1150</definedName>
    <definedName name="Wst02_09">'Assessment Issue Scoring'!#REF!</definedName>
    <definedName name="Wst02_10">'Assessment Issue Scoring'!$M$1151</definedName>
    <definedName name="Wst02_11">'Assessment Issue Scoring'!$H$1158</definedName>
    <definedName name="Wst02_13">'Assessment Issue Scoring'!$H$1137</definedName>
    <definedName name="Wst02_14">'Assessment Issue Scoring'!$P$1135</definedName>
    <definedName name="Wst02_15">'Assessment Issue Scoring'!$H$1156</definedName>
    <definedName name="Wst02_16">'Assessment Issue Scoring'!$J$1140</definedName>
    <definedName name="Wst02_17">'Assessment Issue Scoring'!$J$1152</definedName>
    <definedName name="Wst02_credits">'Assessment Issue Scoring'!$H$1135</definedName>
    <definedName name="Wst02_notes">'Assessment Issue Scoring'!$B$1163</definedName>
    <definedName name="Wst02_tot">'Assessment Issue Scoring'!$H$1154</definedName>
    <definedName name="Wst02_Tot_Err">'Assessment Issue Scoring'!$AA$2264</definedName>
    <definedName name="Wst03_02">'Assessment Issue Scoring'!$J$1171</definedName>
    <definedName name="Wst03_03">'Assessment Issue Scoring'!$J$1172</definedName>
    <definedName name="Wst03_04">'Assessment Issue Scoring'!$J$1173</definedName>
    <definedName name="Wst03_05">'Assessment Issue Scoring'!$J$1175</definedName>
    <definedName name="Wst03_06">'Assessment Issue Scoring'!$L$1171</definedName>
    <definedName name="Wst03_07">'Assessment Issue Scoring'!$N$1171</definedName>
    <definedName name="Wst03_09">'Assessment Issue Scoring'!$H$1181</definedName>
    <definedName name="Wst03_10">'Assessment Issue Scoring'!$H$1183</definedName>
    <definedName name="Wst03_11">'Assessment Issue Scoring'!$H$1175</definedName>
    <definedName name="Wst03_12">'Assessment Issue Scoring'!$P$1166</definedName>
    <definedName name="Wst03_13">'Assessment Issue Scoring'!$H$1179</definedName>
    <definedName name="Wst03_14">'Assessment Issue Scoring'!$P$1164</definedName>
    <definedName name="Wst03_credits">'Assessment Issue Scoring'!$H$1166</definedName>
    <definedName name="Wst03_HCreq">'Assessment Issue Scoring'!$Z$2132</definedName>
    <definedName name="Wst03_Multiresreq">'Assessment Issue Scoring'!$Z$2134</definedName>
    <definedName name="Wst03_notes">'Assessment Issue Scoring'!$B$1186</definedName>
    <definedName name="Wst03_Schoolreq">'Assessment Issue Scoring'!$Z$2133</definedName>
    <definedName name="Wst03_tot">'Assessment Issue Scoring'!$H$1177</definedName>
    <definedName name="Wst03a_switch">'Assessment Issue Scoring'!$R$1164</definedName>
    <definedName name="Wst03b_01">'Assessment Issue Scoring'!$J$1194</definedName>
    <definedName name="Wst03b_02">'Assessment Issue Scoring'!$L$1194</definedName>
    <definedName name="Wst03b_03">'Assessment Issue Scoring'!$N$1194</definedName>
    <definedName name="Wst03b_04">'Assessment Issue Scoring'!$J$1195</definedName>
    <definedName name="Wst03b_05">'Assessment Issue Scoring'!$L$1195</definedName>
    <definedName name="Wst03b_06">'Assessment Issue Scoring'!$N$1195</definedName>
    <definedName name="Wst03b_07">'Assessment Issue Scoring'!$P$1189</definedName>
    <definedName name="Wst03b_08">'Assessment Issue Scoring'!$H$1199</definedName>
    <definedName name="Wst03b_09">'Assessment Issue Scoring'!$H$1203</definedName>
    <definedName name="Wst03b_10">'Assessment Issue Scoring'!$P$1187</definedName>
    <definedName name="Wst03b_credits">'Assessment Issue Scoring'!$H$1189</definedName>
    <definedName name="Wst03b_switch">'Assessment Issue Scoring'!$R$1187</definedName>
    <definedName name="Wst03b_tot">'Assessment Issue Scoring'!$H$1197</definedName>
    <definedName name="Wst04_01">'Assessment Issue Scoring'!$P$1207</definedName>
    <definedName name="Wst04_03">'Assessment Issue Scoring'!$B$1214</definedName>
    <definedName name="Wst04_04">'Assessment Issue Scoring'!$J$1214</definedName>
    <definedName name="Wst04_05">'Assessment Issue Scoring'!$L$1214</definedName>
    <definedName name="Wst04_06">'Assessment Issue Scoring'!$N$1214</definedName>
    <definedName name="Wst04_07">'Assessment Issue Scoring'!$P$1214</definedName>
    <definedName name="Wst04_08">'Assessment Issue Scoring'!$P$1209</definedName>
    <definedName name="Wst04_09">'Assessment Issue Scoring'!$H$1218</definedName>
    <definedName name="Wst04_credits">'Assessment Issue Scoring'!$H$1209</definedName>
    <definedName name="Wst04_MR_options">'Assessment Issue Scoring'!$Z$2138:$Z$2144</definedName>
    <definedName name="Wst04_notes">'Assessment Issue Scoring'!$B$1225</definedName>
    <definedName name="Wst04_option00">'Assessment Issue Scoring'!$Z$2138</definedName>
    <definedName name="Wst04_option01">'Assessment Issue Scoring'!$Z$2139</definedName>
    <definedName name="Wst04_option02">'Assessment Issue Scoring'!$Z$2140</definedName>
    <definedName name="Wst04_option03">'Assessment Issue Scoring'!$Z$2141</definedName>
    <definedName name="Wst04_option05">'Assessment Issue Scoring'!#REF!</definedName>
    <definedName name="Wst04_option06">'Assessment Issue Scoring'!$Z$2142</definedName>
    <definedName name="Wst04_option07">'Assessment Issue Scoring'!$Z$2143</definedName>
    <definedName name="Wst04_options">'Assessment Issue Scoring'!$Z$2138:$Z$2143</definedName>
    <definedName name="Wst04_tot">'Assessment Issue Scoring'!$H$1216</definedName>
    <definedName name="Wst04_Tot_Err">'Assessment Issue Scoring'!$AA$2265</definedName>
    <definedName name="Wst05_01">'Assessment Issue Scoring'!$J$1233</definedName>
    <definedName name="Wst05_02">'Assessment Issue Scoring'!$J$1234</definedName>
    <definedName name="Wst05_03">'Assessment Issue Scoring'!$L$1233</definedName>
    <definedName name="Wst05_04">'Assessment Issue Scoring'!$L$1234</definedName>
    <definedName name="Wst05_05">'Assessment Issue Scoring'!$N$1233</definedName>
    <definedName name="Wst05_06">'Assessment Issue Scoring'!$N$1234</definedName>
    <definedName name="Wst05_07">'Assessment Issue Scoring'!$H$1238</definedName>
    <definedName name="Wst05_08">'Assessment Issue Scoring'!$H$1240</definedName>
    <definedName name="Wst05_09">'Assessment Issue Scoring'!$P$1228</definedName>
    <definedName name="wst05_10">'Assessment Issue Scoring'!$H$1242</definedName>
    <definedName name="Wst05_11">'Assessment Issue Scoring'!$H$1230</definedName>
    <definedName name="Wst05_Credits">'Assessment Issue Scoring'!$H$1228</definedName>
    <definedName name="Wst05_tot">'Assessment Issue Scoring'!$H$1236</definedName>
    <definedName name="Wst06_01">'Assessment Issue Scoring'!$J$1254</definedName>
    <definedName name="Wst06_02">'Assessment Issue Scoring'!$L$1254</definedName>
    <definedName name="Wst06_03">'Assessment Issue Scoring'!$N$1254</definedName>
    <definedName name="Wst06_04">'Assessment Issue Scoring'!$P$1249</definedName>
    <definedName name="Wst06_Credits">'Assessment Issue Scoring'!$H$1249</definedName>
    <definedName name="Wst06_switch">'Assessment Issue Scoring'!$R$1247</definedName>
    <definedName name="Wst06_tot">'Assessment Issue Scoring'!$H$1256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43" i="1" l="1"/>
  <c r="H359" i="1" l="1"/>
  <c r="L350" i="1"/>
  <c r="H345" i="1"/>
  <c r="L215" i="1" l="1"/>
  <c r="L219" i="1"/>
  <c r="L218" i="1"/>
  <c r="L217" i="1"/>
  <c r="L216" i="1"/>
  <c r="Z1585" i="1"/>
  <c r="Z1584" i="1"/>
  <c r="L191" i="1"/>
  <c r="N191" i="1" l="1"/>
  <c r="M191" i="1" s="1"/>
  <c r="P1378" i="1"/>
  <c r="N193" i="1"/>
  <c r="N481" i="1" l="1"/>
  <c r="N977" i="1" l="1"/>
  <c r="N976" i="1"/>
  <c r="H427" i="1" l="1"/>
  <c r="H1404" i="1" l="1"/>
  <c r="P1480" i="1" l="1"/>
  <c r="R1480" i="1" s="1"/>
  <c r="AI1648" i="1" l="1"/>
  <c r="P747" i="1" l="1"/>
  <c r="L1516" i="1" l="1"/>
  <c r="L1515" i="1"/>
  <c r="H675" i="1" l="1"/>
  <c r="L481" i="1" l="1"/>
  <c r="Z236" i="3"/>
  <c r="Z235" i="3"/>
  <c r="R88" i="3"/>
  <c r="R86" i="3"/>
  <c r="H174" i="1" l="1"/>
  <c r="AB174" i="3" l="1"/>
  <c r="AX1808" i="1" l="1"/>
  <c r="H398" i="1" s="1"/>
  <c r="L72" i="5"/>
  <c r="N70" i="5"/>
  <c r="L70" i="5"/>
  <c r="P1473" i="1"/>
  <c r="P1454" i="1"/>
  <c r="R1454" i="1" s="1"/>
  <c r="H1440" i="1"/>
  <c r="L1441" i="1"/>
  <c r="N1441" i="1" s="1"/>
  <c r="AC2204" i="1"/>
  <c r="H423" i="1" l="1"/>
  <c r="H1456" i="1"/>
  <c r="L1461" i="1" s="1"/>
  <c r="N1461" i="1" s="1"/>
  <c r="H1463" i="1" s="1"/>
  <c r="N1339" i="1" l="1"/>
  <c r="H1343" i="1" s="1"/>
  <c r="J31" i="5"/>
  <c r="H1328" i="1"/>
  <c r="N1298" i="1"/>
  <c r="N1276" i="1"/>
  <c r="P1247" i="1"/>
  <c r="R1247" i="1" s="1"/>
  <c r="J1214" i="1"/>
  <c r="R1207" i="1"/>
  <c r="P1207" i="1" s="1"/>
  <c r="P1187" i="1"/>
  <c r="R1187" i="1" s="1"/>
  <c r="P1164" i="1"/>
  <c r="R1164" i="1" s="1"/>
  <c r="H1175" i="1"/>
  <c r="R1172" i="1"/>
  <c r="H1158" i="1"/>
  <c r="AA2264" i="1"/>
  <c r="AR2106" i="1"/>
  <c r="AR2105" i="1"/>
  <c r="J1094" i="1"/>
  <c r="AR2104" i="1" s="1"/>
  <c r="H1166" i="1" l="1"/>
  <c r="N1254" i="1"/>
  <c r="H1256" i="1" s="1"/>
  <c r="H1249" i="1"/>
  <c r="L1254" i="1"/>
  <c r="H1251" i="1"/>
  <c r="L1194" i="1"/>
  <c r="N1194" i="1" s="1"/>
  <c r="P1191" i="1"/>
  <c r="N1195" i="1"/>
  <c r="L1195" i="1"/>
  <c r="H1189" i="1"/>
  <c r="P1168" i="1"/>
  <c r="AS2106" i="1"/>
  <c r="AA2262" i="1"/>
  <c r="P1101" i="1"/>
  <c r="Q1083" i="1"/>
  <c r="P1061" i="1"/>
  <c r="P1060" i="1"/>
  <c r="N1060" i="1"/>
  <c r="N1059" i="1"/>
  <c r="N1121" i="1"/>
  <c r="N1120" i="1"/>
  <c r="N1119" i="1"/>
  <c r="N1118" i="1"/>
  <c r="N1116" i="1"/>
  <c r="N1115" i="1"/>
  <c r="P1108" i="1"/>
  <c r="H938" i="1"/>
  <c r="P890" i="1"/>
  <c r="R898" i="1" s="1"/>
  <c r="N877" i="1"/>
  <c r="L877" i="1"/>
  <c r="L876" i="1"/>
  <c r="N876" i="1" s="1"/>
  <c r="P877" i="1"/>
  <c r="P876" i="1"/>
  <c r="H1197" i="1" l="1"/>
  <c r="AA2263" i="1"/>
  <c r="AR2107" i="1"/>
  <c r="H1063" i="1"/>
  <c r="H1067" i="1" s="1"/>
  <c r="P810" i="1"/>
  <c r="H812" i="1"/>
  <c r="P769" i="1"/>
  <c r="R769" i="1" s="1"/>
  <c r="J754" i="1"/>
  <c r="J753" i="1"/>
  <c r="AA2253" i="1"/>
  <c r="H1511" i="1"/>
  <c r="J1515" i="1" l="1"/>
  <c r="N1515" i="1"/>
  <c r="H771" i="1"/>
  <c r="H741" i="1"/>
  <c r="T735" i="1"/>
  <c r="P719" i="1"/>
  <c r="R729" i="1"/>
  <c r="T707" i="1"/>
  <c r="R702" i="1"/>
  <c r="H723" i="1" l="1"/>
  <c r="AC2250" i="1"/>
  <c r="H737" i="1" s="1"/>
  <c r="J1511" i="1"/>
  <c r="L776" i="1"/>
  <c r="H721" i="1"/>
  <c r="N776" i="1" l="1"/>
  <c r="AF2040" i="1"/>
  <c r="P692" i="1"/>
  <c r="Z2033" i="1"/>
  <c r="AD2030" i="1"/>
  <c r="AA2250" i="1" l="1"/>
  <c r="H709" i="1" s="1"/>
  <c r="H696" i="1"/>
  <c r="H713" i="1"/>
  <c r="N1511" i="1" s="1"/>
  <c r="H694" i="1"/>
  <c r="R721" i="1" l="1"/>
  <c r="AD2028" i="1"/>
  <c r="AD2029" i="1" s="1"/>
  <c r="N660" i="1" s="1"/>
  <c r="N661" i="1" s="1"/>
  <c r="S565" i="1" l="1"/>
  <c r="P524" i="1"/>
  <c r="P545" i="1"/>
  <c r="L532" i="1" l="1"/>
  <c r="N532" i="1" s="1"/>
  <c r="H526" i="1"/>
  <c r="L531" i="1"/>
  <c r="N531" i="1" s="1"/>
  <c r="L1510" i="1"/>
  <c r="AK1978" i="1"/>
  <c r="AK1979" i="1" s="1"/>
  <c r="AK1980" i="1" s="1"/>
  <c r="H517" i="1" s="1"/>
  <c r="H1510" i="1"/>
  <c r="H200" i="1"/>
  <c r="R500" i="1"/>
  <c r="N500" i="1"/>
  <c r="N480" i="1"/>
  <c r="H475" i="1"/>
  <c r="N1510" i="1" l="1"/>
  <c r="J1510" i="1"/>
  <c r="H483" i="1"/>
  <c r="B2" i="5"/>
  <c r="B2" i="3"/>
  <c r="B4" i="1"/>
  <c r="B2" i="4"/>
  <c r="B2" i="8"/>
  <c r="P35" i="5"/>
  <c r="P33" i="5"/>
  <c r="P31" i="5"/>
  <c r="P29" i="5"/>
  <c r="P27" i="5"/>
  <c r="P25" i="5"/>
  <c r="P23" i="5"/>
  <c r="P17" i="5"/>
  <c r="P19" i="5"/>
  <c r="P21" i="5"/>
  <c r="P453" i="1"/>
  <c r="H469" i="1"/>
  <c r="P433" i="1"/>
  <c r="H365" i="1"/>
  <c r="L311" i="1"/>
  <c r="L312" i="1"/>
  <c r="AI1643" i="1"/>
  <c r="H202" i="1" s="1"/>
  <c r="L441" i="1" l="1"/>
  <c r="N441" i="1" s="1"/>
  <c r="H435" i="1"/>
  <c r="L440" i="1"/>
  <c r="N440" i="1" s="1"/>
  <c r="L460" i="1"/>
  <c r="N460" i="1" s="1"/>
  <c r="H455" i="1"/>
  <c r="L461" i="1"/>
  <c r="N461" i="1" s="1"/>
  <c r="H463" i="1" l="1"/>
  <c r="AI1647" i="1"/>
  <c r="H429" i="1" s="1"/>
  <c r="N372" i="1" l="1"/>
  <c r="N371" i="1"/>
  <c r="R365" i="1"/>
  <c r="AI1646" i="1"/>
  <c r="N350" i="1"/>
  <c r="H353" i="1" s="1"/>
  <c r="R351" i="1"/>
  <c r="R311" i="1"/>
  <c r="AI1644" i="1"/>
  <c r="H320" i="1" s="1"/>
  <c r="H355" i="1" l="1"/>
  <c r="H374" i="1"/>
  <c r="N331" i="1"/>
  <c r="P324" i="1"/>
  <c r="R350" i="1"/>
  <c r="N312" i="1"/>
  <c r="P258" i="1"/>
  <c r="H326" i="1" l="1"/>
  <c r="H333" i="1"/>
  <c r="AI1645" i="1" s="1"/>
  <c r="H339" i="1" s="1"/>
  <c r="H306" i="1"/>
  <c r="L192" i="1" l="1"/>
  <c r="N190" i="1"/>
  <c r="L190" i="1"/>
  <c r="H172" i="1"/>
  <c r="AB154" i="3"/>
  <c r="L193" i="1" s="1" a="1"/>
  <c r="L193" i="1" s="1"/>
  <c r="N74" i="1"/>
  <c r="AI1640" i="1" s="1"/>
  <c r="N73" i="1"/>
  <c r="N72" i="1"/>
  <c r="H184" i="1" l="1"/>
  <c r="L166" i="1"/>
  <c r="L875" i="1"/>
  <c r="H870" i="1" s="1"/>
  <c r="AB178" i="3"/>
  <c r="P628" i="1"/>
  <c r="R630" i="1" s="1"/>
  <c r="P788" i="1"/>
  <c r="R788" i="1" s="1"/>
  <c r="L221" i="1"/>
  <c r="R193" i="1"/>
  <c r="P163" i="1"/>
  <c r="N192" i="1"/>
  <c r="H161" i="1" l="1"/>
  <c r="N166" i="1"/>
  <c r="H168" i="1" s="1"/>
  <c r="N875" i="1"/>
  <c r="H879" i="1" s="1"/>
  <c r="H790" i="1"/>
  <c r="L795" i="1" s="1"/>
  <c r="N795" i="1" s="1"/>
  <c r="H797" i="1" s="1"/>
  <c r="Z2204" i="1"/>
  <c r="T890" i="1" l="1"/>
  <c r="P237" i="1" l="1"/>
  <c r="P367" i="1" l="1"/>
  <c r="N898" i="1"/>
  <c r="P850" i="1" l="1"/>
  <c r="AP2173" i="1" l="1"/>
  <c r="AP2172" i="1"/>
  <c r="AG1534" i="1" l="1"/>
  <c r="AG1535" i="1"/>
  <c r="AT1535" i="1"/>
  <c r="AG1536" i="1"/>
  <c r="AT1536" i="1"/>
  <c r="AT1537" i="1"/>
  <c r="AT1538" i="1"/>
  <c r="Z1805" i="1" s="1"/>
  <c r="AT1539" i="1"/>
  <c r="AT1541" i="1"/>
  <c r="AT1542" i="1"/>
  <c r="AT1543" i="1"/>
  <c r="AT1544" i="1"/>
  <c r="AT1545" i="1"/>
  <c r="AT1547" i="1"/>
  <c r="AT1548" i="1"/>
  <c r="AT1549" i="1"/>
  <c r="Z1550" i="1"/>
  <c r="AT1550" i="1"/>
  <c r="AT1551" i="1"/>
  <c r="AI1641" i="1"/>
  <c r="AI1642" i="1"/>
  <c r="AI1651" i="1"/>
  <c r="H864" i="1" s="1"/>
  <c r="AI1652" i="1"/>
  <c r="AG1791" i="1"/>
  <c r="AH1796" i="1"/>
  <c r="AI1796" i="1"/>
  <c r="AE1803" i="1"/>
  <c r="Z1809" i="1"/>
  <c r="AO1830" i="1" s="1"/>
  <c r="AA1815" i="1"/>
  <c r="AA1816" i="1"/>
  <c r="AC1817" i="1"/>
  <c r="AB1820" i="1"/>
  <c r="AC1821" i="1"/>
  <c r="AC1822" i="1"/>
  <c r="AC1823" i="1"/>
  <c r="AG1860" i="1"/>
  <c r="AM1860" i="1"/>
  <c r="AG1861" i="1"/>
  <c r="AM1861" i="1"/>
  <c r="AG1862" i="1"/>
  <c r="AM1862" i="1"/>
  <c r="AG1863" i="1"/>
  <c r="AM1863" i="1"/>
  <c r="AG1864" i="1"/>
  <c r="AM1864" i="1"/>
  <c r="AG1865" i="1"/>
  <c r="AM1865" i="1"/>
  <c r="AG1866" i="1"/>
  <c r="AM1866" i="1"/>
  <c r="AG1867" i="1"/>
  <c r="AM1867" i="1"/>
  <c r="AG1868" i="1"/>
  <c r="AM1868" i="1"/>
  <c r="AG1869" i="1"/>
  <c r="AM1869" i="1"/>
  <c r="AG1870" i="1"/>
  <c r="AM1870" i="1"/>
  <c r="AG1871" i="1"/>
  <c r="AM1871" i="1"/>
  <c r="AG1872" i="1"/>
  <c r="AM1872" i="1"/>
  <c r="AG1873" i="1"/>
  <c r="AM1873" i="1"/>
  <c r="AG1874" i="1"/>
  <c r="AM1874" i="1"/>
  <c r="AG1875" i="1"/>
  <c r="AM1875" i="1"/>
  <c r="AG1876" i="1"/>
  <c r="AM1876" i="1"/>
  <c r="AG1877" i="1"/>
  <c r="AM1877" i="1"/>
  <c r="AG1878" i="1"/>
  <c r="AM1878" i="1"/>
  <c r="AG1879" i="1"/>
  <c r="AM1879" i="1"/>
  <c r="AG1880" i="1"/>
  <c r="AM1880" i="1"/>
  <c r="AG1881" i="1"/>
  <c r="AM1881" i="1"/>
  <c r="AG1882" i="1"/>
  <c r="AM1882" i="1"/>
  <c r="AG1883" i="1"/>
  <c r="AM1883" i="1"/>
  <c r="AG1884" i="1"/>
  <c r="AM1884" i="1"/>
  <c r="AG1885" i="1"/>
  <c r="AM1885" i="1"/>
  <c r="AG1886" i="1"/>
  <c r="AM1886" i="1"/>
  <c r="AG1887" i="1"/>
  <c r="AM1887" i="1"/>
  <c r="AG1888" i="1"/>
  <c r="AM1888" i="1"/>
  <c r="AG1889" i="1"/>
  <c r="AM1889" i="1"/>
  <c r="AG1890" i="1"/>
  <c r="AM1890" i="1"/>
  <c r="AG1891" i="1"/>
  <c r="AM1891" i="1"/>
  <c r="AG1892" i="1"/>
  <c r="AM1892" i="1"/>
  <c r="AG1893" i="1"/>
  <c r="AM1893" i="1"/>
  <c r="AG1894" i="1"/>
  <c r="AM1894" i="1"/>
  <c r="AG1895" i="1"/>
  <c r="AM1895" i="1"/>
  <c r="AG1896" i="1"/>
  <c r="AM1896" i="1"/>
  <c r="AG1897" i="1"/>
  <c r="AM1897" i="1"/>
  <c r="AG1898" i="1"/>
  <c r="AM1898" i="1"/>
  <c r="AG1899" i="1"/>
  <c r="AM1899" i="1"/>
  <c r="AG1900" i="1"/>
  <c r="AM1900" i="1"/>
  <c r="AG1901" i="1"/>
  <c r="AM1901" i="1"/>
  <c r="AG1902" i="1"/>
  <c r="AM1902" i="1"/>
  <c r="AG1903" i="1"/>
  <c r="AM1903" i="1"/>
  <c r="AG1904" i="1"/>
  <c r="AM1904" i="1"/>
  <c r="AG1905" i="1"/>
  <c r="AM1905" i="1"/>
  <c r="AG1906" i="1"/>
  <c r="AM1906" i="1"/>
  <c r="AG1907" i="1"/>
  <c r="AM1907" i="1"/>
  <c r="AG1908" i="1"/>
  <c r="AM1908" i="1"/>
  <c r="AG1909" i="1"/>
  <c r="AM1909" i="1"/>
  <c r="AG1910" i="1"/>
  <c r="AM1910" i="1"/>
  <c r="AG1911" i="1"/>
  <c r="AM1911" i="1"/>
  <c r="AG1912" i="1"/>
  <c r="AM1912" i="1"/>
  <c r="AG1913" i="1"/>
  <c r="AM1913" i="1"/>
  <c r="AG1914" i="1"/>
  <c r="AM1914" i="1"/>
  <c r="AG1915" i="1"/>
  <c r="AM1915" i="1"/>
  <c r="AG1916" i="1"/>
  <c r="AM1916" i="1"/>
  <c r="AG1917" i="1"/>
  <c r="AM1917" i="1"/>
  <c r="AG1918" i="1"/>
  <c r="AM1918" i="1"/>
  <c r="AG1919" i="1"/>
  <c r="AM1919" i="1"/>
  <c r="AG1920" i="1"/>
  <c r="AM1920" i="1"/>
  <c r="AG1921" i="1"/>
  <c r="AM1921" i="1"/>
  <c r="AG1922" i="1"/>
  <c r="AM1922" i="1"/>
  <c r="AG1923" i="1"/>
  <c r="AM1923" i="1"/>
  <c r="AG1924" i="1"/>
  <c r="AM1924" i="1"/>
  <c r="AG1925" i="1"/>
  <c r="AM1925" i="1"/>
  <c r="AG1926" i="1"/>
  <c r="AM1926" i="1"/>
  <c r="AG1927" i="1"/>
  <c r="AM1927" i="1"/>
  <c r="AG1928" i="1"/>
  <c r="AM1928" i="1"/>
  <c r="AG1929" i="1"/>
  <c r="AM1929" i="1"/>
  <c r="AG1930" i="1"/>
  <c r="AM1930" i="1"/>
  <c r="AG1931" i="1"/>
  <c r="AM1931" i="1"/>
  <c r="AG1932" i="1"/>
  <c r="AM1932" i="1"/>
  <c r="AG1933" i="1"/>
  <c r="AM1933" i="1"/>
  <c r="AG1934" i="1"/>
  <c r="AM1934" i="1"/>
  <c r="AG1935" i="1"/>
  <c r="AM1935" i="1"/>
  <c r="AG1936" i="1"/>
  <c r="AM1936" i="1"/>
  <c r="AG1937" i="1"/>
  <c r="AM1937" i="1"/>
  <c r="AG1938" i="1"/>
  <c r="AM1938" i="1"/>
  <c r="AG1939" i="1"/>
  <c r="AM1939" i="1"/>
  <c r="AG1940" i="1"/>
  <c r="AM1940" i="1"/>
  <c r="AG1941" i="1"/>
  <c r="AM1941" i="1"/>
  <c r="AG1942" i="1"/>
  <c r="AM1942" i="1"/>
  <c r="AG1943" i="1"/>
  <c r="AM1943" i="1"/>
  <c r="AG1944" i="1"/>
  <c r="AM1944" i="1"/>
  <c r="AG1945" i="1"/>
  <c r="AM1945" i="1"/>
  <c r="AG1946" i="1"/>
  <c r="AM1946" i="1"/>
  <c r="AG1947" i="1"/>
  <c r="AM1947" i="1"/>
  <c r="AG1948" i="1"/>
  <c r="AM1948" i="1"/>
  <c r="AG1949" i="1"/>
  <c r="AM1949" i="1"/>
  <c r="AG1950" i="1"/>
  <c r="AM1950" i="1"/>
  <c r="AG1951" i="1"/>
  <c r="AM1951" i="1"/>
  <c r="AG1952" i="1"/>
  <c r="AM1952" i="1"/>
  <c r="AG1953" i="1"/>
  <c r="AM1953" i="1"/>
  <c r="AG1954" i="1"/>
  <c r="AM1954" i="1"/>
  <c r="AG1955" i="1"/>
  <c r="AM1955" i="1"/>
  <c r="AG1956" i="1"/>
  <c r="AM1956" i="1"/>
  <c r="AG1957" i="1"/>
  <c r="AM1957" i="1"/>
  <c r="AG1958" i="1"/>
  <c r="AM1958" i="1"/>
  <c r="AG1959" i="1"/>
  <c r="AM1959" i="1"/>
  <c r="AG1960" i="1"/>
  <c r="AM1960" i="1"/>
  <c r="AJ1964" i="1"/>
  <c r="AJ1965" i="1"/>
  <c r="AI1964" i="1"/>
  <c r="AK1964" i="1"/>
  <c r="AL1964" i="1"/>
  <c r="AL1965" i="1"/>
  <c r="AK1965" i="1"/>
  <c r="AI1965" i="1"/>
  <c r="L93" i="1" l="1"/>
  <c r="L87" i="1"/>
  <c r="L83" i="1"/>
  <c r="L96" i="1"/>
  <c r="L92" i="1"/>
  <c r="L86" i="1"/>
  <c r="L82" i="1"/>
  <c r="L95" i="1"/>
  <c r="L91" i="1"/>
  <c r="L85" i="1"/>
  <c r="L81" i="1"/>
  <c r="L94" i="1"/>
  <c r="L88" i="1"/>
  <c r="L84" i="1"/>
  <c r="L99" i="1"/>
  <c r="L100" i="1"/>
  <c r="AO1824" i="1"/>
  <c r="AO1825" i="1" s="1"/>
  <c r="AI1966" i="1"/>
  <c r="AJ1966" i="1" s="1"/>
  <c r="AK1966" i="1"/>
  <c r="AL1966" i="1" s="1"/>
  <c r="AD1971" i="1"/>
  <c r="AD1972" i="1"/>
  <c r="AD1973" i="1"/>
  <c r="AD1974" i="1"/>
  <c r="AD1975" i="1"/>
  <c r="AD1976" i="1"/>
  <c r="AD1977" i="1"/>
  <c r="AD1978" i="1"/>
  <c r="Z1979" i="1"/>
  <c r="AD1979" i="1"/>
  <c r="Z1980" i="1"/>
  <c r="AD1980" i="1"/>
  <c r="AD1981" i="1"/>
  <c r="AB1995" i="1"/>
  <c r="AH1995" i="1"/>
  <c r="AB1996" i="1"/>
  <c r="AH1996" i="1"/>
  <c r="AB1997" i="1"/>
  <c r="AB1998" i="1"/>
  <c r="AB1999" i="1"/>
  <c r="AB2000" i="1"/>
  <c r="AB2001" i="1"/>
  <c r="AB2002" i="1"/>
  <c r="AB2003" i="1"/>
  <c r="AB2004" i="1"/>
  <c r="AB2005" i="1"/>
  <c r="AB2014" i="1"/>
  <c r="Z2032" i="1"/>
  <c r="AD2037" i="1"/>
  <c r="AD2038" i="1"/>
  <c r="AD2039" i="1"/>
  <c r="AD2040" i="1"/>
  <c r="AD2041" i="1"/>
  <c r="AD2042" i="1"/>
  <c r="AD2043" i="1"/>
  <c r="AD2044" i="1"/>
  <c r="AD2045" i="1"/>
  <c r="AD2046" i="1"/>
  <c r="AD2047" i="1"/>
  <c r="AD2048" i="1"/>
  <c r="AD2049" i="1"/>
  <c r="AD2050" i="1"/>
  <c r="AD2051" i="1"/>
  <c r="AH2066" i="1"/>
  <c r="AH2068" i="1" s="1"/>
  <c r="AA2257" i="1" s="1"/>
  <c r="H836" i="1" s="1"/>
  <c r="Z2081" i="1"/>
  <c r="Z2082" i="1"/>
  <c r="Z2083" i="1"/>
  <c r="Z2084" i="1"/>
  <c r="Z2085" i="1"/>
  <c r="Z2086" i="1"/>
  <c r="AN2111" i="1"/>
  <c r="AO2111" i="1"/>
  <c r="AA2112" i="1"/>
  <c r="AB2112" i="1"/>
  <c r="AC2112" i="1"/>
  <c r="AH2112" i="1"/>
  <c r="AI2112" i="1"/>
  <c r="AN2112" i="1"/>
  <c r="AO2112" i="1"/>
  <c r="AH2113" i="1"/>
  <c r="AI2113" i="1"/>
  <c r="AN2113" i="1"/>
  <c r="AO2113" i="1" s="1"/>
  <c r="AA2114" i="1"/>
  <c r="AB2114" i="1"/>
  <c r="AC2123" i="1"/>
  <c r="AD2123" i="1" s="1"/>
  <c r="AF2123" i="1" s="1"/>
  <c r="AH2123" i="1" s="1"/>
  <c r="AC2124" i="1"/>
  <c r="AE2124" i="1" s="1"/>
  <c r="AG2124" i="1" s="1"/>
  <c r="AC2125" i="1"/>
  <c r="AD2125" i="1" s="1"/>
  <c r="AF2125" i="1" s="1"/>
  <c r="AH2125" i="1" s="1"/>
  <c r="AC2126" i="1"/>
  <c r="AD2126" i="1" s="1"/>
  <c r="AF2126" i="1" s="1"/>
  <c r="AH2126" i="1" s="1"/>
  <c r="AC2127" i="1"/>
  <c r="AD2127" i="1" s="1"/>
  <c r="AF2127" i="1" s="1"/>
  <c r="AH2127" i="1" s="1"/>
  <c r="AC2128" i="1"/>
  <c r="AE2128" i="1" s="1"/>
  <c r="AG2128" i="1" s="1"/>
  <c r="AC2131" i="1"/>
  <c r="AD2164" i="1"/>
  <c r="AE2164" i="1" s="1"/>
  <c r="AD2165" i="1"/>
  <c r="AA2169" i="1"/>
  <c r="AA2170" i="1" s="1"/>
  <c r="AP2174" i="1"/>
  <c r="AP2175" i="1"/>
  <c r="AP2176" i="1"/>
  <c r="AP2177" i="1"/>
  <c r="AO2178" i="1"/>
  <c r="AN2179" i="1"/>
  <c r="AN2180" i="1"/>
  <c r="AM2197" i="1"/>
  <c r="AO2197" i="1" s="1"/>
  <c r="AM2198" i="1"/>
  <c r="AO2198" i="1" s="1"/>
  <c r="AG2204" i="1"/>
  <c r="AG2205" i="1"/>
  <c r="AA2221" i="1"/>
  <c r="AA2222" i="1"/>
  <c r="J87" i="1" s="1"/>
  <c r="AA2223" i="1"/>
  <c r="J88" i="1" s="1"/>
  <c r="AA2224" i="1"/>
  <c r="AA2225" i="1"/>
  <c r="AA2234" i="1"/>
  <c r="AA2235" i="1"/>
  <c r="AA2247" i="1"/>
  <c r="AA2260" i="1"/>
  <c r="AA2261" i="1"/>
  <c r="AB2262" i="1"/>
  <c r="AA2266" i="1"/>
  <c r="AA2273" i="1"/>
  <c r="AA2274" i="1"/>
  <c r="AA2278" i="1"/>
  <c r="AI2114" i="1" l="1"/>
  <c r="AL2200" i="1"/>
  <c r="Z2206" i="1" s="1"/>
  <c r="AC2196" i="1" s="1"/>
  <c r="AA2275" i="1"/>
  <c r="AA2115" i="1"/>
  <c r="AD2124" i="1"/>
  <c r="AF2124" i="1" s="1"/>
  <c r="AH2124" i="1" s="1"/>
  <c r="AD2128" i="1"/>
  <c r="AF2128" i="1" s="1"/>
  <c r="AH2128" i="1" s="1"/>
  <c r="AH2114" i="1"/>
  <c r="Z2087" i="1"/>
  <c r="AG2207" i="1"/>
  <c r="AN2178" i="1"/>
  <c r="AP2178" i="1" s="1"/>
  <c r="AP2179" i="1" s="1"/>
  <c r="AN2114" i="1"/>
  <c r="AO2114" i="1"/>
  <c r="AE2126" i="1"/>
  <c r="AG2126" i="1" s="1"/>
  <c r="AK2180" i="1"/>
  <c r="AG2182" i="1"/>
  <c r="AA2173" i="1"/>
  <c r="AK2182" i="1"/>
  <c r="AG2181" i="1"/>
  <c r="AA2171" i="1"/>
  <c r="AK2181" i="1"/>
  <c r="AE2127" i="1"/>
  <c r="AG2127" i="1" s="1"/>
  <c r="AE2125" i="1"/>
  <c r="AG2125" i="1" s="1"/>
  <c r="AE2123" i="1"/>
  <c r="L1362" i="1"/>
  <c r="AH2115" i="1" l="1"/>
  <c r="AC2197" i="1"/>
  <c r="AE2134" i="1"/>
  <c r="AD2137" i="1" s="1"/>
  <c r="AN2115" i="1"/>
  <c r="AB2263" i="1"/>
  <c r="AG2123" i="1"/>
  <c r="AD2134" i="1" s="1"/>
  <c r="AC2137" i="1" s="1"/>
  <c r="J1141" i="1" s="1"/>
  <c r="AC2134" i="1"/>
  <c r="L1111" i="1"/>
  <c r="P1118" i="1"/>
  <c r="P1117" i="1"/>
  <c r="P1115" i="1"/>
  <c r="P1114" i="1"/>
  <c r="P1113" i="1"/>
  <c r="P1112" i="1"/>
  <c r="L1115" i="1"/>
  <c r="L1121" i="1"/>
  <c r="L1120" i="1"/>
  <c r="L1119" i="1"/>
  <c r="L1118" i="1"/>
  <c r="L1117" i="1"/>
  <c r="L1116" i="1"/>
  <c r="L1114" i="1"/>
  <c r="L1112" i="1"/>
  <c r="L1113" i="1"/>
  <c r="L1110" i="1"/>
  <c r="AC2122" i="1" l="1"/>
  <c r="R1141" i="1"/>
  <c r="L1151" i="1"/>
  <c r="H402" i="1" l="1"/>
  <c r="J409" i="1"/>
  <c r="J408" i="1"/>
  <c r="J407" i="1"/>
  <c r="J406" i="1"/>
  <c r="J405" i="1"/>
  <c r="J404" i="1"/>
  <c r="AA2242" i="1" l="1"/>
  <c r="AE2012" i="1"/>
  <c r="N409" i="1"/>
  <c r="N405" i="1"/>
  <c r="N404" i="1"/>
  <c r="N406" i="1"/>
  <c r="R410" i="1"/>
  <c r="N407" i="1"/>
  <c r="N408" i="1"/>
  <c r="CX16" i="6" l="1"/>
  <c r="CX14" i="6"/>
  <c r="BW14" i="6"/>
  <c r="BY14" i="6"/>
  <c r="BY16" i="6"/>
  <c r="BX14" i="6"/>
  <c r="AY16" i="6"/>
  <c r="AV16" i="6"/>
  <c r="AU16" i="6"/>
  <c r="AY14" i="6"/>
  <c r="AX14" i="6"/>
  <c r="AW14" i="6"/>
  <c r="AW13" i="6"/>
  <c r="AV14" i="6"/>
  <c r="AU14" i="6"/>
  <c r="AT14" i="6"/>
  <c r="AS14" i="6"/>
  <c r="AS13" i="6"/>
  <c r="AK16" i="6"/>
  <c r="AJ16" i="6"/>
  <c r="AJ14" i="6"/>
  <c r="AI16" i="6"/>
  <c r="AI14" i="6"/>
  <c r="AO13" i="6"/>
  <c r="AQ16" i="6"/>
  <c r="AQ14" i="6"/>
  <c r="AP14" i="6"/>
  <c r="AO14" i="6"/>
  <c r="H140" i="1" l="1"/>
  <c r="L1507" i="1" s="1"/>
  <c r="L1360" i="1"/>
  <c r="L266" i="1"/>
  <c r="L410" i="1"/>
  <c r="N1234" i="1"/>
  <c r="H1240" i="1" s="1"/>
  <c r="N1518" i="1" s="1"/>
  <c r="N268" i="1"/>
  <c r="L1234" i="1"/>
  <c r="H1230" i="1"/>
  <c r="L1518" i="1" s="1"/>
  <c r="AR11" i="6"/>
  <c r="R272" i="1"/>
  <c r="N120" i="1"/>
  <c r="AF11" i="6" s="1"/>
  <c r="R120" i="1"/>
  <c r="N122" i="1"/>
  <c r="AH11" i="6" s="1"/>
  <c r="H131" i="1"/>
  <c r="H840" i="1"/>
  <c r="H395" i="1"/>
  <c r="R77" i="1"/>
  <c r="R76" i="1"/>
  <c r="N221" i="1"/>
  <c r="BC11" i="6" s="1"/>
  <c r="J1506" i="1"/>
  <c r="J1513" i="1"/>
  <c r="L402" i="1"/>
  <c r="T565" i="1"/>
  <c r="AT11" i="6"/>
  <c r="J403" i="1"/>
  <c r="L1506" i="1"/>
  <c r="P29" i="1"/>
  <c r="N29" i="1"/>
  <c r="G11" i="6" s="1"/>
  <c r="P632" i="1"/>
  <c r="R611" i="1"/>
  <c r="R533" i="1"/>
  <c r="R553" i="1"/>
  <c r="U565" i="1"/>
  <c r="R575" i="1"/>
  <c r="J572" i="1"/>
  <c r="J565" i="1"/>
  <c r="R1018" i="1"/>
  <c r="H985" i="1"/>
  <c r="P140" i="1"/>
  <c r="N119" i="1"/>
  <c r="S10" i="6"/>
  <c r="BO11" i="6"/>
  <c r="BN11" i="6"/>
  <c r="BO9" i="6"/>
  <c r="BN9" i="6"/>
  <c r="BM9" i="6"/>
  <c r="L146" i="1"/>
  <c r="L145" i="1"/>
  <c r="L144" i="1"/>
  <c r="L143" i="1"/>
  <c r="N219" i="1"/>
  <c r="BB11" i="6" s="1"/>
  <c r="L92" i="5"/>
  <c r="L90" i="5"/>
  <c r="L41" i="5"/>
  <c r="BP6" i="6" s="1"/>
  <c r="S11" i="6"/>
  <c r="R11" i="6"/>
  <c r="S9" i="6"/>
  <c r="R9" i="6"/>
  <c r="P9" i="6"/>
  <c r="Q9" i="6"/>
  <c r="N553" i="1"/>
  <c r="P599" i="1"/>
  <c r="P136" i="1"/>
  <c r="N143" i="1" s="1"/>
  <c r="H138" i="1"/>
  <c r="H987" i="1"/>
  <c r="H154" i="1"/>
  <c r="H108" i="1"/>
  <c r="N77" i="1"/>
  <c r="N76" i="1"/>
  <c r="W11" i="6"/>
  <c r="H106" i="1"/>
  <c r="N1506" i="1" s="1"/>
  <c r="L246" i="1"/>
  <c r="B401" i="1"/>
  <c r="R998" i="1"/>
  <c r="N28" i="1"/>
  <c r="F11" i="6" s="1"/>
  <c r="J402" i="1"/>
  <c r="F409" i="1"/>
  <c r="CK9" i="6" s="1"/>
  <c r="L853" i="1"/>
  <c r="N853" i="1" s="1"/>
  <c r="H858" i="1" s="1"/>
  <c r="HB11" i="6" s="1"/>
  <c r="L1508" i="1"/>
  <c r="N215" i="1"/>
  <c r="Z226" i="3"/>
  <c r="Z225" i="3"/>
  <c r="Z222" i="3"/>
  <c r="AE1796" i="1" s="1"/>
  <c r="N194" i="1"/>
  <c r="N1508" i="1" s="1"/>
  <c r="FR16" i="6" s="1"/>
  <c r="H1518" i="1"/>
  <c r="H1509" i="1"/>
  <c r="H1507" i="1"/>
  <c r="FQ14" i="6" s="1"/>
  <c r="H1506" i="1"/>
  <c r="FP14" i="6" s="1"/>
  <c r="L245" i="1"/>
  <c r="P1402" i="1"/>
  <c r="L1414" i="1" s="1"/>
  <c r="N1299" i="1"/>
  <c r="R1254" i="1"/>
  <c r="N1233" i="1"/>
  <c r="H1236" i="1" s="1"/>
  <c r="R1233" i="1"/>
  <c r="L1233" i="1"/>
  <c r="N1039" i="1"/>
  <c r="H1041" i="1" s="1"/>
  <c r="AW16" i="6" s="1"/>
  <c r="P814" i="1"/>
  <c r="H814" i="1"/>
  <c r="N502" i="1"/>
  <c r="DU11" i="6" s="1"/>
  <c r="R502" i="1"/>
  <c r="Y11" i="6"/>
  <c r="N48" i="1"/>
  <c r="N50" i="1"/>
  <c r="N49" i="1"/>
  <c r="H35" i="1"/>
  <c r="C11" i="6" s="1"/>
  <c r="S17" i="5"/>
  <c r="R68" i="3"/>
  <c r="Q137" i="3"/>
  <c r="J1112" i="1"/>
  <c r="R694" i="1"/>
  <c r="AB177" i="3"/>
  <c r="N311" i="1"/>
  <c r="P62" i="5"/>
  <c r="CH6" i="6" s="1"/>
  <c r="EV16" i="6"/>
  <c r="EV14" i="6"/>
  <c r="EU16" i="6"/>
  <c r="EU14" i="6"/>
  <c r="ET16" i="6"/>
  <c r="ET14" i="6"/>
  <c r="L62" i="5"/>
  <c r="CG6" i="6" s="1"/>
  <c r="R1520" i="1"/>
  <c r="R616" i="1"/>
  <c r="B119" i="3"/>
  <c r="B124" i="3"/>
  <c r="Q5" i="3"/>
  <c r="Z205" i="3"/>
  <c r="R92" i="3"/>
  <c r="P41" i="5"/>
  <c r="BQ6" i="6" s="1"/>
  <c r="K833" i="1"/>
  <c r="O757" i="1"/>
  <c r="I833" i="1"/>
  <c r="M757" i="1"/>
  <c r="L827" i="1"/>
  <c r="GX10" i="6" s="1"/>
  <c r="R239" i="1"/>
  <c r="H914" i="1"/>
  <c r="H915" i="1" s="1"/>
  <c r="J27" i="5" s="1"/>
  <c r="P1053" i="1" s="1"/>
  <c r="H1065" i="1" s="1"/>
  <c r="H1322" i="1"/>
  <c r="A16" i="6"/>
  <c r="H682" i="1"/>
  <c r="FZ11" i="6" s="1"/>
  <c r="J96" i="1"/>
  <c r="J95" i="1"/>
  <c r="N27" i="1"/>
  <c r="N26" i="1"/>
  <c r="FO16" i="6"/>
  <c r="FO14" i="6"/>
  <c r="FZ14" i="6"/>
  <c r="FY14" i="6"/>
  <c r="FX14" i="6"/>
  <c r="FW14" i="6"/>
  <c r="FN14" i="6"/>
  <c r="FM14" i="6"/>
  <c r="FM13" i="6"/>
  <c r="FL16" i="6"/>
  <c r="FK16" i="6"/>
  <c r="FL14" i="6"/>
  <c r="FK14" i="6"/>
  <c r="FJ14" i="6"/>
  <c r="FI14" i="6"/>
  <c r="FI13" i="6"/>
  <c r="FH14" i="6"/>
  <c r="FG14" i="6"/>
  <c r="FF14" i="6"/>
  <c r="FF13" i="6"/>
  <c r="FA16" i="6"/>
  <c r="EZ16" i="6"/>
  <c r="FE14" i="6"/>
  <c r="FD14" i="6"/>
  <c r="FC14" i="6"/>
  <c r="EZ14" i="6"/>
  <c r="EY14" i="6"/>
  <c r="EX14" i="6"/>
  <c r="EX13" i="6"/>
  <c r="EW16" i="6"/>
  <c r="ES16" i="6"/>
  <c r="EW14" i="6"/>
  <c r="ES14" i="6"/>
  <c r="ER14" i="6"/>
  <c r="EQ14" i="6"/>
  <c r="EQ13" i="6"/>
  <c r="EO16" i="6"/>
  <c r="EN16" i="6"/>
  <c r="EM16" i="6"/>
  <c r="EK16" i="6"/>
  <c r="EP14" i="6"/>
  <c r="EO14" i="6"/>
  <c r="EN14" i="6"/>
  <c r="EM14" i="6"/>
  <c r="EK14" i="6"/>
  <c r="EJ14" i="6"/>
  <c r="EI14" i="6"/>
  <c r="EI13" i="6"/>
  <c r="EH16" i="6"/>
  <c r="EG16" i="6"/>
  <c r="EF16" i="6"/>
  <c r="EE16" i="6"/>
  <c r="ED16" i="6"/>
  <c r="EC16" i="6"/>
  <c r="EH14" i="6"/>
  <c r="EG14" i="6"/>
  <c r="EF14" i="6"/>
  <c r="EE14" i="6"/>
  <c r="ED14" i="6"/>
  <c r="EC14" i="6"/>
  <c r="EB14" i="6"/>
  <c r="EA14" i="6"/>
  <c r="EA13" i="6"/>
  <c r="DZ16" i="6"/>
  <c r="DY16" i="6"/>
  <c r="DX16" i="6"/>
  <c r="DZ14" i="6"/>
  <c r="DY14" i="6"/>
  <c r="DX14" i="6"/>
  <c r="DW14" i="6"/>
  <c r="DV14" i="6"/>
  <c r="DV13" i="6"/>
  <c r="DS14" i="6"/>
  <c r="DU16" i="6"/>
  <c r="DT16" i="6"/>
  <c r="DU14" i="6"/>
  <c r="DT14" i="6"/>
  <c r="DR14" i="6"/>
  <c r="DR13" i="6"/>
  <c r="DQ16" i="6"/>
  <c r="DP16" i="6"/>
  <c r="DO16" i="6"/>
  <c r="DQ14" i="6"/>
  <c r="DP14" i="6"/>
  <c r="DO14" i="6"/>
  <c r="DN14" i="6"/>
  <c r="DM14" i="6"/>
  <c r="DM13" i="6"/>
  <c r="DL14" i="6"/>
  <c r="DK14" i="6"/>
  <c r="DJ14" i="6"/>
  <c r="DI14" i="6"/>
  <c r="DI13" i="6"/>
  <c r="DH16" i="6"/>
  <c r="DG14" i="6"/>
  <c r="DF14" i="6"/>
  <c r="DF13" i="6"/>
  <c r="DE16" i="6"/>
  <c r="DD16" i="6"/>
  <c r="DC16" i="6"/>
  <c r="DE14" i="6"/>
  <c r="DD14" i="6"/>
  <c r="DC14" i="6"/>
  <c r="DB14" i="6"/>
  <c r="DA14" i="6"/>
  <c r="DA13" i="6"/>
  <c r="CW16" i="6"/>
  <c r="CV16" i="6"/>
  <c r="CU16" i="6"/>
  <c r="CT16" i="6"/>
  <c r="CW14" i="6"/>
  <c r="CV14" i="6"/>
  <c r="CU14" i="6"/>
  <c r="CT14" i="6"/>
  <c r="CS16" i="6"/>
  <c r="CS14" i="6"/>
  <c r="CR14" i="6"/>
  <c r="CQ14" i="6"/>
  <c r="CP14" i="6"/>
  <c r="CO14" i="6"/>
  <c r="CO13" i="6"/>
  <c r="CN16" i="6"/>
  <c r="CM16" i="6"/>
  <c r="CL16" i="6"/>
  <c r="CK16" i="6"/>
  <c r="CI16" i="6"/>
  <c r="CH16" i="6"/>
  <c r="CF16" i="6"/>
  <c r="CD16" i="6"/>
  <c r="CC16" i="6"/>
  <c r="CN14" i="6"/>
  <c r="CM14" i="6"/>
  <c r="CL14" i="6"/>
  <c r="CK14" i="6"/>
  <c r="CJ14" i="6"/>
  <c r="CI14" i="6"/>
  <c r="CH14" i="6"/>
  <c r="CG14" i="6"/>
  <c r="CF14" i="6"/>
  <c r="CE14" i="6"/>
  <c r="CD14" i="6"/>
  <c r="CC14" i="6"/>
  <c r="CB16" i="6"/>
  <c r="CA16" i="6"/>
  <c r="CB14" i="6"/>
  <c r="CA14" i="6"/>
  <c r="BZ14" i="6"/>
  <c r="BW13" i="6"/>
  <c r="AH14" i="6"/>
  <c r="AG14" i="6"/>
  <c r="AF14" i="6"/>
  <c r="AF13" i="6"/>
  <c r="AE14" i="6"/>
  <c r="AD14" i="6"/>
  <c r="AC14" i="6"/>
  <c r="AC13" i="6"/>
  <c r="AB16" i="6"/>
  <c r="AA16" i="6"/>
  <c r="Z16" i="6"/>
  <c r="Y16" i="6"/>
  <c r="X16" i="6"/>
  <c r="W16" i="6"/>
  <c r="V16" i="6"/>
  <c r="U16" i="6"/>
  <c r="T16" i="6"/>
  <c r="Q16" i="6"/>
  <c r="P16" i="6"/>
  <c r="O16" i="6"/>
  <c r="N16" i="6"/>
  <c r="M16" i="6"/>
  <c r="L16" i="6"/>
  <c r="K16" i="6"/>
  <c r="J16" i="6"/>
  <c r="I16" i="6"/>
  <c r="Z13" i="6"/>
  <c r="W13" i="6"/>
  <c r="T13" i="6"/>
  <c r="O13" i="6"/>
  <c r="L13" i="6"/>
  <c r="H14" i="6"/>
  <c r="G15" i="6"/>
  <c r="F15" i="6"/>
  <c r="G14" i="6"/>
  <c r="F14" i="6"/>
  <c r="K14" i="6"/>
  <c r="N14" i="6" s="1"/>
  <c r="Q14" i="6" s="1"/>
  <c r="V14" i="6" s="1"/>
  <c r="Y14" i="6" s="1"/>
  <c r="AB14" i="6" s="1"/>
  <c r="J14" i="6"/>
  <c r="M14" i="6" s="1"/>
  <c r="P14" i="6" s="1"/>
  <c r="U14" i="6" s="1"/>
  <c r="X14" i="6" s="1"/>
  <c r="AA14" i="6" s="1"/>
  <c r="I14" i="6"/>
  <c r="L14" i="6" s="1"/>
  <c r="O14" i="6" s="1"/>
  <c r="T14" i="6" s="1"/>
  <c r="W14" i="6" s="1"/>
  <c r="Z14" i="6" s="1"/>
  <c r="I13" i="6"/>
  <c r="E16" i="6"/>
  <c r="E14" i="6"/>
  <c r="D16" i="6"/>
  <c r="D14" i="6"/>
  <c r="C14" i="6"/>
  <c r="B14" i="6"/>
  <c r="A14" i="6"/>
  <c r="A13" i="6"/>
  <c r="HN9" i="6"/>
  <c r="HM9" i="6"/>
  <c r="HL9" i="6"/>
  <c r="HL8" i="6"/>
  <c r="HK9" i="6"/>
  <c r="HJ9" i="6"/>
  <c r="HI9" i="6"/>
  <c r="HH9" i="6"/>
  <c r="HH8" i="6"/>
  <c r="HG11" i="6"/>
  <c r="HF11" i="6"/>
  <c r="HE11" i="6"/>
  <c r="HD11" i="6"/>
  <c r="HG9" i="6"/>
  <c r="HF9" i="6"/>
  <c r="HE9" i="6"/>
  <c r="HD9" i="6"/>
  <c r="HC9" i="6"/>
  <c r="HB9" i="6"/>
  <c r="HB8" i="6"/>
  <c r="HA11" i="6"/>
  <c r="GZ11" i="6"/>
  <c r="GU11" i="6"/>
  <c r="HA9" i="6"/>
  <c r="GZ9" i="6"/>
  <c r="GY10" i="6"/>
  <c r="GY11" i="6"/>
  <c r="GX11" i="6"/>
  <c r="GW11" i="6"/>
  <c r="GV11" i="6"/>
  <c r="GT11" i="6"/>
  <c r="GY9" i="6"/>
  <c r="GX9" i="6"/>
  <c r="GW9" i="6"/>
  <c r="GV9" i="6"/>
  <c r="GU9" i="6"/>
  <c r="GT9" i="6"/>
  <c r="GR9" i="6"/>
  <c r="GQ9" i="6"/>
  <c r="GP9" i="6"/>
  <c r="GS11" i="6"/>
  <c r="GP8" i="6"/>
  <c r="GO9" i="6"/>
  <c r="GL11" i="6"/>
  <c r="GL9" i="6"/>
  <c r="GN9" i="6"/>
  <c r="GM9" i="6"/>
  <c r="GM8" i="6"/>
  <c r="GK9" i="6"/>
  <c r="GJ9" i="6"/>
  <c r="GJ8" i="6"/>
  <c r="GI11" i="6"/>
  <c r="GH11" i="6"/>
  <c r="GG11" i="6"/>
  <c r="GF11" i="6"/>
  <c r="GE11" i="6"/>
  <c r="GG9" i="6"/>
  <c r="GF9" i="6"/>
  <c r="GE9" i="6"/>
  <c r="GD9" i="6"/>
  <c r="GC9" i="6"/>
  <c r="GC8" i="6"/>
  <c r="GB11" i="6"/>
  <c r="GB9" i="6"/>
  <c r="GA9" i="6"/>
  <c r="FZ9" i="6"/>
  <c r="FZ8" i="6"/>
  <c r="FX11" i="6"/>
  <c r="FV11" i="6"/>
  <c r="FU11" i="6"/>
  <c r="FY9" i="6"/>
  <c r="FX9" i="6"/>
  <c r="FW9" i="6"/>
  <c r="FV9" i="6"/>
  <c r="FU9" i="6"/>
  <c r="FT9" i="6"/>
  <c r="FS9" i="6"/>
  <c r="FS8" i="6"/>
  <c r="FR9" i="6"/>
  <c r="FQ9" i="6"/>
  <c r="FP9" i="6"/>
  <c r="FP8" i="6"/>
  <c r="FO11" i="6"/>
  <c r="FN11" i="6"/>
  <c r="FM11" i="6"/>
  <c r="FL11" i="6"/>
  <c r="FK11" i="6"/>
  <c r="FJ11" i="6"/>
  <c r="FI11" i="6"/>
  <c r="FH11" i="6"/>
  <c r="FO9" i="6"/>
  <c r="FN9" i="6"/>
  <c r="FM9" i="6"/>
  <c r="FL9" i="6"/>
  <c r="FK9" i="6"/>
  <c r="FJ9" i="6"/>
  <c r="FI9" i="6"/>
  <c r="FH9" i="6"/>
  <c r="FG11" i="6"/>
  <c r="FF11" i="6"/>
  <c r="FE11" i="6"/>
  <c r="FD11" i="6"/>
  <c r="FC11" i="6"/>
  <c r="FB11" i="6"/>
  <c r="FA11" i="6"/>
  <c r="EZ11" i="6"/>
  <c r="EZ9" i="6"/>
  <c r="FA9" i="6"/>
  <c r="FB9" i="6"/>
  <c r="FC9" i="6"/>
  <c r="FD9" i="6"/>
  <c r="FE9" i="6"/>
  <c r="FF9" i="6"/>
  <c r="FG9" i="6"/>
  <c r="EY9" i="6"/>
  <c r="EX9" i="6"/>
  <c r="EW9" i="6"/>
  <c r="EW8" i="6"/>
  <c r="EV9" i="6"/>
  <c r="EU9" i="6"/>
  <c r="ET9" i="6"/>
  <c r="ES9" i="6"/>
  <c r="ER9" i="6"/>
  <c r="EQ9" i="6"/>
  <c r="EP9" i="6"/>
  <c r="EO9" i="6"/>
  <c r="EN9" i="6"/>
  <c r="EM9" i="6"/>
  <c r="EL9" i="6"/>
  <c r="EK9" i="6"/>
  <c r="EJ9" i="6"/>
  <c r="EI9" i="6"/>
  <c r="EH9" i="6"/>
  <c r="EH8" i="6"/>
  <c r="EG9" i="6"/>
  <c r="EF9" i="6"/>
  <c r="EE9" i="6"/>
  <c r="ED9" i="6"/>
  <c r="ED8" i="6"/>
  <c r="EC9" i="6"/>
  <c r="EB9" i="6"/>
  <c r="EA9" i="6"/>
  <c r="DZ9" i="6"/>
  <c r="DY9" i="6"/>
  <c r="DX9" i="6"/>
  <c r="DX8" i="6"/>
  <c r="DT11" i="6"/>
  <c r="DT9" i="6"/>
  <c r="DV11" i="6"/>
  <c r="DU9" i="6"/>
  <c r="DP11" i="6"/>
  <c r="DP9" i="6"/>
  <c r="DO11" i="6"/>
  <c r="DN9" i="6"/>
  <c r="DM9" i="6"/>
  <c r="DL9" i="6"/>
  <c r="DL8" i="6"/>
  <c r="DK9" i="6"/>
  <c r="DJ9" i="6"/>
  <c r="DI9" i="6"/>
  <c r="DI8" i="6"/>
  <c r="DH9" i="6"/>
  <c r="DG9" i="6"/>
  <c r="DF9" i="6"/>
  <c r="DE9" i="6"/>
  <c r="DE8" i="6"/>
  <c r="DC9" i="6"/>
  <c r="DB9" i="6"/>
  <c r="DA9" i="6"/>
  <c r="CZ9" i="6"/>
  <c r="CY9" i="6"/>
  <c r="CW9" i="6"/>
  <c r="CV9" i="6"/>
  <c r="CU9" i="6"/>
  <c r="CT9" i="6"/>
  <c r="CS9" i="6"/>
  <c r="CR9" i="6"/>
  <c r="CP9" i="6"/>
  <c r="CK11" i="6"/>
  <c r="CJ11" i="6"/>
  <c r="CI11" i="6"/>
  <c r="CH11" i="6"/>
  <c r="CG11" i="6"/>
  <c r="CF11" i="6"/>
  <c r="AA11" i="6"/>
  <c r="Z11" i="6"/>
  <c r="M680" i="1"/>
  <c r="CC11" i="6"/>
  <c r="CC9" i="6"/>
  <c r="CB11" i="6"/>
  <c r="CB9" i="6"/>
  <c r="CA11" i="6"/>
  <c r="BZ9" i="6"/>
  <c r="BY9" i="6"/>
  <c r="AN8" i="6"/>
  <c r="AI8" i="6"/>
  <c r="BE8" i="6"/>
  <c r="BI8" i="6"/>
  <c r="CO9" i="6"/>
  <c r="CN9" i="6"/>
  <c r="CM9" i="6"/>
  <c r="CL9" i="6"/>
  <c r="CJ9" i="6"/>
  <c r="CI9" i="6"/>
  <c r="CH9" i="6"/>
  <c r="CG9" i="6"/>
  <c r="CF9" i="6"/>
  <c r="BX8" i="6"/>
  <c r="BU9" i="6"/>
  <c r="BT9" i="6"/>
  <c r="BW9" i="6"/>
  <c r="BV9" i="6"/>
  <c r="BT8" i="6"/>
  <c r="BQ9" i="6"/>
  <c r="BP9" i="6"/>
  <c r="BS9" i="6"/>
  <c r="BR11" i="6"/>
  <c r="BR9" i="6"/>
  <c r="BP8" i="6"/>
  <c r="BJ9" i="6"/>
  <c r="BI9" i="6"/>
  <c r="BL11" i="6"/>
  <c r="BK11" i="6"/>
  <c r="BL9" i="6"/>
  <c r="BK9" i="6"/>
  <c r="BF9" i="6"/>
  <c r="BE9" i="6"/>
  <c r="BH9" i="6"/>
  <c r="BG9" i="6"/>
  <c r="AX9" i="6"/>
  <c r="AW9" i="6"/>
  <c r="BD9" i="6"/>
  <c r="BC9" i="6"/>
  <c r="BB9" i="6"/>
  <c r="BA9" i="6"/>
  <c r="AZ9" i="6"/>
  <c r="AY9" i="6"/>
  <c r="AW8" i="6"/>
  <c r="AQ11" i="6"/>
  <c r="AP9" i="6"/>
  <c r="AO9" i="6"/>
  <c r="AJ9" i="6"/>
  <c r="AD9" i="6"/>
  <c r="U9" i="6"/>
  <c r="O9" i="6"/>
  <c r="B9" i="6"/>
  <c r="AN9" i="6"/>
  <c r="AU9" i="6"/>
  <c r="AV9" i="6"/>
  <c r="AT9" i="6"/>
  <c r="AS9" i="6"/>
  <c r="AR9" i="6"/>
  <c r="AQ9" i="6"/>
  <c r="AO6" i="6"/>
  <c r="AN6" i="6"/>
  <c r="AO4" i="6"/>
  <c r="AN4" i="6"/>
  <c r="X6" i="6"/>
  <c r="Z6" i="6"/>
  <c r="AA6" i="6"/>
  <c r="AB198" i="3"/>
  <c r="AB199" i="3"/>
  <c r="AB201" i="3" s="1"/>
  <c r="AB202" i="3" s="1"/>
  <c r="AB203" i="3" s="1"/>
  <c r="AB204" i="3" s="1"/>
  <c r="AB205" i="3" s="1"/>
  <c r="AB206" i="3" s="1"/>
  <c r="AB207" i="3" s="1"/>
  <c r="AB208" i="3" s="1"/>
  <c r="AB209" i="3" s="1"/>
  <c r="AB210" i="3" s="1"/>
  <c r="AB211" i="3" s="1"/>
  <c r="AB212" i="3" s="1"/>
  <c r="AB213" i="3" s="1"/>
  <c r="AB215" i="3" s="1"/>
  <c r="AB216" i="3" s="1"/>
  <c r="AB217" i="3" s="1"/>
  <c r="AB218" i="3" s="1"/>
  <c r="AB219" i="3" s="1"/>
  <c r="AB220" i="3" s="1"/>
  <c r="AB221" i="3" s="1"/>
  <c r="AB222" i="3" s="1"/>
  <c r="AB223" i="3" s="1"/>
  <c r="AB224" i="3" s="1"/>
  <c r="AB225" i="3" s="1"/>
  <c r="AB226" i="3" s="1"/>
  <c r="AB227" i="3" s="1"/>
  <c r="AB228" i="3" s="1"/>
  <c r="AB229" i="3" s="1"/>
  <c r="AB230" i="3" s="1"/>
  <c r="AB231" i="3" s="1"/>
  <c r="AB232" i="3" s="1"/>
  <c r="AB233" i="3" s="1"/>
  <c r="AB234" i="3" s="1"/>
  <c r="AB235" i="3" s="1"/>
  <c r="AB236" i="3" s="1"/>
  <c r="AB237" i="3" s="1"/>
  <c r="AB238" i="3" s="1"/>
  <c r="AB239" i="3" s="1"/>
  <c r="AB240" i="3" s="1"/>
  <c r="AB241" i="3" s="1"/>
  <c r="AB242" i="3" s="1"/>
  <c r="AB243" i="3" s="1"/>
  <c r="AB244" i="3" s="1"/>
  <c r="AB245" i="3" s="1"/>
  <c r="AB246" i="3" s="1"/>
  <c r="AB247" i="3" s="1"/>
  <c r="AB248" i="3" s="1"/>
  <c r="AB249" i="3" s="1"/>
  <c r="AB250" i="3" s="1"/>
  <c r="AB251" i="3" s="1"/>
  <c r="AB252" i="3" s="1"/>
  <c r="AB253" i="3" s="1"/>
  <c r="AB254" i="3" s="1"/>
  <c r="AB255" i="3" s="1"/>
  <c r="AB256" i="3" s="1"/>
  <c r="AB257" i="3" s="1"/>
  <c r="AB258" i="3" s="1"/>
  <c r="AB259" i="3" s="1"/>
  <c r="AB260" i="3" s="1"/>
  <c r="AB261" i="3" s="1"/>
  <c r="AB262" i="3" s="1"/>
  <c r="AB263" i="3" s="1"/>
  <c r="AB264" i="3" s="1"/>
  <c r="AB265" i="3" s="1"/>
  <c r="AB266" i="3" s="1"/>
  <c r="AB267" i="3" s="1"/>
  <c r="AB268" i="3" s="1"/>
  <c r="AB269" i="3" s="1"/>
  <c r="AB270" i="3" s="1"/>
  <c r="AB271" i="3" s="1"/>
  <c r="AB272" i="3" s="1"/>
  <c r="AB273" i="3" s="1"/>
  <c r="AB274" i="3" s="1"/>
  <c r="AB275" i="3" s="1"/>
  <c r="AB276" i="3" s="1"/>
  <c r="AB277" i="3" s="1"/>
  <c r="AB278" i="3" s="1"/>
  <c r="AB279" i="3" s="1"/>
  <c r="AB280" i="3" s="1"/>
  <c r="AB281" i="3" s="1"/>
  <c r="AB282" i="3" s="1"/>
  <c r="AB283" i="3" s="1"/>
  <c r="AB284" i="3" s="1"/>
  <c r="AB285" i="3" s="1"/>
  <c r="AB286" i="3" s="1"/>
  <c r="AB287" i="3" s="1"/>
  <c r="AB288" i="3" s="1"/>
  <c r="AB289" i="3" s="1"/>
  <c r="AB290" i="3" s="1"/>
  <c r="AB291" i="3" s="1"/>
  <c r="AB292" i="3" s="1"/>
  <c r="AB293" i="3" s="1"/>
  <c r="AB294" i="3" s="1"/>
  <c r="AB295" i="3" s="1"/>
  <c r="AB296" i="3" s="1"/>
  <c r="AB297" i="3" s="1"/>
  <c r="AB298" i="3" s="1"/>
  <c r="Z206" i="3"/>
  <c r="R90" i="3"/>
  <c r="AB190" i="3"/>
  <c r="AB191" i="3"/>
  <c r="AB189" i="3"/>
  <c r="Z203" i="3"/>
  <c r="Z202" i="3"/>
  <c r="Z198" i="3"/>
  <c r="Z199" i="3"/>
  <c r="R82" i="3"/>
  <c r="R84" i="3"/>
  <c r="R66" i="3"/>
  <c r="AB165" i="3"/>
  <c r="O680" i="1"/>
  <c r="BD11" i="6"/>
  <c r="N11" i="6"/>
  <c r="R74" i="5"/>
  <c r="CR5" i="6" s="1"/>
  <c r="R76" i="5"/>
  <c r="CT5" i="6" s="1"/>
  <c r="P57" i="5"/>
  <c r="CA6" i="6" s="1"/>
  <c r="P45" i="5"/>
  <c r="BS6" i="6" s="1"/>
  <c r="J1117" i="1"/>
  <c r="CJ16" i="6" s="1"/>
  <c r="CH15" i="6"/>
  <c r="CJ15" i="6"/>
  <c r="P84" i="5"/>
  <c r="DB6" i="6" s="1"/>
  <c r="P82" i="5"/>
  <c r="CZ6" i="6" s="1"/>
  <c r="P80" i="5"/>
  <c r="CX6" i="6" s="1"/>
  <c r="P78" i="5"/>
  <c r="CV6" i="6" s="1"/>
  <c r="R84" i="5"/>
  <c r="DB5" i="6" s="1"/>
  <c r="R82" i="5"/>
  <c r="CZ5" i="6" s="1"/>
  <c r="R80" i="5"/>
  <c r="CX5" i="6" s="1"/>
  <c r="R78" i="5"/>
  <c r="CV5" i="6" s="1"/>
  <c r="N84" i="5"/>
  <c r="DA5" i="6" s="1"/>
  <c r="N82" i="5"/>
  <c r="CY5" i="6" s="1"/>
  <c r="N80" i="5"/>
  <c r="CW5" i="6" s="1"/>
  <c r="N78" i="5"/>
  <c r="CU5" i="6" s="1"/>
  <c r="J84" i="5"/>
  <c r="J82" i="5"/>
  <c r="J80" i="5"/>
  <c r="J78" i="5"/>
  <c r="H84" i="5"/>
  <c r="H82" i="5"/>
  <c r="H80" i="5"/>
  <c r="H78" i="5"/>
  <c r="CN15" i="6"/>
  <c r="CM15" i="6"/>
  <c r="CL15" i="6"/>
  <c r="CK15" i="6"/>
  <c r="L97" i="5"/>
  <c r="DF6" i="6" s="1"/>
  <c r="L95" i="5"/>
  <c r="DE6" i="6" s="1"/>
  <c r="DD6" i="6"/>
  <c r="CM6" i="6"/>
  <c r="CO6" i="6"/>
  <c r="L74" i="5"/>
  <c r="CQ6" i="6" s="1"/>
  <c r="P74" i="5"/>
  <c r="CR6" i="6" s="1"/>
  <c r="P65" i="5"/>
  <c r="CJ6" i="6" s="1"/>
  <c r="L65" i="5"/>
  <c r="CI6" i="6" s="1"/>
  <c r="L59" i="5"/>
  <c r="CE6" i="6" s="1"/>
  <c r="P67" i="5"/>
  <c r="CL6" i="6" s="1"/>
  <c r="L67" i="5"/>
  <c r="CK6" i="6" s="1"/>
  <c r="P55" i="5"/>
  <c r="BY6" i="6" s="1"/>
  <c r="L55" i="5"/>
  <c r="BX6" i="6" s="1"/>
  <c r="P43" i="5"/>
  <c r="BU6" i="6" s="1"/>
  <c r="L43" i="5"/>
  <c r="BT6" i="6" s="1"/>
  <c r="L511" i="1"/>
  <c r="DT10" i="6" s="1"/>
  <c r="N76" i="5"/>
  <c r="CS5" i="6" s="1"/>
  <c r="J76" i="5"/>
  <c r="H76" i="5"/>
  <c r="J74" i="5"/>
  <c r="J72" i="5"/>
  <c r="J70" i="5"/>
  <c r="H74" i="5"/>
  <c r="H72" i="5"/>
  <c r="H70" i="5"/>
  <c r="R65" i="5"/>
  <c r="CJ5" i="6" s="1"/>
  <c r="N65" i="5"/>
  <c r="CI5" i="6" s="1"/>
  <c r="L828" i="1"/>
  <c r="H43" i="5"/>
  <c r="J43" i="5"/>
  <c r="N43" i="5"/>
  <c r="BT5" i="6" s="1"/>
  <c r="R43" i="5"/>
  <c r="BU5" i="6" s="1"/>
  <c r="R45" i="5"/>
  <c r="BS5" i="6" s="1"/>
  <c r="N45" i="5"/>
  <c r="BR5" i="6" s="1"/>
  <c r="J45" i="5"/>
  <c r="H45" i="5"/>
  <c r="H55" i="5"/>
  <c r="J55" i="5"/>
  <c r="N55" i="5"/>
  <c r="BX5" i="6" s="1"/>
  <c r="R55" i="5"/>
  <c r="BY5" i="6" s="1"/>
  <c r="R57" i="5"/>
  <c r="CA5" i="6" s="1"/>
  <c r="N57" i="5"/>
  <c r="BZ5" i="6" s="1"/>
  <c r="J57" i="5"/>
  <c r="H57" i="5"/>
  <c r="J65" i="5"/>
  <c r="H65" i="5"/>
  <c r="R67" i="5"/>
  <c r="CL5" i="6" s="1"/>
  <c r="N67" i="5"/>
  <c r="CK5" i="6" s="1"/>
  <c r="J67" i="5"/>
  <c r="H67" i="5"/>
  <c r="H97" i="5"/>
  <c r="H95" i="5"/>
  <c r="J97" i="5"/>
  <c r="J95" i="5"/>
  <c r="R95" i="5"/>
  <c r="R97" i="5"/>
  <c r="P97" i="5"/>
  <c r="P95" i="5"/>
  <c r="N95" i="5"/>
  <c r="DE5" i="6" s="1"/>
  <c r="N97" i="5"/>
  <c r="DF5" i="6" s="1"/>
  <c r="N74" i="5"/>
  <c r="CQ5" i="6" s="1"/>
  <c r="CP5" i="6"/>
  <c r="CI15" i="6"/>
  <c r="CM5" i="6"/>
  <c r="CN5" i="6"/>
  <c r="AI9" i="6"/>
  <c r="AM9" i="6"/>
  <c r="AL9" i="6"/>
  <c r="AK9" i="6"/>
  <c r="AC9" i="6"/>
  <c r="AH9" i="6"/>
  <c r="AG9" i="6"/>
  <c r="AF9" i="6"/>
  <c r="AE9" i="6"/>
  <c r="AC8" i="6"/>
  <c r="T9" i="6"/>
  <c r="AA9" i="6"/>
  <c r="Z9" i="6"/>
  <c r="Y9" i="6"/>
  <c r="X9" i="6"/>
  <c r="W9" i="6"/>
  <c r="V9" i="6"/>
  <c r="T8" i="6"/>
  <c r="N9" i="6"/>
  <c r="M9" i="6"/>
  <c r="Q11" i="6"/>
  <c r="P11" i="6"/>
  <c r="M8" i="6"/>
  <c r="C9" i="6"/>
  <c r="A9" i="6"/>
  <c r="DD5" i="6"/>
  <c r="DC5" i="6"/>
  <c r="CO5" i="6"/>
  <c r="CH5" i="6"/>
  <c r="CG5" i="6"/>
  <c r="CF5" i="6"/>
  <c r="CE5" i="6"/>
  <c r="CD4" i="6"/>
  <c r="CC5" i="6"/>
  <c r="CB5" i="6"/>
  <c r="BW5" i="6"/>
  <c r="BV5" i="6"/>
  <c r="BQ5" i="6"/>
  <c r="BP5" i="6"/>
  <c r="BM5" i="6"/>
  <c r="BL5" i="6"/>
  <c r="BM4" i="6"/>
  <c r="BU4" i="6" s="1"/>
  <c r="BL4" i="6"/>
  <c r="BZ4" i="6" s="1"/>
  <c r="G9" i="6"/>
  <c r="F9" i="6"/>
  <c r="E9" i="6"/>
  <c r="D9" i="6"/>
  <c r="A8" i="6"/>
  <c r="DF3" i="6"/>
  <c r="DE3" i="6"/>
  <c r="DE2" i="6"/>
  <c r="DD3" i="6"/>
  <c r="DD2" i="6"/>
  <c r="DC3" i="6"/>
  <c r="DC2" i="6"/>
  <c r="CY3" i="6"/>
  <c r="CW3" i="6"/>
  <c r="CU3" i="6"/>
  <c r="DA3" i="6"/>
  <c r="CS3" i="6"/>
  <c r="CQ3" i="6"/>
  <c r="CO3" i="6"/>
  <c r="CM3" i="6"/>
  <c r="CM2" i="6"/>
  <c r="CK3" i="6"/>
  <c r="CI3" i="6"/>
  <c r="CI2" i="6"/>
  <c r="CG3" i="6"/>
  <c r="CG2" i="6"/>
  <c r="BV2" i="6"/>
  <c r="BL2" i="6"/>
  <c r="CE3" i="6"/>
  <c r="CB3" i="6"/>
  <c r="BZ3" i="6"/>
  <c r="BX3" i="6"/>
  <c r="BV3" i="6"/>
  <c r="BT3" i="6"/>
  <c r="BR3" i="6"/>
  <c r="BP3" i="6"/>
  <c r="BL3" i="6"/>
  <c r="BB3" i="6"/>
  <c r="AZ3" i="6"/>
  <c r="AP3" i="6"/>
  <c r="F3" i="6"/>
  <c r="A3" i="6"/>
  <c r="BK4" i="6"/>
  <c r="BJ4" i="6"/>
  <c r="BI4" i="6"/>
  <c r="BH4" i="6"/>
  <c r="BG4" i="6"/>
  <c r="BF4" i="6"/>
  <c r="BE4" i="6"/>
  <c r="BD4" i="6"/>
  <c r="BC4" i="6"/>
  <c r="BB4" i="6"/>
  <c r="BA4" i="6"/>
  <c r="AZ4" i="6"/>
  <c r="AY6" i="6"/>
  <c r="AY4" i="6"/>
  <c r="AX6" i="6"/>
  <c r="AX4" i="6"/>
  <c r="AW6" i="6"/>
  <c r="AW4" i="6"/>
  <c r="AV6" i="6"/>
  <c r="AV4" i="6"/>
  <c r="AU6" i="6"/>
  <c r="AU4" i="6"/>
  <c r="AT6" i="6"/>
  <c r="AT4" i="6"/>
  <c r="AS6" i="6"/>
  <c r="AS4" i="6"/>
  <c r="AR6" i="6"/>
  <c r="AR4" i="6"/>
  <c r="AQ6" i="6"/>
  <c r="AQ4" i="6"/>
  <c r="AP6" i="6"/>
  <c r="AP4" i="6"/>
  <c r="AD6" i="6"/>
  <c r="AD4" i="6"/>
  <c r="AM6" i="6"/>
  <c r="AM4" i="6"/>
  <c r="AL6" i="6"/>
  <c r="AL4" i="6"/>
  <c r="AK6" i="6"/>
  <c r="AK4" i="6"/>
  <c r="AJ6" i="6"/>
  <c r="AJ4" i="6"/>
  <c r="AI6" i="6"/>
  <c r="AI4" i="6"/>
  <c r="AH6" i="6"/>
  <c r="AH4" i="6"/>
  <c r="AG6" i="6"/>
  <c r="AG4" i="6"/>
  <c r="AF4" i="6"/>
  <c r="AE6" i="6"/>
  <c r="AE4" i="6"/>
  <c r="AC6" i="6"/>
  <c r="AC4" i="6"/>
  <c r="AB6" i="6"/>
  <c r="AB4" i="6"/>
  <c r="AA4" i="6"/>
  <c r="Z4" i="6"/>
  <c r="Y6" i="6"/>
  <c r="Y4" i="6"/>
  <c r="X4" i="6"/>
  <c r="W6" i="6"/>
  <c r="W4" i="6"/>
  <c r="V6" i="6"/>
  <c r="V4" i="6"/>
  <c r="T6" i="6"/>
  <c r="U6" i="6"/>
  <c r="U4" i="6"/>
  <c r="T4" i="6"/>
  <c r="Q6" i="6"/>
  <c r="Q4" i="6"/>
  <c r="P6" i="6"/>
  <c r="P4" i="6"/>
  <c r="O6" i="6"/>
  <c r="O4" i="6"/>
  <c r="N6" i="6"/>
  <c r="N4" i="6"/>
  <c r="M6" i="6"/>
  <c r="M4" i="6"/>
  <c r="L6" i="6"/>
  <c r="L4" i="6"/>
  <c r="K6" i="6"/>
  <c r="K4" i="6"/>
  <c r="J6" i="6"/>
  <c r="I6" i="6"/>
  <c r="H6" i="6"/>
  <c r="G6" i="6"/>
  <c r="G4" i="6"/>
  <c r="F6" i="6"/>
  <c r="F4" i="6"/>
  <c r="E4" i="6"/>
  <c r="E6" i="6"/>
  <c r="D6" i="6"/>
  <c r="D4" i="6"/>
  <c r="C6" i="6"/>
  <c r="C4" i="6"/>
  <c r="B6" i="6"/>
  <c r="B4" i="6"/>
  <c r="A6" i="6"/>
  <c r="A4" i="6"/>
  <c r="F818" i="1"/>
  <c r="G4" i="4"/>
  <c r="AB188" i="3"/>
  <c r="AB187" i="3"/>
  <c r="AB186" i="3"/>
  <c r="AB185" i="3"/>
  <c r="AB184" i="3"/>
  <c r="AB182" i="3"/>
  <c r="AB181" i="3"/>
  <c r="AB180" i="3"/>
  <c r="AB179" i="3"/>
  <c r="AB173" i="3"/>
  <c r="AB171" i="3"/>
  <c r="AB169" i="3"/>
  <c r="AB176" i="3"/>
  <c r="AB175" i="3"/>
  <c r="AB170" i="3"/>
  <c r="AB168" i="3"/>
  <c r="AB167" i="3"/>
  <c r="AB166" i="3"/>
  <c r="J35" i="5"/>
  <c r="P1501" i="1" s="1"/>
  <c r="DZ15" i="6"/>
  <c r="L1320" i="1"/>
  <c r="DU15" i="6" s="1"/>
  <c r="L1339" i="1"/>
  <c r="J1478" i="1"/>
  <c r="N1439" i="1"/>
  <c r="FE16" i="6" s="1"/>
  <c r="N1438" i="1"/>
  <c r="N1437" i="1"/>
  <c r="N1435" i="1"/>
  <c r="H1436" i="1"/>
  <c r="FA14" i="6" s="1"/>
  <c r="L1514" i="1"/>
  <c r="L955" i="1"/>
  <c r="N955" i="1" s="1"/>
  <c r="H957" i="1" s="1"/>
  <c r="AC16" i="6" s="1"/>
  <c r="CD15" i="6"/>
  <c r="L1513" i="1"/>
  <c r="L1018" i="1"/>
  <c r="N1018" i="1" s="1"/>
  <c r="H1021" i="1" s="1"/>
  <c r="N1277" i="1"/>
  <c r="DL16" i="6" s="1"/>
  <c r="DK16" i="6"/>
  <c r="L1171" i="1"/>
  <c r="L1517" i="1"/>
  <c r="CG15" i="6"/>
  <c r="CF15" i="6"/>
  <c r="CE15" i="6"/>
  <c r="R753" i="1"/>
  <c r="GI9" i="6"/>
  <c r="GH9" i="6"/>
  <c r="L680" i="1"/>
  <c r="P677" i="1"/>
  <c r="GO11" i="6"/>
  <c r="H677" i="1"/>
  <c r="P673" i="1"/>
  <c r="R606" i="1"/>
  <c r="FU14" i="6"/>
  <c r="R547" i="1"/>
  <c r="R526" i="1"/>
  <c r="FT14" i="6"/>
  <c r="FS14" i="6"/>
  <c r="R421" i="1"/>
  <c r="L824" i="1"/>
  <c r="GW10" i="6" s="1"/>
  <c r="L823" i="1"/>
  <c r="GV10" i="6" s="1"/>
  <c r="L822" i="1"/>
  <c r="GU10" i="6" s="1"/>
  <c r="L821" i="1"/>
  <c r="GT10" i="6" s="1"/>
  <c r="B830" i="1"/>
  <c r="B819" i="1"/>
  <c r="H1512" i="1"/>
  <c r="FV14" i="6" s="1"/>
  <c r="R208" i="1"/>
  <c r="F6" i="5"/>
  <c r="H1508" i="1"/>
  <c r="FR14" i="6" s="1"/>
  <c r="AV11" i="6"/>
  <c r="H9" i="1"/>
  <c r="AB11" i="6"/>
  <c r="EC11" i="6"/>
  <c r="DS11" i="6"/>
  <c r="FT16" i="6"/>
  <c r="DN11" i="6"/>
  <c r="FU16" i="6"/>
  <c r="DZ11" i="6"/>
  <c r="DW11" i="6"/>
  <c r="P1271" i="1"/>
  <c r="P76" i="5"/>
  <c r="CT6" i="6" s="1"/>
  <c r="AU11" i="6"/>
  <c r="L80" i="5"/>
  <c r="CW6" i="6" s="1"/>
  <c r="EG11" i="6"/>
  <c r="L82" i="5"/>
  <c r="CY6" i="6" s="1"/>
  <c r="L84" i="5"/>
  <c r="DA6" i="6" s="1"/>
  <c r="L78" i="5"/>
  <c r="CU6" i="6" s="1"/>
  <c r="L87" i="5"/>
  <c r="DC6" i="6" s="1"/>
  <c r="AF6" i="6"/>
  <c r="N266" i="1"/>
  <c r="N216" i="1" l="1"/>
  <c r="N217" i="1"/>
  <c r="AZ11" i="6" s="1"/>
  <c r="CK4" i="6"/>
  <c r="N218" i="1"/>
  <c r="BA11" i="6" s="1"/>
  <c r="AY11" i="6"/>
  <c r="CQ4" i="6"/>
  <c r="R1387" i="1"/>
  <c r="FC16" i="6"/>
  <c r="AA2268" i="1"/>
  <c r="H1444" i="1" s="1"/>
  <c r="EX16" i="6" s="1"/>
  <c r="P59" i="5"/>
  <c r="CF6" i="6" s="1"/>
  <c r="N1171" i="1"/>
  <c r="H1177" i="1" s="1"/>
  <c r="CE16" i="6"/>
  <c r="R921" i="1"/>
  <c r="P969" i="1"/>
  <c r="AS16" i="6"/>
  <c r="GR11" i="6"/>
  <c r="P565" i="1"/>
  <c r="L573" i="1" s="1"/>
  <c r="N573" i="1" s="1"/>
  <c r="EJ11" i="6" s="1"/>
  <c r="CG4" i="6"/>
  <c r="CU4" i="6"/>
  <c r="CW4" i="6"/>
  <c r="DB4" i="6"/>
  <c r="DE4" i="6"/>
  <c r="N246" i="1"/>
  <c r="BH11" i="6" s="1"/>
  <c r="N245" i="1"/>
  <c r="AG1974" i="1" s="1"/>
  <c r="Z1800" i="1"/>
  <c r="Z1801" i="1"/>
  <c r="P1406" i="1"/>
  <c r="L1408" i="1"/>
  <c r="D11" i="6"/>
  <c r="AA2220" i="1"/>
  <c r="H31" i="1" s="1"/>
  <c r="BV11" i="6"/>
  <c r="AA2233" i="1"/>
  <c r="FP16" i="6"/>
  <c r="FB16" i="6"/>
  <c r="P1477" i="1"/>
  <c r="AK11" i="6"/>
  <c r="P894" i="1"/>
  <c r="AB2012" i="1"/>
  <c r="H528" i="1"/>
  <c r="H239" i="1"/>
  <c r="V11" i="6"/>
  <c r="AA2226" i="1"/>
  <c r="H102" i="1" s="1"/>
  <c r="T11" i="6" s="1"/>
  <c r="N395" i="1"/>
  <c r="AC1816" i="1"/>
  <c r="AG1821" i="1"/>
  <c r="AG1823" i="1"/>
  <c r="Z1812" i="1"/>
  <c r="AC1815" i="1"/>
  <c r="AG1817" i="1"/>
  <c r="Z1821" i="1"/>
  <c r="AE1821" i="1" s="1"/>
  <c r="Z1823" i="1"/>
  <c r="AE1823" i="1" s="1"/>
  <c r="Z1816" i="1"/>
  <c r="AG1816" i="1"/>
  <c r="Z1817" i="1"/>
  <c r="AE1817" i="1" s="1"/>
  <c r="AG1822" i="1"/>
  <c r="Z1815" i="1"/>
  <c r="AG1815" i="1"/>
  <c r="Z1822" i="1"/>
  <c r="AE1822" i="1" s="1"/>
  <c r="FW11" i="6"/>
  <c r="H751" i="1"/>
  <c r="H759" i="1"/>
  <c r="GJ11" i="6" s="1"/>
  <c r="P1382" i="1"/>
  <c r="H547" i="1"/>
  <c r="AE11" i="6"/>
  <c r="H287" i="1"/>
  <c r="AC1804" i="1"/>
  <c r="N1360" i="1"/>
  <c r="H1365" i="1" s="1"/>
  <c r="EA16" i="6" s="1"/>
  <c r="L1363" i="1"/>
  <c r="CN6" i="6"/>
  <c r="J1114" i="1"/>
  <c r="N1149" i="1"/>
  <c r="N616" i="1"/>
  <c r="EY11" i="6" s="1"/>
  <c r="P1147" i="1"/>
  <c r="P1150" i="1"/>
  <c r="P1148" i="1"/>
  <c r="P1146" i="1"/>
  <c r="P1149" i="1"/>
  <c r="H410" i="1"/>
  <c r="AL1830" i="1" s="1"/>
  <c r="L76" i="5"/>
  <c r="CS6" i="6" s="1"/>
  <c r="AE16" i="6"/>
  <c r="BX4" i="6"/>
  <c r="CI4" i="6"/>
  <c r="BP4" i="6"/>
  <c r="BQ4" i="6"/>
  <c r="BT4" i="6"/>
  <c r="CB4" i="6"/>
  <c r="CS4" i="6"/>
  <c r="DD4" i="6"/>
  <c r="BW4" i="6"/>
  <c r="CE4" i="6"/>
  <c r="CO4" i="6"/>
  <c r="DA4" i="6"/>
  <c r="DF4" i="6"/>
  <c r="BR4" i="6"/>
  <c r="CM4" i="6"/>
  <c r="BV4" i="6"/>
  <c r="CY4" i="6"/>
  <c r="CX9" i="6"/>
  <c r="DR16" i="6"/>
  <c r="FD16" i="6"/>
  <c r="P1355" i="1"/>
  <c r="H653" i="1"/>
  <c r="N121" i="1"/>
  <c r="AG11" i="6" s="1"/>
  <c r="H53" i="1"/>
  <c r="M11" i="6" s="1"/>
  <c r="AP11" i="6"/>
  <c r="J1508" i="1"/>
  <c r="H778" i="1"/>
  <c r="L45" i="5"/>
  <c r="BR6" i="6" s="1"/>
  <c r="L119" i="1"/>
  <c r="N1512" i="1"/>
  <c r="FV16" i="6" s="1"/>
  <c r="R1380" i="1"/>
  <c r="X11" i="6"/>
  <c r="R1417" i="1"/>
  <c r="R1422" i="1"/>
  <c r="N145" i="1"/>
  <c r="AM11" i="6" s="1"/>
  <c r="P241" i="1"/>
  <c r="HK11" i="6"/>
  <c r="H241" i="1"/>
  <c r="L1409" i="1"/>
  <c r="ES15" i="6" s="1"/>
  <c r="N144" i="1"/>
  <c r="AL11" i="6" s="1"/>
  <c r="R1402" i="1"/>
  <c r="J1512" i="1"/>
  <c r="CX11" i="6"/>
  <c r="N1482" i="1"/>
  <c r="AA2269" i="1" s="1"/>
  <c r="HJ11" i="6"/>
  <c r="H1475" i="1"/>
  <c r="L1482" i="1" s="1"/>
  <c r="L533" i="1"/>
  <c r="N533" i="1" s="1"/>
  <c r="P1334" i="1"/>
  <c r="F423" i="1"/>
  <c r="BX9" i="6" s="1"/>
  <c r="E11" i="6"/>
  <c r="CR11" i="6"/>
  <c r="L1411" i="1"/>
  <c r="EU15" i="6" s="1"/>
  <c r="R1409" i="1"/>
  <c r="R661" i="1"/>
  <c r="FY11" i="6"/>
  <c r="H262" i="1"/>
  <c r="R680" i="1"/>
  <c r="AI1650" i="1"/>
  <c r="H942" i="1"/>
  <c r="C16" i="6" s="1"/>
  <c r="H1301" i="1"/>
  <c r="DM16" i="6" s="1"/>
  <c r="N552" i="1"/>
  <c r="EF11" i="6" s="1"/>
  <c r="L400" i="1"/>
  <c r="N402" i="1"/>
  <c r="L57" i="5"/>
  <c r="BZ6" i="6" s="1"/>
  <c r="H981" i="1"/>
  <c r="L27" i="5" s="1"/>
  <c r="CW11" i="6"/>
  <c r="CT11" i="6"/>
  <c r="H632" i="1"/>
  <c r="L39" i="5"/>
  <c r="BL6" i="6" s="1"/>
  <c r="AB195" i="3"/>
  <c r="B3" i="3" s="1"/>
  <c r="CU11" i="6"/>
  <c r="CS11" i="6"/>
  <c r="L265" i="1"/>
  <c r="N265" i="1" s="1"/>
  <c r="BM11" i="6" s="1"/>
  <c r="H630" i="1"/>
  <c r="H1382" i="1"/>
  <c r="L1390" i="1"/>
  <c r="N1390" i="1" s="1"/>
  <c r="EP16" i="6" s="1"/>
  <c r="L1388" i="1"/>
  <c r="EN15" i="6" s="1"/>
  <c r="L1389" i="1"/>
  <c r="EO15" i="6" s="1"/>
  <c r="L616" i="1"/>
  <c r="P603" i="1"/>
  <c r="H603" i="1"/>
  <c r="H1380" i="1"/>
  <c r="FH16" i="6"/>
  <c r="DI11" i="6"/>
  <c r="H1209" i="1"/>
  <c r="J29" i="5" s="1"/>
  <c r="P1249" i="1" s="1"/>
  <c r="H1258" i="1" s="1"/>
  <c r="R1209" i="1"/>
  <c r="H1211" i="1"/>
  <c r="R892" i="1"/>
  <c r="AA2259" i="1"/>
  <c r="R501" i="1"/>
  <c r="DQ11" i="6"/>
  <c r="N501" i="1"/>
  <c r="R511" i="1" s="1"/>
  <c r="H601" i="1"/>
  <c r="AA2229" i="1"/>
  <c r="H894" i="1"/>
  <c r="H892" i="1"/>
  <c r="J25" i="5" s="1"/>
  <c r="P892" i="1" s="1"/>
  <c r="L1512" i="1"/>
  <c r="P1211" i="1"/>
  <c r="L1413" i="1"/>
  <c r="EW15" i="6" s="1"/>
  <c r="P409" i="1"/>
  <c r="H1418" i="1"/>
  <c r="EQ16" i="6" s="1"/>
  <c r="N146" i="1"/>
  <c r="EA11" i="6"/>
  <c r="P528" i="1"/>
  <c r="N291" i="1"/>
  <c r="H294" i="1" s="1"/>
  <c r="BP11" i="6" s="1"/>
  <c r="P1291" i="1"/>
  <c r="P1313" i="1"/>
  <c r="DS16" i="6" s="1"/>
  <c r="R1406" i="1"/>
  <c r="H1406" i="1"/>
  <c r="L1410" i="1"/>
  <c r="ET15" i="6" s="1"/>
  <c r="H449" i="1"/>
  <c r="H1477" i="1"/>
  <c r="L268" i="1"/>
  <c r="H208" i="1"/>
  <c r="DV16" i="6"/>
  <c r="H549" i="1"/>
  <c r="N1514" i="1"/>
  <c r="FX16" i="6" s="1"/>
  <c r="J1514" i="1"/>
  <c r="AH16" i="6"/>
  <c r="R393" i="1"/>
  <c r="CY11" i="6"/>
  <c r="L49" i="5"/>
  <c r="BV6" i="6" s="1"/>
  <c r="CV11" i="6"/>
  <c r="CD11" i="6"/>
  <c r="J1518" i="1"/>
  <c r="R749" i="1"/>
  <c r="P751" i="1"/>
  <c r="H749" i="1"/>
  <c r="DC4" i="6"/>
  <c r="BS4" i="6"/>
  <c r="CA4" i="6"/>
  <c r="BY4" i="6"/>
  <c r="CL4" i="6"/>
  <c r="CN4" i="6"/>
  <c r="CC4" i="6"/>
  <c r="CH4" i="6"/>
  <c r="CP4" i="6"/>
  <c r="CF4" i="6"/>
  <c r="CX4" i="6"/>
  <c r="CZ4" i="6"/>
  <c r="CR4" i="6"/>
  <c r="CT4" i="6"/>
  <c r="CJ4" i="6"/>
  <c r="N998" i="1"/>
  <c r="CV4" i="6"/>
  <c r="BW11" i="6"/>
  <c r="H1279" i="1"/>
  <c r="H1281" i="1" s="1"/>
  <c r="J935" i="1"/>
  <c r="O191" i="1"/>
  <c r="AC1964" i="1"/>
  <c r="AC1965" i="1"/>
  <c r="AB1965" i="1"/>
  <c r="AB1964" i="1"/>
  <c r="AA1965" i="1"/>
  <c r="H1303" i="1" l="1"/>
  <c r="DN16" i="6" s="1"/>
  <c r="H1367" i="1"/>
  <c r="EB16" i="6" s="1"/>
  <c r="J23" i="5"/>
  <c r="H1345" i="1"/>
  <c r="DW16" i="6" s="1"/>
  <c r="L1385" i="1"/>
  <c r="AA2189" i="1" s="1"/>
  <c r="N1385" i="1" s="1"/>
  <c r="EL16" i="6" s="1"/>
  <c r="J33" i="5"/>
  <c r="L31" i="5"/>
  <c r="N31" i="5" s="1"/>
  <c r="AI1654" i="1"/>
  <c r="H1203" i="1" s="1"/>
  <c r="P1189" i="1"/>
  <c r="H1199" i="1" s="1"/>
  <c r="DA16" i="6"/>
  <c r="P915" i="1"/>
  <c r="H940" i="1" s="1"/>
  <c r="B16" i="6" s="1"/>
  <c r="P950" i="1"/>
  <c r="H959" i="1" s="1"/>
  <c r="AD16" i="6" s="1"/>
  <c r="AF16" i="6"/>
  <c r="P1013" i="1"/>
  <c r="H1023" i="1" s="1"/>
  <c r="AT16" i="6" s="1"/>
  <c r="P1034" i="1"/>
  <c r="P993" i="1"/>
  <c r="GM11" i="6"/>
  <c r="L635" i="1"/>
  <c r="L660" i="1"/>
  <c r="AA2239" i="1"/>
  <c r="H535" i="1" s="1"/>
  <c r="DX11" i="6" s="1"/>
  <c r="EB11" i="6"/>
  <c r="DG11" i="6"/>
  <c r="DH11" i="6"/>
  <c r="BG11" i="6"/>
  <c r="AG1978" i="1"/>
  <c r="AG1975" i="1"/>
  <c r="AG1979" i="1"/>
  <c r="AG1976" i="1"/>
  <c r="AG1977" i="1"/>
  <c r="AG1981" i="1"/>
  <c r="AG1972" i="1"/>
  <c r="AG1973" i="1"/>
  <c r="AA2231" i="1"/>
  <c r="AG1980" i="1"/>
  <c r="AG1982" i="1"/>
  <c r="H210" i="1"/>
  <c r="L1509" i="1" s="1"/>
  <c r="H314" i="1"/>
  <c r="A11" i="6"/>
  <c r="N1507" i="1"/>
  <c r="FQ16" i="6" s="1"/>
  <c r="B1" i="3"/>
  <c r="AL1821" i="1"/>
  <c r="AE1815" i="1"/>
  <c r="AL1815" i="1" s="1"/>
  <c r="AR1816" i="1" s="1"/>
  <c r="AL1822" i="1"/>
  <c r="AE1816" i="1"/>
  <c r="AL1816" i="1" s="1"/>
  <c r="AR1817" i="1" s="1"/>
  <c r="AA2240" i="1"/>
  <c r="H555" i="1" s="1"/>
  <c r="ED11" i="6" s="1"/>
  <c r="AA2244" i="1"/>
  <c r="H663" i="1" s="1"/>
  <c r="FS11" i="6" s="1"/>
  <c r="AL1817" i="1"/>
  <c r="AR1818" i="1" s="1"/>
  <c r="AL1823" i="1"/>
  <c r="L413" i="1" s="1"/>
  <c r="DB11" i="6" s="1"/>
  <c r="AA2237" i="1"/>
  <c r="H513" i="1" s="1"/>
  <c r="Z1966" i="1"/>
  <c r="AB1966" i="1"/>
  <c r="AC1966" i="1" s="1"/>
  <c r="H569" i="1"/>
  <c r="AA2228" i="1"/>
  <c r="H1486" i="1"/>
  <c r="AA2227" i="1"/>
  <c r="H125" i="1" s="1"/>
  <c r="H1123" i="1"/>
  <c r="AI1653" i="1" s="1"/>
  <c r="CG16" i="6"/>
  <c r="CP6" i="6"/>
  <c r="H618" i="1"/>
  <c r="EW11" i="6" s="1"/>
  <c r="P1145" i="1"/>
  <c r="P1151" i="1" s="1"/>
  <c r="L1141" i="1"/>
  <c r="AD2122" i="1" s="1"/>
  <c r="N1147" i="1"/>
  <c r="N1145" i="1"/>
  <c r="N1148" i="1"/>
  <c r="N1146" i="1"/>
  <c r="N1150" i="1"/>
  <c r="P410" i="1"/>
  <c r="CE11" i="6" s="1"/>
  <c r="CL11" i="6"/>
  <c r="FF16" i="6"/>
  <c r="L575" i="1"/>
  <c r="N1513" i="1"/>
  <c r="FW16" i="6" s="1"/>
  <c r="P569" i="1"/>
  <c r="R567" i="1"/>
  <c r="H275" i="1"/>
  <c r="BI11" i="6" s="1"/>
  <c r="H983" i="1"/>
  <c r="AG16" i="6" s="1"/>
  <c r="L120" i="1"/>
  <c r="L122" i="1"/>
  <c r="P39" i="5"/>
  <c r="BM6" i="6" s="1"/>
  <c r="DR11" i="6"/>
  <c r="B3" i="4"/>
  <c r="B5" i="1"/>
  <c r="DK11" i="6"/>
  <c r="HH11" i="6"/>
  <c r="P848" i="1"/>
  <c r="H860" i="1" s="1"/>
  <c r="HC11" i="6" s="1"/>
  <c r="H152" i="1"/>
  <c r="H260" i="1"/>
  <c r="J19" i="5" s="1"/>
  <c r="P345" i="1" s="1"/>
  <c r="N635" i="1"/>
  <c r="H638" i="1" s="1"/>
  <c r="FP11" i="6" s="1"/>
  <c r="FR11" i="6" s="1"/>
  <c r="P812" i="1"/>
  <c r="J1507" i="1"/>
  <c r="GP11" i="6"/>
  <c r="H842" i="1"/>
  <c r="P49" i="5"/>
  <c r="BW6" i="6" s="1"/>
  <c r="B3" i="5"/>
  <c r="P870" i="1"/>
  <c r="HN11" i="6"/>
  <c r="H900" i="1"/>
  <c r="HL11" i="6" s="1"/>
  <c r="H196" i="1"/>
  <c r="AS11" i="6"/>
  <c r="P206" i="1"/>
  <c r="AA2230" i="1" s="1"/>
  <c r="H231" i="1"/>
  <c r="P210" i="1"/>
  <c r="L1214" i="1"/>
  <c r="N1214" i="1" s="1"/>
  <c r="AA2265" i="1" s="1"/>
  <c r="DI16" i="6"/>
  <c r="DJ16" i="6"/>
  <c r="J936" i="1"/>
  <c r="H16" i="6" s="1"/>
  <c r="P51" i="5"/>
  <c r="CC6" i="6" s="1"/>
  <c r="N935" i="1"/>
  <c r="G16" i="6" s="1"/>
  <c r="F16" i="6"/>
  <c r="H1000" i="1"/>
  <c r="AO16" i="6" s="1"/>
  <c r="L757" i="1"/>
  <c r="R757" i="1" s="1"/>
  <c r="AA1964" i="1"/>
  <c r="Z1965" i="1"/>
  <c r="Z1964" i="1"/>
  <c r="AA1966" i="1" l="1"/>
  <c r="L23" i="5"/>
  <c r="N23" i="5" s="1"/>
  <c r="AA23" i="5" s="1"/>
  <c r="R31" i="5"/>
  <c r="BI6" i="6" s="1"/>
  <c r="P790" i="1"/>
  <c r="S23" i="5"/>
  <c r="P326" i="1"/>
  <c r="H335" i="1" s="1"/>
  <c r="AC11" i="6"/>
  <c r="AA2267" i="1"/>
  <c r="H1392" i="1" s="1"/>
  <c r="EI16" i="6" s="1"/>
  <c r="FI16" i="6"/>
  <c r="P1404" i="1"/>
  <c r="P1456" i="1"/>
  <c r="H1183" i="1"/>
  <c r="P1166" i="1"/>
  <c r="H1179" i="1" s="1"/>
  <c r="P1209" i="1"/>
  <c r="H1043" i="1"/>
  <c r="AX16" i="6" s="1"/>
  <c r="AA2255" i="1"/>
  <c r="P771" i="1" s="1"/>
  <c r="AA2256" i="1" s="1"/>
  <c r="H799" i="1" s="1"/>
  <c r="AA2249" i="1"/>
  <c r="P694" i="1" s="1"/>
  <c r="AA2251" i="1" s="1"/>
  <c r="P721" i="1"/>
  <c r="AC2251" i="1" s="1"/>
  <c r="H739" i="1" s="1"/>
  <c r="GC11" i="6"/>
  <c r="DL11" i="6"/>
  <c r="AI1649" i="1"/>
  <c r="H519" i="1" s="1"/>
  <c r="AA2236" i="1"/>
  <c r="BT11" i="6"/>
  <c r="H248" i="1"/>
  <c r="BE11" i="6" s="1"/>
  <c r="AN11" i="6"/>
  <c r="H148" i="1"/>
  <c r="AI11" i="6" s="1"/>
  <c r="H567" i="1"/>
  <c r="J21" i="5" s="1"/>
  <c r="P239" i="1"/>
  <c r="AB2006" i="1"/>
  <c r="AB2007" i="1" s="1"/>
  <c r="N575" i="1" s="1"/>
  <c r="AL1818" i="1"/>
  <c r="AL1832" i="1" s="1"/>
  <c r="AL1824" i="1"/>
  <c r="AO1821" i="1" s="1"/>
  <c r="H1216" i="1"/>
  <c r="AA2258" i="1"/>
  <c r="H838" i="1" s="1"/>
  <c r="GQ11" i="6" s="1"/>
  <c r="J1158" i="1"/>
  <c r="AA2243" i="1"/>
  <c r="P653" i="1" s="1"/>
  <c r="AA2252" i="1"/>
  <c r="P749" i="1" s="1"/>
  <c r="AA2246" i="1"/>
  <c r="P675" i="1" s="1"/>
  <c r="H1129" i="1"/>
  <c r="H1127" i="1"/>
  <c r="BX16" i="6"/>
  <c r="N1151" i="1"/>
  <c r="L412" i="1"/>
  <c r="DA11" i="6" s="1"/>
  <c r="L411" i="1"/>
  <c r="CZ11" i="6" s="1"/>
  <c r="H411" i="1"/>
  <c r="CM11" i="6" s="1"/>
  <c r="H413" i="1"/>
  <c r="CO11" i="6" s="1"/>
  <c r="R53" i="5"/>
  <c r="CD6" i="6" s="1"/>
  <c r="L51" i="5"/>
  <c r="CB6" i="6" s="1"/>
  <c r="H114" i="1"/>
  <c r="J17" i="5" s="1"/>
  <c r="H881" i="1"/>
  <c r="HI11" i="6" s="1"/>
  <c r="P1430" i="1"/>
  <c r="S33" i="5"/>
  <c r="P1475" i="1"/>
  <c r="L25" i="5"/>
  <c r="N25" i="5" s="1"/>
  <c r="R25" i="5" s="1"/>
  <c r="P1380" i="1"/>
  <c r="N1509" i="1"/>
  <c r="J1509" i="1"/>
  <c r="R216" i="1"/>
  <c r="R219" i="1"/>
  <c r="L224" i="1"/>
  <c r="H227" i="1"/>
  <c r="L225" i="1"/>
  <c r="P1228" i="1"/>
  <c r="H1238" i="1" s="1"/>
  <c r="P1135" i="1"/>
  <c r="P1078" i="1"/>
  <c r="H902" i="1"/>
  <c r="HM11" i="6" s="1"/>
  <c r="N27" i="5"/>
  <c r="H1002" i="1"/>
  <c r="AP16" i="6" s="1"/>
  <c r="P260" i="1" l="1"/>
  <c r="H277" i="1" s="1"/>
  <c r="BJ11" i="6" s="1"/>
  <c r="P287" i="1"/>
  <c r="H296" i="1" s="1"/>
  <c r="BQ11" i="6" s="1"/>
  <c r="P208" i="1"/>
  <c r="H229" i="1" s="1"/>
  <c r="AX11" i="6" s="1"/>
  <c r="P306" i="1"/>
  <c r="H316" i="1" s="1"/>
  <c r="BU11" i="6" s="1"/>
  <c r="P184" i="1"/>
  <c r="H198" i="1" s="1"/>
  <c r="AO11" i="6" s="1"/>
  <c r="P365" i="1"/>
  <c r="H376" i="1" s="1"/>
  <c r="H1218" i="1"/>
  <c r="DG16" i="6" s="1"/>
  <c r="R23" i="5"/>
  <c r="BE6" i="6" s="1"/>
  <c r="R27" i="5"/>
  <c r="BG6" i="6" s="1"/>
  <c r="H1394" i="1"/>
  <c r="EJ16" i="6" s="1"/>
  <c r="H1465" i="1"/>
  <c r="FG16" i="6" s="1"/>
  <c r="H1420" i="1"/>
  <c r="ER16" i="6" s="1"/>
  <c r="H1446" i="1"/>
  <c r="EY16" i="6" s="1"/>
  <c r="H1125" i="1"/>
  <c r="BZ16" i="6" s="1"/>
  <c r="H1488" i="1"/>
  <c r="FJ16" i="6" s="1"/>
  <c r="L17" i="5"/>
  <c r="L33" i="5"/>
  <c r="N33" i="5" s="1"/>
  <c r="DB16" i="6"/>
  <c r="R771" i="1"/>
  <c r="R790" i="1"/>
  <c r="P526" i="1"/>
  <c r="H537" i="1" s="1"/>
  <c r="DY11" i="6" s="1"/>
  <c r="P630" i="1"/>
  <c r="H640" i="1" s="1"/>
  <c r="FQ11" i="6" s="1"/>
  <c r="AA2245" i="1"/>
  <c r="H665" i="1" s="1"/>
  <c r="FT11" i="6" s="1"/>
  <c r="R723" i="1"/>
  <c r="L19" i="5"/>
  <c r="N19" i="5" s="1"/>
  <c r="P389" i="1"/>
  <c r="H425" i="1" s="1"/>
  <c r="P455" i="1"/>
  <c r="H465" i="1" s="1"/>
  <c r="P547" i="1"/>
  <c r="H557" i="1" s="1"/>
  <c r="EE11" i="6" s="1"/>
  <c r="H443" i="1"/>
  <c r="H250" i="1"/>
  <c r="BF11" i="6" s="1"/>
  <c r="P161" i="1"/>
  <c r="H170" i="1" s="1"/>
  <c r="EK11" i="6"/>
  <c r="AA2241" i="1"/>
  <c r="H588" i="1" s="1"/>
  <c r="P567" i="1"/>
  <c r="P601" i="1"/>
  <c r="H620" i="1" s="1"/>
  <c r="EX11" i="6" s="1"/>
  <c r="P495" i="1"/>
  <c r="AA2238" i="1" s="1"/>
  <c r="H515" i="1" s="1"/>
  <c r="DM11" i="6" s="1"/>
  <c r="P475" i="1"/>
  <c r="P435" i="1"/>
  <c r="BF6" i="6"/>
  <c r="AO1818" i="1"/>
  <c r="AO1815" i="1"/>
  <c r="AL1819" i="1"/>
  <c r="AO1817" i="1" s="1"/>
  <c r="AL1833" i="1"/>
  <c r="AL1834" i="1" s="1"/>
  <c r="AO1827" i="1" s="1"/>
  <c r="AR1819" i="1"/>
  <c r="H414" i="1" s="1"/>
  <c r="AO1831" i="1" s="1"/>
  <c r="AL1825" i="1"/>
  <c r="AO1822" i="1" s="1"/>
  <c r="DF16" i="6"/>
  <c r="H780" i="1"/>
  <c r="GN11" i="6" s="1"/>
  <c r="AA2254" i="1"/>
  <c r="H761" i="1" s="1"/>
  <c r="GK11" i="6" s="1"/>
  <c r="H711" i="1"/>
  <c r="GD11" i="6" s="1"/>
  <c r="AA2248" i="1"/>
  <c r="H684" i="1" s="1"/>
  <c r="GA11" i="6" s="1"/>
  <c r="H412" i="1"/>
  <c r="CN11" i="6" s="1"/>
  <c r="N1516" i="1"/>
  <c r="FY16" i="6" s="1"/>
  <c r="BW16" i="6"/>
  <c r="J1516" i="1"/>
  <c r="L414" i="1"/>
  <c r="DC11" i="6" s="1"/>
  <c r="AW11" i="6"/>
  <c r="R653" i="1"/>
  <c r="R696" i="1"/>
  <c r="R675" i="1"/>
  <c r="R19" i="5" l="1"/>
  <c r="BC6" i="6" s="1"/>
  <c r="R33" i="5"/>
  <c r="BJ6" i="6" s="1"/>
  <c r="H445" i="1"/>
  <c r="DF11" i="6" s="1"/>
  <c r="H485" i="1"/>
  <c r="DJ11" i="6" s="1"/>
  <c r="H590" i="1"/>
  <c r="EI11" i="6" s="1"/>
  <c r="EH11" i="6"/>
  <c r="EV11" i="6" s="1"/>
  <c r="L21" i="5"/>
  <c r="DE11" i="6"/>
  <c r="P138" i="1"/>
  <c r="P43" i="1"/>
  <c r="P114" i="1"/>
  <c r="H127" i="1" s="1"/>
  <c r="AD11" i="6" s="1"/>
  <c r="P65" i="1"/>
  <c r="P21" i="1"/>
  <c r="N17" i="5"/>
  <c r="AL1827" i="1"/>
  <c r="AO1816" i="1"/>
  <c r="AQ1813" i="1" s="1"/>
  <c r="AI1655" i="1" s="1"/>
  <c r="AR1820" i="1"/>
  <c r="AQ1823" i="1" s="1"/>
  <c r="AL1828" i="1"/>
  <c r="AO1819" i="1"/>
  <c r="H415" i="1"/>
  <c r="CQ11" i="6" s="1"/>
  <c r="CP11" i="6"/>
  <c r="L415" i="1"/>
  <c r="DD11" i="6" s="1"/>
  <c r="R17" i="5" l="1"/>
  <c r="BB6" i="6" s="1"/>
  <c r="H33" i="1"/>
  <c r="B11" i="6" s="1"/>
  <c r="H104" i="1"/>
  <c r="U11" i="6" s="1"/>
  <c r="H55" i="1"/>
  <c r="O11" i="6" s="1"/>
  <c r="H150" i="1"/>
  <c r="AJ11" i="6" s="1"/>
  <c r="EP11" i="6"/>
  <c r="EN11" i="6"/>
  <c r="EU11" i="6"/>
  <c r="ET11" i="6"/>
  <c r="ES11" i="6"/>
  <c r="ER11" i="6"/>
  <c r="EL11" i="6"/>
  <c r="EO11" i="6"/>
  <c r="EM11" i="6"/>
  <c r="EQ11" i="6"/>
  <c r="AL1829" i="1"/>
  <c r="AO1828" i="1" s="1"/>
  <c r="N21" i="5"/>
  <c r="R21" i="5" l="1"/>
  <c r="BD6" i="6" s="1"/>
  <c r="AO1823" i="1"/>
  <c r="AO1829" i="1"/>
  <c r="BX11" i="6"/>
  <c r="BY11" i="6"/>
  <c r="T419" i="1" l="1"/>
  <c r="F12" i="5"/>
  <c r="H15" i="1" s="1"/>
  <c r="BZ11" i="6"/>
  <c r="FS16" i="6" l="1"/>
  <c r="CR16" i="6" l="1"/>
  <c r="N1517" i="1" l="1"/>
  <c r="AA2270" i="1" s="1"/>
  <c r="CQ16" i="6"/>
  <c r="J1517" i="1"/>
  <c r="R1522" i="1" l="1"/>
  <c r="H1522" i="1"/>
  <c r="FZ16" i="6"/>
  <c r="L35" i="5" l="1"/>
  <c r="H1524" i="1"/>
  <c r="FN16" i="6" s="1"/>
  <c r="FM16" i="6"/>
  <c r="N35" i="5" l="1"/>
  <c r="R35" i="5" s="1"/>
  <c r="AA35" i="5" l="1"/>
  <c r="BK6" i="6"/>
  <c r="J1154" i="1"/>
  <c r="H1154" i="1" s="1"/>
  <c r="L29" i="5" l="1"/>
  <c r="N29" i="5" s="1"/>
  <c r="R29" i="5" s="1"/>
  <c r="H1156" i="1"/>
  <c r="CP16" i="6" s="1"/>
  <c r="CO16" i="6"/>
  <c r="S13" i="5" l="1"/>
  <c r="AA10" i="5"/>
  <c r="F10" i="5" s="1"/>
  <c r="BH6" i="6"/>
  <c r="AI1656" i="1" l="1"/>
  <c r="AI1657" i="1" s="1"/>
  <c r="H11" i="1"/>
  <c r="BA6" i="6"/>
  <c r="H8" i="5" l="1"/>
  <c r="F8" i="5"/>
  <c r="S8" i="5" l="1"/>
  <c r="AZ6" i="6"/>
  <c r="H13" i="1"/>
  <c r="BS11" i="6"/>
  <c r="AA22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J40" authorId="0" shapeId="0" xr:uid="{00000000-0006-0000-0000-000001000000}">
      <text>
        <r>
          <rPr>
            <b/>
            <sz val="8"/>
            <color indexed="81"/>
            <rFont val="Tahoma"/>
            <family val="2"/>
          </rPr>
          <t>Gross Internal Area</t>
        </r>
        <r>
          <rPr>
            <sz val="8"/>
            <color indexed="81"/>
            <rFont val="Tahoma"/>
            <family val="2"/>
          </rPr>
          <t xml:space="preserve"> (GIA) broadly includes the whole enclosed area of a building within the external walls taking each floor into account and excluding the thickness of the external walls.
GIA will include:
• Areas occupied by internal walls (whether structural or not) and partitions
• Service accommodation such as WCs, showers, changing rooms and the like
• Columns, piers, whether free standing or projecting inwards from an external wall, chimney breasts, lift wells, stairwells etc
• Lift rooms, plant rooms, tank rooms, fuel stores, whether or not above roof level
• Open-sided covered areas (should be stated separately)
GIA Will Exclude
• Open balconies
• Open fire escapes
• Open-sided covered ways
• Open vehicle parking areas, terraces and the like
• Minor canopies
• Any area with ceiling height of less than 1•5m (except under stairways)
• Any area under the control of service or other external authorities
Source: Valuation Office Agency
GIA is the same as the useful floor area calculated/reported  in SBEM (Simple Building Energy Model) software.
</t>
        </r>
        <r>
          <rPr>
            <b/>
            <sz val="8"/>
            <color indexed="81"/>
            <rFont val="Tahoma"/>
            <family val="2"/>
          </rPr>
          <t xml:space="preserve">
</t>
        </r>
        <r>
          <rPr>
            <sz val="8"/>
            <color indexed="81"/>
            <rFont val="Tahoma"/>
            <family val="2"/>
          </rPr>
          <t xml:space="preserve">
</t>
        </r>
      </text>
    </comment>
    <comment ref="J42" authorId="0" shapeId="0" xr:uid="{00000000-0006-0000-0000-000002000000}">
      <text>
        <r>
          <rPr>
            <b/>
            <sz val="8"/>
            <color indexed="81"/>
            <rFont val="Tahoma"/>
            <family val="2"/>
          </rPr>
          <t>Net Internal Area</t>
        </r>
        <r>
          <rPr>
            <sz val="8"/>
            <color indexed="81"/>
            <rFont val="Tahoma"/>
            <family val="2"/>
          </rPr>
          <t xml:space="preserve"> (NIA) is broadly the usable area within a building measured to the face of the internal finish of perimeter or party walls ignoring skirting boards and taking each floor into account.
NIA will include:
• Perimeter skirting, moulding, or trunking
• Kitchens
• Any built in units or cupboards occupying useable areas (subject to height exclusion below)
• Partition walls or similar dividing elements
• Open circulation areas and entrance halls, corridors and atria (but see 9 and 10 below
NIA will exclude:
• Toilets and associated lobbies
• Cleaners' cupboards
• Lift rooms, boiler rooms, tank rooms, fuel stores and plant rooms other than those of a trade process nature
• Stairwells, lift wells, those parts of entrance halls, atria, landings and balconies used in common or for the purpose of essential access
• Corridors and other circulation areas where used in common with other occupiers or of a permanent essential nature
• Areas under the control of service or other external authorities 
• Internal structural walls, walls (whether structural or not) enclosing excluded areas, columns, piers, chimney breasts, other projections, vertical ducts etc
• The space occupied by permanent air conditioning, heating or cooling apparatus and ducting which renders the space substantially unusable having regard to the purpose for which it is intended
• Areas with headroom of less than 1•5m
• Car parking areas
Source: Valuation Office Agency</t>
        </r>
        <r>
          <rPr>
            <b/>
            <sz val="8"/>
            <color indexed="81"/>
            <rFont val="Tahoma"/>
            <family val="2"/>
          </rPr>
          <t xml:space="preserve">
</t>
        </r>
        <r>
          <rPr>
            <sz val="8"/>
            <color indexed="81"/>
            <rFont val="Tahoma"/>
            <family val="2"/>
          </rPr>
          <t xml:space="preserve">
</t>
        </r>
      </text>
    </comment>
    <comment ref="J58" authorId="0" shapeId="0" xr:uid="{00000000-0006-0000-0000-000003000000}">
      <text>
        <r>
          <rPr>
            <sz val="8"/>
            <color indexed="81"/>
            <rFont val="Tahoma"/>
            <family val="2"/>
          </rPr>
          <t>If at the start of an assessment the heating system type is not known, but heating will be required, please select one of the available system options and confirm the type at a later date, but prior to completion of the assessment and submission of the report for certification. 
This option determines, in part, the applicability of the BREEAM issue Pol05. This issue is not applicable for assessments of buildings with no heating and cooling demand and therefore no heating and cooling systems. As such it is important to confirm the presence or otherwise of heating within the building, if not necessarily immediately the type of heating system. Select 'none' only if heating confirmed absent from the building.</t>
        </r>
      </text>
    </comment>
    <comment ref="J60" authorId="0" shapeId="0" xr:uid="{00000000-0006-0000-0000-000004000000}">
      <text>
        <r>
          <rPr>
            <sz val="8"/>
            <color indexed="81"/>
            <rFont val="Tahoma"/>
            <family val="2"/>
          </rPr>
          <t xml:space="preserve">If at the start of an assessment the cooling system type is not known, but cooling will be required, please select one of the available system options and confirm the type at a later date, but prior to completion of the assessment and submission of the report for certification. 
This option determines, in part, the applicability of the BREEAM issue Pol05. This issue is not applicable for assessments of buildings with no heating and cooling demand and therefore no heating and cooling systems. As such it is important to confirm the presence or otherwise of cooling within the building, if not necessarily immediately the type of cooling system. Select 'none' only if cooling confirmed absent from the building.
</t>
        </r>
      </text>
    </comment>
    <comment ref="J76" authorId="0" shapeId="0" xr:uid="{00000000-0006-0000-0000-000005000000}">
      <text>
        <r>
          <rPr>
            <sz val="8"/>
            <color indexed="81"/>
            <rFont val="Tahoma"/>
            <family val="2"/>
          </rPr>
          <t xml:space="preserve">This information determines in part the number of credits available for BREEAM issue Hea02.
</t>
        </r>
      </text>
    </comment>
    <comment ref="J92" authorId="0" shapeId="0" xr:uid="{00000000-0006-0000-0000-000006000000}">
      <text>
        <r>
          <rPr>
            <sz val="8"/>
            <color indexed="81"/>
            <rFont val="Tahoma"/>
            <family val="2"/>
          </rPr>
          <t>If the BREEAM assessed building is complying solely with Part L1A of the Building Regulations and therefore  using only SAP and not using a combination of SAP and SBEM then enter 100% in this field.</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B833" authorId="0" shapeId="0" xr:uid="{00000000-0006-0000-0200-000001000000}">
      <text>
        <r>
          <rPr>
            <sz val="10"/>
            <color indexed="81"/>
            <rFont val="Tahoma"/>
            <family val="2"/>
          </rPr>
          <t>Under the alternative the method the performance of the rainwater or greywater system can be measured and assessed in one of three ways, as follows:
1. The percentage of the building's flushing demand that is met using recycled non potable water from the specified systems.
2. The percentage of the total rainwater run-off from the total catchment area that is collected and used to meet flushing and/or another permissible demand.
3. The percentage of the total waste water from taps and showers collected and recycled to meet flushing and/or other permissible demand.
Please make the relevant selection in the drop-down list.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BX9" authorId="0" shapeId="0" xr:uid="{00000000-0006-0000-0300-000001000000}">
      <text>
        <r>
          <rPr>
            <sz val="10"/>
            <color indexed="81"/>
            <rFont val="Tahoma"/>
            <family val="2"/>
          </rPr>
          <t>Where this states "total area-weighted BREEAM credits achieved' this reflects thatboth SAP and SBEM outputs have been used/entered.</t>
        </r>
      </text>
    </comment>
    <comment ref="CE9" authorId="0" shapeId="0" xr:uid="{00000000-0006-0000-0300-000002000000}">
      <text>
        <r>
          <rPr>
            <sz val="10"/>
            <color indexed="81"/>
            <rFont val="Tahoma"/>
            <family val="2"/>
          </rPr>
          <t>A figure will only be reported here is the assessment is using both SAP and SBEM outputs. If only using SAP or SBEM then this box will return "N/A".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B6" authorId="0" shapeId="0" xr:uid="{00000000-0006-0000-0400-000001000000}">
      <text>
        <r>
          <rPr>
            <sz val="8"/>
            <color indexed="81"/>
            <rFont val="Tahoma"/>
            <family val="2"/>
          </rPr>
          <t xml:space="preserve">This may either be a number or a unique company/organisational  system reference.
</t>
        </r>
      </text>
    </comment>
    <comment ref="D6" authorId="0" shapeId="0" xr:uid="{00000000-0006-0000-0400-000002000000}">
      <text>
        <r>
          <rPr>
            <sz val="8"/>
            <color indexed="81"/>
            <rFont val="Tahoma"/>
            <family val="2"/>
          </rPr>
          <t>Insert a full,  complete and identifiable reference to all information which is being used to verify a building's compliance with  BREEAM criteria. (Refer to appendix G of the BREEAM 2011 Scheme Document for additional guidance on BREEAM's evidential requirements).</t>
        </r>
      </text>
    </comment>
    <comment ref="R6" authorId="0" shapeId="0" xr:uid="{00000000-0006-0000-0400-000003000000}">
      <text>
        <r>
          <rPr>
            <sz val="8"/>
            <color indexed="81"/>
            <rFont val="Tahoma"/>
            <family val="2"/>
          </rPr>
          <t>Select the BREEAM issue ID that the corresponding reference relates to.</t>
        </r>
        <r>
          <rPr>
            <sz val="8"/>
            <color indexed="81"/>
            <rFont val="Tahoma"/>
            <family val="2"/>
          </rPr>
          <t xml:space="preserve">
</t>
        </r>
      </text>
    </comment>
    <comment ref="T6" authorId="0" shapeId="0" xr:uid="{00000000-0006-0000-0400-000004000000}">
      <text>
        <r>
          <rPr>
            <sz val="8"/>
            <color indexed="81"/>
            <rFont val="Tahoma"/>
            <family val="2"/>
          </rPr>
          <t xml:space="preserve">For the corresponding issue ID, insert the BREEAM criteria number that the evidence referenced demonstrates compliance with and, if/where relevant, the compliance note title that the reference supports/confirms. 
</t>
        </r>
      </text>
    </comment>
    <comment ref="V6" authorId="0" shapeId="0" xr:uid="{00000000-0006-0000-0400-000005000000}">
      <text>
        <r>
          <rPr>
            <sz val="8"/>
            <color indexed="81"/>
            <rFont val="Tahoma"/>
            <family val="2"/>
          </rPr>
          <t xml:space="preserve">If required, insert any relevant notes or comments concerning the evidence referenced necessary for the purpose of BRE's information and quality assurance checks.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<sst xmlns="http://schemas.openxmlformats.org/spreadsheetml/2006/main" count="3091" uniqueCount="1427">
  <si>
    <t>General information</t>
  </si>
  <si>
    <t>SGBC reference no.</t>
  </si>
  <si>
    <t>*</t>
  </si>
  <si>
    <t>Client name</t>
  </si>
  <si>
    <t>Building end user/occupier</t>
  </si>
  <si>
    <t>Assessor name</t>
  </si>
  <si>
    <t>Assessors role</t>
  </si>
  <si>
    <t>Assessor organisation</t>
  </si>
  <si>
    <t>Building details</t>
  </si>
  <si>
    <t>Building name</t>
  </si>
  <si>
    <t>Building address</t>
  </si>
  <si>
    <t>Region</t>
  </si>
  <si>
    <t>Post code</t>
  </si>
  <si>
    <t>Country</t>
  </si>
  <si>
    <t>Sweden</t>
  </si>
  <si>
    <t>Building type (main description)</t>
  </si>
  <si>
    <t>Building type (sub-group)</t>
  </si>
  <si>
    <r>
      <t>Building  floor area (BTA) m</t>
    </r>
    <r>
      <rPr>
        <vertAlign val="superscript"/>
        <sz val="12"/>
        <color indexed="9"/>
        <rFont val="Calibri"/>
        <family val="2"/>
      </rPr>
      <t>2</t>
    </r>
  </si>
  <si>
    <r>
      <t>Building  floor area (LOA/BOA) m</t>
    </r>
    <r>
      <rPr>
        <vertAlign val="superscript"/>
        <sz val="12"/>
        <color indexed="9"/>
        <rFont val="Calibri"/>
        <family val="2"/>
      </rPr>
      <t>2</t>
    </r>
  </si>
  <si>
    <t xml:space="preserve"> </t>
  </si>
  <si>
    <t>BREEAM scheme</t>
  </si>
  <si>
    <t>New Construction</t>
  </si>
  <si>
    <t>BREEAM version</t>
  </si>
  <si>
    <t>BREEAM-SE 2017</t>
  </si>
  <si>
    <t>BREEAM-SE 2017 technical manual issue number</t>
  </si>
  <si>
    <t>Project type</t>
  </si>
  <si>
    <t>Assessment stage</t>
  </si>
  <si>
    <t>Location type</t>
  </si>
  <si>
    <t>Climatic zone</t>
  </si>
  <si>
    <t>Temperate</t>
  </si>
  <si>
    <t>Building services - heating system type</t>
  </si>
  <si>
    <t>Building services - cooling system type</t>
  </si>
  <si>
    <t>Building services - domestic hot water system type</t>
  </si>
  <si>
    <t>Building service - controls</t>
  </si>
  <si>
    <t>If applicable, does this industrial building have a heated operational area?</t>
  </si>
  <si>
    <t>Does water heating contribute less than 10% of the buildings total energy consumption?</t>
  </si>
  <si>
    <t>Commercial/industrial refrigeration and storage systems</t>
  </si>
  <si>
    <t>Building user transportation systems (lifts and/or escalators)</t>
  </si>
  <si>
    <t>Laboratory function/area and size category</t>
  </si>
  <si>
    <t>Laboratory containment level</t>
  </si>
  <si>
    <t>Fume cupboard(s) and/or other containment devices</t>
  </si>
  <si>
    <t>Unregulated water uses present? (e.g. vehicle wash system, irrigation)</t>
  </si>
  <si>
    <t xml:space="preserve">If applicable, will this healthcare building house inpatients? </t>
  </si>
  <si>
    <t>Option not applicable to building type</t>
  </si>
  <si>
    <t>If  applicable, does this industrial building have an office area?</t>
  </si>
  <si>
    <t>If applicable, will internal lighting be installed in this residential building?</t>
  </si>
  <si>
    <t>If applicable, does this building contain areas requiring SAP assessment?</t>
  </si>
  <si>
    <t>If SAP used, what proportion of the building's total floor area (GIA) does it apply to?</t>
  </si>
  <si>
    <t>Regarding Shell &amp; Core or Shell Only, is external lighting specified for this building?</t>
  </si>
  <si>
    <t>If applicable, does this industrial building have a cooled operational area?</t>
  </si>
  <si>
    <t>Project team details</t>
  </si>
  <si>
    <t>Developer</t>
  </si>
  <si>
    <t>Principal contractor</t>
  </si>
  <si>
    <t>Architect</t>
  </si>
  <si>
    <t>Project management</t>
  </si>
  <si>
    <t>Building services</t>
  </si>
  <si>
    <t>BREEAM Advisory Professional</t>
  </si>
  <si>
    <t>Other project team member 1</t>
  </si>
  <si>
    <t>Other project team member 2</t>
  </si>
  <si>
    <t>Other project team member 3</t>
  </si>
  <si>
    <t>Other project team member 4</t>
  </si>
  <si>
    <t>BREEAM assessor declaration of assessment accuracy and quality</t>
  </si>
  <si>
    <t>Note: The tool will populate the statement opposite with the BREEAM assessor and organisation name once it has been entered above in the General Information section.</t>
  </si>
  <si>
    <t>Name of BREEAM Assessor:</t>
  </si>
  <si>
    <t>Date</t>
  </si>
  <si>
    <r>
      <rPr>
        <b/>
        <sz val="12"/>
        <color indexed="8"/>
        <rFont val="Calibri"/>
        <family val="2"/>
      </rPr>
      <t>Disclaimer</t>
    </r>
    <r>
      <rPr>
        <sz val="12"/>
        <color indexed="8"/>
        <rFont val="Calibri"/>
        <family val="2"/>
      </rPr>
      <t xml:space="preserve">
</t>
    </r>
  </si>
  <si>
    <t>Note: The tool will populate the disclaimer with the Assessor Organisations name once it has been entered above in the General Information section.</t>
  </si>
  <si>
    <t>Conflict of Interest - Where an assessor is employed by the same company as a project/design team member(s) (e.g. energy assessor, suitably qualified ecologist or client representative etc) they must identify and manage any potential conflicts of interest and inform SGBC as soon as they become aware of such a conflict. Where possible this should be made clear to SGBC upon registration of the assessment.</t>
  </si>
  <si>
    <t>BRE Global do prohibit an assessor from verifying compliance with scheme criteria where they themselves have been directly involved in achieving or implementing a compliant solution, i.e. an assessor cannot assess their own work, for example they cannot be the architect on a project and the assessor. A current exception to this rule is where the assessor is also acting as an accredited Sustainability Champion or BREEAM Accredited Professional on the project.</t>
  </si>
  <si>
    <t>Where there is a conflict of interest or potential for one, SGBC will escalate the assessment report to a more detailed level of quality assurance checking. This will be done to reduce the risk to assessors and clients in the event that a certification outcome is challenged. Additional levels of monitoring may result in additional charges being made to the licensed organisation that employs the assessor.</t>
  </si>
  <si>
    <t>Copyright</t>
  </si>
  <si>
    <t xml:space="preserve">Copyright exists on the BREEAM logo and this may not be used or reproduced for any purpose without the prior written consent of SGBC or BRE Global Ltd.
</t>
  </si>
  <si>
    <t>The BREEAM name and logo are registered trademarks of the Building Research Establishment Limited.</t>
  </si>
  <si>
    <t>Version</t>
  </si>
  <si>
    <t>Building &amp; Project details data</t>
  </si>
  <si>
    <t>Note: If you are starting a new assessment please ensure you are using the latest template version of the BREEAM-SE 2017 Assessment scoring and reporting tool and not a version used for an existing/previous assessment.</t>
  </si>
  <si>
    <t>Note: If laboratory area/function not present, then please select the option "No Laboratory" for the "laboratory size category" or change the laboratory area/function option to "Yes".</t>
  </si>
  <si>
    <t>The fields below marked with a * are mandatory and must be completed/defined prior to beginning the assessment to ensure an accurate score and BREEAM rating. Note: without this information the reporting tool cannot determine the applicable BREEAM issues and number of credits and data entry will not be possible for the building assessment.</t>
  </si>
  <si>
    <t xml:space="preserve">I, </t>
  </si>
  <si>
    <t xml:space="preserve">, a qualified BREEAM assessor working on behalf of </t>
  </si>
  <si>
    <t xml:space="preserve"> confirm that the content of this report is to the best of my knowledge a true and accurate reflection of the performance of the above named building, as measured against the assessment criteria and reporting requirements of the BREEAM Technical Manual (BREEAM-SE 2017). Furthermore, I confirm that this assessment and the information on which it is based has been checked and verified in accordance with SGBC's BREEAM operating procedures for BREEAM assessments and assessors, as described in the Technical Manual and associated BREEAM operational documents.</t>
  </si>
  <si>
    <t>England</t>
  </si>
  <si>
    <t xml:space="preserve">Design (interim) </t>
  </si>
  <si>
    <t>Office</t>
  </si>
  <si>
    <t>Wales</t>
  </si>
  <si>
    <t>Post Construction (Final, as-built)</t>
  </si>
  <si>
    <t>Industrial</t>
  </si>
  <si>
    <t>Scotland</t>
  </si>
  <si>
    <t>Retail</t>
  </si>
  <si>
    <t>Northern Ireland</t>
  </si>
  <si>
    <t>New Construction (Fully fitted)</t>
  </si>
  <si>
    <t>Education</t>
  </si>
  <si>
    <t>Residential</t>
  </si>
  <si>
    <t>Wet system</t>
  </si>
  <si>
    <t xml:space="preserve">New Construction (shell only) </t>
  </si>
  <si>
    <t>"Residential Institution"</t>
  </si>
  <si>
    <t>Air system</t>
  </si>
  <si>
    <t>Healthcare</t>
  </si>
  <si>
    <t>Other type of heating system</t>
  </si>
  <si>
    <t>Prisons</t>
  </si>
  <si>
    <t>None</t>
  </si>
  <si>
    <t>2014 (SD5076)</t>
  </si>
  <si>
    <t>Law Court</t>
  </si>
  <si>
    <t>see below</t>
  </si>
  <si>
    <t>Other: Non-residential Institution</t>
  </si>
  <si>
    <t>Air-conditioning</t>
  </si>
  <si>
    <t>Other: Assembly and Leisure</t>
  </si>
  <si>
    <t>Comfort cooling</t>
  </si>
  <si>
    <t>Other</t>
  </si>
  <si>
    <t>Other type of cooling</t>
  </si>
  <si>
    <t>Education - Academy school</t>
  </si>
  <si>
    <t>Centralised supply and distribution</t>
  </si>
  <si>
    <t>Education - All age range school</t>
  </si>
  <si>
    <t>Point of use</t>
  </si>
  <si>
    <t>Education - Further Education/Vocational College</t>
  </si>
  <si>
    <t>Education - Higher Education Institution</t>
  </si>
  <si>
    <t>Education - Non-acute special educational (SEN) school</t>
  </si>
  <si>
    <t>Education - Pre-school</t>
  </si>
  <si>
    <t>Standard controls (time/temperature)</t>
  </si>
  <si>
    <t>Education - Primary school</t>
  </si>
  <si>
    <t>Education - Secondary school</t>
  </si>
  <si>
    <t>Yes</t>
  </si>
  <si>
    <t>Education - Sixth form college</t>
  </si>
  <si>
    <t>Industrial - Process / manufacturing unit</t>
  </si>
  <si>
    <t>Industrial - Vehicle servicing unit</t>
  </si>
  <si>
    <t>No</t>
  </si>
  <si>
    <t>Industrial - Warehouse storage / distribution</t>
  </si>
  <si>
    <t>Office - General office building</t>
  </si>
  <si>
    <t>Office - Office with research and development areas</t>
  </si>
  <si>
    <t>Laboratory present: &lt;10% of building's Gross Internal Floor Area</t>
  </si>
  <si>
    <t>Residential Institution - Long term stay</t>
  </si>
  <si>
    <t>Laboratory present: ≥10% - &lt;25% of building's Gross Internal Floor Area</t>
  </si>
  <si>
    <t>Residential Institution - Short term stay</t>
  </si>
  <si>
    <t>Laboratory present: ≥25% of building's Gross Internal Floor Area</t>
  </si>
  <si>
    <t>Retail - Café</t>
  </si>
  <si>
    <t>No laboratory</t>
  </si>
  <si>
    <t>Retail - Drinking establishment</t>
  </si>
  <si>
    <t>Retail - Food takeaway</t>
  </si>
  <si>
    <t>Cat Level 1 only</t>
  </si>
  <si>
    <t>Retail - Restaurant</t>
  </si>
  <si>
    <t>Cat Level 2</t>
  </si>
  <si>
    <t>Retail - Retail park/warehouse</t>
  </si>
  <si>
    <t>Cat Level 3</t>
  </si>
  <si>
    <t>Retail - Service provider 'over the counter'</t>
  </si>
  <si>
    <t>Retail - Shop</t>
  </si>
  <si>
    <t>Retail - Shopping centre</t>
  </si>
  <si>
    <t>Retail - Showroom</t>
  </si>
  <si>
    <t>Residential - Single Dwellings</t>
  </si>
  <si>
    <t>London Borough</t>
  </si>
  <si>
    <t>Residential - Multiple Dwellings</t>
  </si>
  <si>
    <t>Metropolitan built-up area (&gt;250,000 population)</t>
  </si>
  <si>
    <t>Large urban (&gt;250,000 population)</t>
  </si>
  <si>
    <t>Medium urban (&gt;25,000 population)</t>
  </si>
  <si>
    <t>Small/medium urban (&gt;10,000 population)</t>
  </si>
  <si>
    <t>Small urban (&gt;3000 population)</t>
  </si>
  <si>
    <t>Rural (&lt;3000 population)</t>
  </si>
  <si>
    <t>Project type:</t>
  </si>
  <si>
    <t>Standard assessment</t>
  </si>
  <si>
    <t>Bespoke</t>
  </si>
  <si>
    <t>Criteria</t>
  </si>
  <si>
    <t>Amended Criteria</t>
  </si>
  <si>
    <t xml:space="preserve">Shell Only: </t>
  </si>
  <si>
    <t>Shell Only and Shell &amp; Core:</t>
  </si>
  <si>
    <t>Issue 1.0</t>
  </si>
  <si>
    <t>Issue 1.1</t>
  </si>
  <si>
    <t>Issue 3.0</t>
  </si>
  <si>
    <t>Issue 4.0</t>
  </si>
  <si>
    <t>Issue 5.0</t>
  </si>
  <si>
    <t>Option not applicable to project type</t>
  </si>
  <si>
    <t>Overall Building Performance</t>
  </si>
  <si>
    <t>BREEAM rating</t>
  </si>
  <si>
    <t>Total Score</t>
  </si>
  <si>
    <t>Min. standards level achieved</t>
  </si>
  <si>
    <t>Building Performance by Environment Section</t>
  </si>
  <si>
    <t>Note: The overall score is determined by adding together the environmental section scores and the Innovation section score. As the total of these two scores is greater than 100% for your project, the overall score has been capped at 100%, and it is this percentage that will appear on the BREEAM certificate.</t>
  </si>
  <si>
    <t>Environmental Section</t>
  </si>
  <si>
    <t>No. credits available</t>
  </si>
  <si>
    <t>No. credits Achieved</t>
  </si>
  <si>
    <t>% credits achieved</t>
  </si>
  <si>
    <t>Section Weighting</t>
  </si>
  <si>
    <t>Section Score</t>
  </si>
  <si>
    <t>Management</t>
  </si>
  <si>
    <t>Health &amp; Wellbeing</t>
  </si>
  <si>
    <t>Energy</t>
  </si>
  <si>
    <t>Transport</t>
  </si>
  <si>
    <t>Water</t>
  </si>
  <si>
    <t>Materials</t>
  </si>
  <si>
    <t>Waste</t>
  </si>
  <si>
    <t>Land Use &amp; Ecology</t>
  </si>
  <si>
    <t>Pollution</t>
  </si>
  <si>
    <t>Glen Watts: This is needed for the graph to show the number of innovation credits available as the weighting has been removed.</t>
  </si>
  <si>
    <t>Innovation</t>
  </si>
  <si>
    <t>Glen Watts: This is innovation credits achieved, linked to the graph above as the change to an integer messed up the graph.</t>
  </si>
  <si>
    <t>Building Performance by Key Environmental Performance Indicator</t>
  </si>
  <si>
    <t>Energy (consumption/production)</t>
  </si>
  <si>
    <t>Life cycle stage</t>
  </si>
  <si>
    <t>Measurement</t>
  </si>
  <si>
    <t>Intensity</t>
  </si>
  <si>
    <t>Units</t>
  </si>
  <si>
    <t>Total</t>
  </si>
  <si>
    <r>
      <t>Building operation</t>
    </r>
    <r>
      <rPr>
        <vertAlign val="superscript"/>
        <sz val="12"/>
        <color indexed="9"/>
        <rFont val="Calibri"/>
        <family val="2"/>
      </rPr>
      <t>[1]</t>
    </r>
  </si>
  <si>
    <t>Use</t>
  </si>
  <si>
    <t>Modelled</t>
  </si>
  <si>
    <r>
      <t>kWh/m</t>
    </r>
    <r>
      <rPr>
        <vertAlign val="superscript"/>
        <sz val="12"/>
        <color indexed="8"/>
        <rFont val="Calibri"/>
        <family val="2"/>
      </rPr>
      <t>2</t>
    </r>
    <r>
      <rPr>
        <sz val="12"/>
        <color indexed="8"/>
        <rFont val="Calibri"/>
        <family val="2"/>
      </rPr>
      <t>/yr</t>
    </r>
  </si>
  <si>
    <t>kWh/yr</t>
  </si>
  <si>
    <r>
      <t>Energy production</t>
    </r>
    <r>
      <rPr>
        <vertAlign val="superscript"/>
        <sz val="12"/>
        <color indexed="9"/>
        <rFont val="Calibri"/>
        <family val="2"/>
      </rPr>
      <t>[2]</t>
    </r>
  </si>
  <si>
    <r>
      <t>Construction process</t>
    </r>
    <r>
      <rPr>
        <vertAlign val="superscript"/>
        <sz val="12"/>
        <color indexed="9"/>
        <rFont val="Calibri"/>
        <family val="2"/>
      </rPr>
      <t>[1]</t>
    </r>
  </si>
  <si>
    <r>
      <t>Transport</t>
    </r>
    <r>
      <rPr>
        <vertAlign val="superscript"/>
        <sz val="12"/>
        <color indexed="9"/>
        <rFont val="Calibri"/>
        <family val="2"/>
      </rPr>
      <t>[2]</t>
    </r>
  </si>
  <si>
    <t>Greenhouse Gas Emissions</t>
  </si>
  <si>
    <r>
      <t>kgCO</t>
    </r>
    <r>
      <rPr>
        <vertAlign val="subscript"/>
        <sz val="12"/>
        <color indexed="8"/>
        <rFont val="Calibri"/>
        <family val="2"/>
      </rPr>
      <t>2</t>
    </r>
    <r>
      <rPr>
        <sz val="12"/>
        <color indexed="8"/>
        <rFont val="Calibri"/>
        <family val="2"/>
      </rPr>
      <t>eq/m</t>
    </r>
    <r>
      <rPr>
        <vertAlign val="superscript"/>
        <sz val="12"/>
        <color indexed="8"/>
        <rFont val="Calibri"/>
        <family val="2"/>
      </rPr>
      <t>2</t>
    </r>
    <r>
      <rPr>
        <sz val="12"/>
        <color indexed="8"/>
        <rFont val="Calibri"/>
        <family val="2"/>
      </rPr>
      <t>/yr</t>
    </r>
  </si>
  <si>
    <r>
      <t>kgCO</t>
    </r>
    <r>
      <rPr>
        <vertAlign val="subscript"/>
        <sz val="12"/>
        <color indexed="8"/>
        <rFont val="Calibri"/>
        <family val="2"/>
      </rPr>
      <t>2</t>
    </r>
    <r>
      <rPr>
        <sz val="12"/>
        <color indexed="8"/>
        <rFont val="Calibri"/>
        <family val="2"/>
      </rPr>
      <t>eq/yr</t>
    </r>
  </si>
  <si>
    <r>
      <t>Embodied</t>
    </r>
    <r>
      <rPr>
        <vertAlign val="superscript"/>
        <sz val="12"/>
        <color indexed="9"/>
        <rFont val="Calibri"/>
        <family val="2"/>
      </rPr>
      <t>[5]</t>
    </r>
  </si>
  <si>
    <t>Cradle-to-grave</t>
  </si>
  <si>
    <t>Measured</t>
  </si>
  <si>
    <r>
      <t>kgCO</t>
    </r>
    <r>
      <rPr>
        <vertAlign val="subscript"/>
        <sz val="12"/>
        <color indexed="8"/>
        <rFont val="Calibri"/>
        <family val="2"/>
      </rPr>
      <t>2</t>
    </r>
    <r>
      <rPr>
        <sz val="12"/>
        <color indexed="8"/>
        <rFont val="Calibri"/>
        <family val="2"/>
      </rPr>
      <t>eq/m</t>
    </r>
    <r>
      <rPr>
        <vertAlign val="superscript"/>
        <sz val="12"/>
        <color indexed="8"/>
        <rFont val="Calibri"/>
        <family val="2"/>
      </rPr>
      <t>2</t>
    </r>
  </si>
  <si>
    <r>
      <t>kgCO</t>
    </r>
    <r>
      <rPr>
        <vertAlign val="subscript"/>
        <sz val="12"/>
        <color indexed="8"/>
        <rFont val="Calibri"/>
        <family val="2"/>
      </rPr>
      <t>2</t>
    </r>
    <r>
      <rPr>
        <sz val="12"/>
        <color indexed="8"/>
        <rFont val="Calibri"/>
        <family val="2"/>
      </rPr>
      <t>eq</t>
    </r>
  </si>
  <si>
    <t>Proportion of applicable main building elements that data reported covers</t>
  </si>
  <si>
    <r>
      <t>Direct GHG emissions - Refrigerants</t>
    </r>
    <r>
      <rPr>
        <vertAlign val="superscript"/>
        <sz val="12"/>
        <color indexed="9"/>
        <rFont val="Calibri"/>
        <family val="2"/>
      </rPr>
      <t>[3]</t>
    </r>
  </si>
  <si>
    <r>
      <t>KgCO</t>
    </r>
    <r>
      <rPr>
        <vertAlign val="subscript"/>
        <sz val="12"/>
        <color indexed="8"/>
        <rFont val="Calibri"/>
        <family val="2"/>
      </rPr>
      <t>2</t>
    </r>
    <r>
      <rPr>
        <sz val="12"/>
        <color indexed="8"/>
        <rFont val="Calibri"/>
        <family val="2"/>
      </rPr>
      <t>eq/kW</t>
    </r>
    <r>
      <rPr>
        <vertAlign val="subscript"/>
        <sz val="12"/>
        <color indexed="8"/>
        <rFont val="Calibri"/>
        <family val="2"/>
      </rPr>
      <t>coolth</t>
    </r>
  </si>
  <si>
    <r>
      <t>KgCO</t>
    </r>
    <r>
      <rPr>
        <vertAlign val="subscript"/>
        <sz val="12"/>
        <color indexed="8"/>
        <rFont val="Calibri"/>
        <family val="2"/>
      </rPr>
      <t>2</t>
    </r>
    <r>
      <rPr>
        <sz val="12"/>
        <color indexed="8"/>
        <rFont val="Calibri"/>
        <family val="2"/>
      </rPr>
      <t>eq</t>
    </r>
  </si>
  <si>
    <t>Emissions to outdoor air, soil and water</t>
  </si>
  <si>
    <r>
      <t>Nitrogen Oxides (NO</t>
    </r>
    <r>
      <rPr>
        <vertAlign val="subscript"/>
        <sz val="12"/>
        <color indexed="9"/>
        <rFont val="Calibri"/>
        <family val="2"/>
      </rPr>
      <t>x</t>
    </r>
    <r>
      <rPr>
        <sz val="12"/>
        <color indexed="9"/>
        <rFont val="Calibri"/>
        <family val="2"/>
      </rPr>
      <t>)</t>
    </r>
    <r>
      <rPr>
        <vertAlign val="superscript"/>
        <sz val="12"/>
        <color indexed="9"/>
        <rFont val="Calibri"/>
        <family val="2"/>
      </rPr>
      <t>[4]</t>
    </r>
  </si>
  <si>
    <t>mg/kWh</t>
  </si>
  <si>
    <t>kg/yr</t>
  </si>
  <si>
    <t xml:space="preserve">Use of freshwater resource </t>
  </si>
  <si>
    <r>
      <t>Building operation</t>
    </r>
    <r>
      <rPr>
        <vertAlign val="superscript"/>
        <sz val="12"/>
        <color indexed="9"/>
        <rFont val="Calibri"/>
        <family val="2"/>
      </rPr>
      <t>[5]</t>
    </r>
  </si>
  <si>
    <r>
      <t>Construction process</t>
    </r>
    <r>
      <rPr>
        <vertAlign val="superscript"/>
        <sz val="12"/>
        <color indexed="9"/>
        <rFont val="Calibri"/>
        <family val="2"/>
      </rPr>
      <t>[6]</t>
    </r>
  </si>
  <si>
    <t>Construction waste and recovery</t>
  </si>
  <si>
    <r>
      <t xml:space="preserve">Construction waste generated </t>
    </r>
    <r>
      <rPr>
        <vertAlign val="superscript"/>
        <sz val="12"/>
        <color indexed="9"/>
        <rFont val="Calibri"/>
        <family val="2"/>
      </rPr>
      <t>[7]</t>
    </r>
  </si>
  <si>
    <t>-</t>
  </si>
  <si>
    <r>
      <t xml:space="preserve">C &amp; D waste diverted from landfill </t>
    </r>
    <r>
      <rPr>
        <vertAlign val="superscript"/>
        <sz val="12"/>
        <color indexed="9"/>
        <rFont val="Calibri"/>
        <family val="2"/>
      </rPr>
      <t>[7]</t>
    </r>
  </si>
  <si>
    <t>%</t>
  </si>
  <si>
    <r>
      <t>Demolition waste diverted from landfill</t>
    </r>
    <r>
      <rPr>
        <vertAlign val="superscript"/>
        <sz val="12"/>
        <color indexed="9"/>
        <rFont val="Calibri"/>
        <family val="2"/>
      </rPr>
      <t>[11]</t>
    </r>
  </si>
  <si>
    <r>
      <t>Demolition waste to disposal</t>
    </r>
    <r>
      <rPr>
        <vertAlign val="superscript"/>
        <sz val="12"/>
        <color indexed="9"/>
        <rFont val="Calibri"/>
        <family val="2"/>
      </rPr>
      <t>[11]</t>
    </r>
  </si>
  <si>
    <r>
      <t>Material for re-use</t>
    </r>
    <r>
      <rPr>
        <vertAlign val="superscript"/>
        <sz val="12"/>
        <color indexed="9"/>
        <rFont val="Calibri"/>
        <family val="2"/>
      </rPr>
      <t>[12]</t>
    </r>
  </si>
  <si>
    <r>
      <t>Material for recycling</t>
    </r>
    <r>
      <rPr>
        <vertAlign val="superscript"/>
        <sz val="12"/>
        <color indexed="9"/>
        <rFont val="Calibri"/>
        <family val="2"/>
      </rPr>
      <t>[12]</t>
    </r>
  </si>
  <si>
    <r>
      <t>Material for energy recovery</t>
    </r>
    <r>
      <rPr>
        <vertAlign val="superscript"/>
        <sz val="12"/>
        <color indexed="9"/>
        <rFont val="Calibri"/>
        <family val="2"/>
      </rPr>
      <t>[12]</t>
    </r>
  </si>
  <si>
    <r>
      <t>Hazardous waste to disposal</t>
    </r>
    <r>
      <rPr>
        <vertAlign val="superscript"/>
        <sz val="12"/>
        <color indexed="9"/>
        <rFont val="Calibri"/>
        <family val="2"/>
      </rPr>
      <t>[12]</t>
    </r>
  </si>
  <si>
    <t>Sourcing of materials</t>
  </si>
  <si>
    <r>
      <t>Materials responsibly sourced</t>
    </r>
    <r>
      <rPr>
        <vertAlign val="superscript"/>
        <sz val="12"/>
        <color indexed="9"/>
        <rFont val="Calibri"/>
        <family val="2"/>
      </rPr>
      <t>[8]</t>
    </r>
  </si>
  <si>
    <t>Construction</t>
  </si>
  <si>
    <t>Thermal comfort</t>
  </si>
  <si>
    <t>Predicted Mean Vote (PMV)</t>
  </si>
  <si>
    <t>Index</t>
  </si>
  <si>
    <t>Predicted Percentage Dissatisfied (PPD)</t>
  </si>
  <si>
    <t>Indoor Air Quality</t>
  </si>
  <si>
    <r>
      <t>Formaldehyde concentration level</t>
    </r>
    <r>
      <rPr>
        <vertAlign val="superscript"/>
        <sz val="12"/>
        <color indexed="9"/>
        <rFont val="Calibri"/>
        <family val="2"/>
      </rPr>
      <t>[9]</t>
    </r>
  </si>
  <si>
    <r>
      <t>Total volatile organic compound concentration</t>
    </r>
    <r>
      <rPr>
        <vertAlign val="superscript"/>
        <sz val="12"/>
        <color indexed="9"/>
        <rFont val="Calibri"/>
        <family val="2"/>
      </rPr>
      <t>[9]</t>
    </r>
  </si>
  <si>
    <t>Notes</t>
  </si>
  <si>
    <t>Modelled using approved software compliant with the UK's National Calculation Method which in turn is compliant with Article 3 of The Energy Performance of Buildings Directive (EPBD) 2002/91/EC. Modelling includes building energy consumption resulting from the specification of a ‘controlled’, ‘fixed building service’ (as defined in the relevant Approved Document or Guidance produced for each UK territory).</t>
  </si>
  <si>
    <t>The reported impact includes technologies that produce energy (on-site and/or near-site) as defined by Directive 2009/28/EC of the European Parliament and of the Council of 23 April 2009 on the promotion of the use of energy from renewable sources and amending and subsequently repealing Directives 2001/77/EC and 2003/30/EC.</t>
  </si>
  <si>
    <t>The reported impact includes energy consumption from construction plant, equipment and site accommodation. This KPI is not assessed/reported at the design stage of assessment/certification.</t>
  </si>
  <si>
    <t>The reported impact covers transport of the construction materials that make-up the main building elements and ground works and landscaping materials (from the factory gate to the site) and construction waste (from the construction gate to waste disposal processing / recovery centre gate). Main building elements are defined in the BREEAM 2014 New Construction Technical Guide (SD5076). This KPI is not assessed/reported at the design stage of assessment/certification.</t>
  </si>
  <si>
    <t>The reported impact covers the construction materials that make-up the main building elements (over a 60 year study period). Main building elements are defined in the BREEAM UK  New Construction2014 Technical Guide (SD5076). The data is quantified using BRE's Environmental Profiles Methodology. The Environmental Profiles Methodology has been peer reviewed to comply with BS ISO 14040 and represents the Product Category Rules for BRE Global’s environmental labelling scheme (EPD - ISO 14025, Type III) for construction products and elements.</t>
  </si>
  <si>
    <r>
      <t>The reported impact is for a 10 year study period. The calculation of the Direct Effect Life Cycle CO</t>
    </r>
    <r>
      <rPr>
        <vertAlign val="subscript"/>
        <sz val="9"/>
        <color indexed="8"/>
        <rFont val="Calibri"/>
        <family val="2"/>
      </rPr>
      <t>2</t>
    </r>
    <r>
      <rPr>
        <sz val="9"/>
        <color indexed="8"/>
        <rFont val="Calibri"/>
        <family val="2"/>
      </rPr>
      <t>eq emissions used by BREEAM is based on the Total Equivalent Warming Impact (TEWI) calculation method for new stationary refrigeration and air conditioning systems, as described in Annex B of BS EN 378-1:2008.</t>
    </r>
  </si>
  <si>
    <t>The reported impact covers emissions from either one or a combination of space heating, cooling and hot water heating (refer to Pol02 Assessment Issue for scope of emissions)</t>
  </si>
  <si>
    <t>The reported impact includes net water consumption from the micro-components utilised by building occupants for sanitary purposes. The impact accounts for  water recycling/rainwater collection, where used for permissible non-potable water demands (For further detail refer to BREEAM UK New Construction 2014 Technical Guide (SD5076)).</t>
  </si>
  <si>
    <t>The reported impact is net water consumption i.e. accounts for any water recycling/rainwater collection used to off-set a potable site demand. This KPI is not assessed/reported at the design stage of assessment/certification.</t>
  </si>
  <si>
    <t>The reported impact covers non-hazardous waste from new construction materials, it therefore excludes hazardous and demolition and excavation waste. Where assessed and reported at the design stage of assessment this KPI is based on a target as reported in a compliant Resource Management Plan.</t>
  </si>
  <si>
    <t>The reported impact covers non-hazardous waste from site demolition. Where assessed and reported at the design stage at the design stage of assessment this KPI is based on the target demolition waste diverted from landfill, as reported in a compliant Site Waste Management Plan. If no demolition taking place on site this KPI is not applicable.</t>
  </si>
  <si>
    <t>Where assessed and reported at the design stage of assessment this KPI is based on a target as reported in a compliant Site Waste Management Plan.</t>
  </si>
  <si>
    <t>The reported impact covers the proportion of the key building elements present and assessed by BREEAM that are responsibly sourced. Responsibly sourced   and key building elements are defined in the BREEAM UK New Construction 2014 Technical Guide (SD5076).</t>
  </si>
  <si>
    <t>The total volatile organic compound (TVOC) concentration is measured post construction (but pre-occupancy) over 8 hours. Formaldehyde concentration level is measured post construction (but pre-occupancy) averaged over 30 minutes. Both KPI's are measured in accordance with European and/or ISO standards (refer to the BREEAM New Construction Technical Manual for relevant standard numbers). At the design stage of assessment no data is available for this KPI as they are both measured once the building has been constructed (but pre-occupancy) for the purpose of post construction assessment.</t>
  </si>
  <si>
    <t>"INA" = Indicator Not Assessed. This will be the case where either the data required for the KPI is not gathered/measured by the building's project team or not assessed/quantified in BREEAM for a particular building type or assessment stage e.g. energy consumption for construction process at the design stage of assessment.</t>
  </si>
  <si>
    <t>"-" = KPI not applicable to building being assessed.</t>
  </si>
  <si>
    <t>Single residential dwellings</t>
  </si>
  <si>
    <t>M</t>
  </si>
  <si>
    <t>H&amp;W</t>
  </si>
  <si>
    <t>E</t>
  </si>
  <si>
    <t>T</t>
  </si>
  <si>
    <t>W</t>
  </si>
  <si>
    <t>LUE</t>
  </si>
  <si>
    <t>P</t>
  </si>
  <si>
    <t>I</t>
  </si>
  <si>
    <t>New Construction (partially fitted)</t>
  </si>
  <si>
    <t>Multiple residential dwellings</t>
  </si>
  <si>
    <t>Non-residential</t>
  </si>
  <si>
    <t>New Construction (shell and core)</t>
  </si>
  <si>
    <t>HIDDEN CONTENT AND FORUMULAE IS PRESENT WITHIN THESE COLUMNS. DO NOT DELETE OR ADD CONTENT OR COLOUMNS OR ROWS WITHOUT FIRST UN-HIDING ALL AND CHECKING FOR CONTENT THAT MAY BE HIDDEN.</t>
  </si>
  <si>
    <t>Building score (%)</t>
  </si>
  <si>
    <t>Building rating</t>
  </si>
  <si>
    <t>Minimum standards level achieved</t>
  </si>
  <si>
    <t>MANAGEMENT</t>
  </si>
  <si>
    <t>Man 01 Project brief and design</t>
  </si>
  <si>
    <t>No. of BREEAM credits available</t>
  </si>
  <si>
    <t>Available contribution to overall score</t>
  </si>
  <si>
    <t>No. of BREEAM innovation credits available</t>
  </si>
  <si>
    <t>Minimum standards applicable</t>
  </si>
  <si>
    <t>Assessment Criteria</t>
  </si>
  <si>
    <t>Compliant?</t>
  </si>
  <si>
    <t>Credits available</t>
  </si>
  <si>
    <t>Credits achieved</t>
  </si>
  <si>
    <t>Stakeholder consultation (project delivery)</t>
  </si>
  <si>
    <t>Stakeholder consultation (third party)</t>
  </si>
  <si>
    <t>BREEAM-SE AP (design)</t>
  </si>
  <si>
    <t>BREEAM-SE AP (monitoring progress)</t>
  </si>
  <si>
    <t>Total BREEAM credits achieved</t>
  </si>
  <si>
    <t>Total contribution to overall building score</t>
  </si>
  <si>
    <t>Total BREEAM innovation credits achieved</t>
  </si>
  <si>
    <t>Minimum standard(s) level</t>
  </si>
  <si>
    <t>N/A</t>
  </si>
  <si>
    <t>Assessor comments/notes:</t>
  </si>
  <si>
    <t>Man 02 Life cycle cost and service life planning</t>
  </si>
  <si>
    <t>Elemental life cycle cost (LCC)</t>
  </si>
  <si>
    <t>Component level LCC options apraisal</t>
  </si>
  <si>
    <t>Capital cost reporting</t>
  </si>
  <si>
    <t>Capital cost of the project</t>
  </si>
  <si>
    <r>
      <t>SEK/m</t>
    </r>
    <r>
      <rPr>
        <vertAlign val="superscript"/>
        <sz val="12"/>
        <color indexed="8"/>
        <rFont val="Calibri"/>
        <family val="2"/>
      </rPr>
      <t>2</t>
    </r>
  </si>
  <si>
    <t>Note: The area refers to the Atemp of the project.</t>
  </si>
  <si>
    <t>Man 03 Responsible construction practices</t>
  </si>
  <si>
    <t>All site timber used in the project is 'legally harvested and traded timber'</t>
  </si>
  <si>
    <t>Note: Criterion 2 (Health and Safety) is a minimum standard to achieve certification of any rating</t>
  </si>
  <si>
    <t>All national health and safety legislation and regulations considered and implemented</t>
  </si>
  <si>
    <t>Environmental Management</t>
  </si>
  <si>
    <t>Construction stage sustainability champion</t>
  </si>
  <si>
    <t>Considerate construction</t>
  </si>
  <si>
    <t>Monitoring of construction site impact (criterion 10)</t>
  </si>
  <si>
    <t>Utility consumption (energy and water)</t>
  </si>
  <si>
    <t>Transport of construction materials and waste</t>
  </si>
  <si>
    <t>Exemplary level criteria - considerate construction</t>
  </si>
  <si>
    <t>Key Performance Indicators: Construction site energy use</t>
  </si>
  <si>
    <t xml:space="preserve">Energy consumption (total) - site processes </t>
  </si>
  <si>
    <t xml:space="preserve">Energy consumption (intensity) - site processes </t>
  </si>
  <si>
    <t>Note: The intensity of energy consumption from site processes is calculated from the total energy use at the construction site in kWh divided by the project value. The term ‘project value’ represents the total project cost, which includes all costs such as construction, design, land acquisition etc</t>
  </si>
  <si>
    <t>Distance (total) - materials transport to site</t>
  </si>
  <si>
    <t>Distance (total) -waste transport from site</t>
  </si>
  <si>
    <t>Energy consumption (total) - materials transport to site</t>
  </si>
  <si>
    <t>Energy consumption (total) - waste transport from site</t>
  </si>
  <si>
    <t xml:space="preserve">Energy consumption (intensity) - materials transport to site </t>
  </si>
  <si>
    <t xml:space="preserve">Energy consumption (intensity) - waste transport from site </t>
  </si>
  <si>
    <t>Key Performance Indicators: Construction site greenhouse gas emissions</t>
  </si>
  <si>
    <t>Process greenhouse gas emissions (total) - site processes</t>
  </si>
  <si>
    <t xml:space="preserve"> Greenhouse gas emissions (intensity) - site processes</t>
  </si>
  <si>
    <t>Note: The intensity of energy consumption from site processes is calculated from the total energy use at the construction site as carbon dioxide equivalents divided by the project value. The term ‘project value’ represents the total project cost, which includes all costs such as construction, design, land acquisition etc</t>
  </si>
  <si>
    <t>Greenhouse gas emissions (total) - materials transport to site</t>
  </si>
  <si>
    <t>Greenhouse gas emissions (total) - waste transport from site</t>
  </si>
  <si>
    <t>Greenhouse gas emissions (intensity) - materials transport to site</t>
  </si>
  <si>
    <t>Greenhouse gas emissions (intensity) - waste transport from site</t>
  </si>
  <si>
    <t>Key Performance Indicators: Construction site use of freshwater resources</t>
  </si>
  <si>
    <t>Use of freshwater resource (total) - site processes</t>
  </si>
  <si>
    <t>Use of freshwater resource (intensity) - site processes</t>
  </si>
  <si>
    <t>Man 04 Commisioning and handover</t>
  </si>
  <si>
    <t>Commissioning and testing schedule and responsibilities</t>
  </si>
  <si>
    <t>Commissioning building services</t>
  </si>
  <si>
    <t>Testing and inspecting building fabric</t>
  </si>
  <si>
    <t>Handover - Building/Home User Guide been developed prior to handover</t>
  </si>
  <si>
    <t>Handover - training schedule been prepared fo building occupiers/managers</t>
  </si>
  <si>
    <t>Man 05 Aftercare</t>
  </si>
  <si>
    <t>Aftercare support</t>
  </si>
  <si>
    <t>Seasonal commissioning</t>
  </si>
  <si>
    <t>Post occupancy evaluation</t>
  </si>
  <si>
    <t>Exemplary level criteria</t>
  </si>
  <si>
    <t>Man 06 Moisture safety</t>
  </si>
  <si>
    <t>Prerequisite: Moisture control design, planning and documentation</t>
  </si>
  <si>
    <t>Moisture safety</t>
  </si>
  <si>
    <t>HEALTH &amp; WELLBEING</t>
  </si>
  <si>
    <t>Hea 01 Visual Comfort</t>
  </si>
  <si>
    <t>Prerequisite: Fluorescent lamps fitted with high frequency ballasts</t>
  </si>
  <si>
    <t xml:space="preserve">Glare control </t>
  </si>
  <si>
    <t>Daylighting (building type dependant)</t>
  </si>
  <si>
    <t>View out</t>
  </si>
  <si>
    <t>Internal and external lighting levels, zoning and controls</t>
  </si>
  <si>
    <t>Exemplary level daylighting</t>
  </si>
  <si>
    <t>Hea 02 Indoor Air Quality</t>
  </si>
  <si>
    <t>If applicable, does this retail building have an office area?</t>
  </si>
  <si>
    <t xml:space="preserve">Business (office/industrial) </t>
  </si>
  <si>
    <t>Indoor air quality (IAQ) plan</t>
  </si>
  <si>
    <t>Ventilation</t>
  </si>
  <si>
    <t>VOCs (products)</t>
  </si>
  <si>
    <t>VOCs (post-construction)</t>
  </si>
  <si>
    <t>Adaptability - potential for natural ventilation</t>
  </si>
  <si>
    <t>Exemplary level VOCs (products)</t>
  </si>
  <si>
    <t>Key Performance Indicators: Indoor air quality</t>
  </si>
  <si>
    <t>Concentration levels of formaldehyde</t>
  </si>
  <si>
    <t xml:space="preserve">Total volatile organic compound (TVOC) concentration </t>
  </si>
  <si>
    <t>Hea 03 Safe containment in laboratories</t>
  </si>
  <si>
    <t>Objective risk assessment of laboratory facilities</t>
  </si>
  <si>
    <t>Laboratory containment devices and containment areas</t>
  </si>
  <si>
    <t>Containment level 2 and 3 labs</t>
  </si>
  <si>
    <t>Hea 04 Thermal comfort</t>
  </si>
  <si>
    <t>Thermal modelling</t>
  </si>
  <si>
    <t>Adaptability -  for a projected climate change scenario</t>
  </si>
  <si>
    <t>Thermal zoning and control</t>
  </si>
  <si>
    <t>Key Performance Indicators</t>
  </si>
  <si>
    <t>For a projected climate scenario</t>
  </si>
  <si>
    <t>Hea 05 Acoustic Performance</t>
  </si>
  <si>
    <t>Credits</t>
  </si>
  <si>
    <t>Acoustic performance standards and testing requirements</t>
  </si>
  <si>
    <t>Hea 06 Accessibility</t>
  </si>
  <si>
    <t>Safe access</t>
  </si>
  <si>
    <t>Inclusive and accessible design</t>
  </si>
  <si>
    <t>Hea 08 Outdoor space (residential only)</t>
  </si>
  <si>
    <t>Compliant outdoor space provided</t>
  </si>
  <si>
    <t>Hea 09 Microbial contamination</t>
  </si>
  <si>
    <t>Minimising risk of contamination: water systems</t>
  </si>
  <si>
    <t>Minimising risk of contamination: failsafe humidification</t>
  </si>
  <si>
    <t>Hea 10 Radon</t>
  </si>
  <si>
    <t>Prerequisite: Swedish Building Code Section 6:23</t>
  </si>
  <si>
    <t>Limit maximum levels of radon to 100 Bq/m3</t>
  </si>
  <si>
    <t>Limit maximum levels of radon to 60 Bq/m3</t>
  </si>
  <si>
    <t>ENERGY</t>
  </si>
  <si>
    <t>Ene 01 Reduction of energy use and carbon emissions</t>
  </si>
  <si>
    <t xml:space="preserve">Ene 01 Calculator </t>
  </si>
  <si>
    <t>Country of the UK where the building is located</t>
  </si>
  <si>
    <t>Confirm building regulation and version used:</t>
  </si>
  <si>
    <t>Predicted Building Energy Performance Index (PBEPI):</t>
  </si>
  <si>
    <t>Current Standards Building Energy Performance Index (CSBEPI):</t>
  </si>
  <si>
    <t>Percentage Improvement:</t>
  </si>
  <si>
    <t>Building floor area</t>
  </si>
  <si>
    <t>Improvement Factor</t>
  </si>
  <si>
    <t>Notional building heating and cooling energy demand</t>
  </si>
  <si>
    <t>Actual building heating and cooling energy demand</t>
  </si>
  <si>
    <t>Notional building primary energy consumption</t>
  </si>
  <si>
    <t>Actual building primary energy consumption</t>
  </si>
  <si>
    <t>Target emission rate (TER)</t>
  </si>
  <si>
    <t>Building emission rate improvement over TER</t>
  </si>
  <si>
    <r>
      <t>Heating &amp; cooling demand energy performance ratio (EPR</t>
    </r>
    <r>
      <rPr>
        <vertAlign val="subscript"/>
        <sz val="12"/>
        <color indexed="9"/>
        <rFont val="Calibri"/>
        <family val="2"/>
      </rPr>
      <t>DEM</t>
    </r>
    <r>
      <rPr>
        <sz val="12"/>
        <color indexed="9"/>
        <rFont val="Calibri"/>
        <family val="2"/>
      </rPr>
      <t>)</t>
    </r>
  </si>
  <si>
    <r>
      <t>Primary consumption energy performance ratio (EPR</t>
    </r>
    <r>
      <rPr>
        <vertAlign val="subscript"/>
        <sz val="12"/>
        <color indexed="9"/>
        <rFont val="Calibri"/>
        <family val="2"/>
      </rPr>
      <t>PC</t>
    </r>
    <r>
      <rPr>
        <sz val="12"/>
        <color indexed="9"/>
        <rFont val="Calibri"/>
        <family val="2"/>
      </rPr>
      <t>)</t>
    </r>
  </si>
  <si>
    <r>
      <t>CO</t>
    </r>
    <r>
      <rPr>
        <vertAlign val="subscript"/>
        <sz val="12"/>
        <color indexed="9"/>
        <rFont val="Calibri"/>
        <family val="2"/>
      </rPr>
      <t>2</t>
    </r>
    <r>
      <rPr>
        <sz val="12"/>
        <color indexed="9"/>
        <rFont val="Calibri"/>
        <family val="2"/>
      </rPr>
      <t xml:space="preserve"> Energy performance ratio (EPR</t>
    </r>
    <r>
      <rPr>
        <vertAlign val="subscript"/>
        <sz val="12"/>
        <color indexed="9"/>
        <rFont val="Calibri"/>
        <family val="2"/>
      </rPr>
      <t>CO2</t>
    </r>
    <r>
      <rPr>
        <sz val="12"/>
        <color indexed="9"/>
        <rFont val="Calibri"/>
        <family val="2"/>
      </rPr>
      <t>)</t>
    </r>
  </si>
  <si>
    <r>
      <t>Overall building energy performance ratio (EPR</t>
    </r>
    <r>
      <rPr>
        <vertAlign val="subscript"/>
        <sz val="12"/>
        <color indexed="9"/>
        <rFont val="Calibri"/>
        <family val="2"/>
      </rPr>
      <t>NC</t>
    </r>
    <r>
      <rPr>
        <sz val="12"/>
        <color indexed="9"/>
        <rFont val="Calibri"/>
        <family val="2"/>
      </rPr>
      <t>)</t>
    </r>
  </si>
  <si>
    <t>Number of BREEAM credits achieved</t>
  </si>
  <si>
    <t>Where specified, please confirm the energy production from onsite or near site energy generation technologies</t>
  </si>
  <si>
    <r>
      <t>kWh/m</t>
    </r>
    <r>
      <rPr>
        <vertAlign val="superscript"/>
        <sz val="12"/>
        <rFont val="Calibri"/>
        <family val="2"/>
      </rPr>
      <t>2</t>
    </r>
    <r>
      <rPr>
        <sz val="12"/>
        <rFont val="Calibri"/>
        <family val="2"/>
      </rPr>
      <t>yr</t>
    </r>
  </si>
  <si>
    <t>Note: this data is sourced from the Building Regulations Output Document (technical data sheet)</t>
  </si>
  <si>
    <t>Equivalent % of the building's ‘regulated’ energy consumption generated by carbon neutral sources and used to meet energy demand from ‘unregulated’ building systems or processes?</t>
  </si>
  <si>
    <t>Is the building designed to be 'carbon negative' ?</t>
  </si>
  <si>
    <t>If the building is defined as 'carbon negative' what is the total (modelled) renewable/carbon neutral energy generated and exported?</t>
  </si>
  <si>
    <t>Note: no credits are achieved where the BER is not an improvement on the TER.</t>
  </si>
  <si>
    <t>Ene 02a Energy monitoring</t>
  </si>
  <si>
    <t>Assessment criteria</t>
  </si>
  <si>
    <t>Sub-metering of major energy consuming systems</t>
  </si>
  <si>
    <t>Sub-metering of high energy load and tenancy areas</t>
  </si>
  <si>
    <t>Ene 02b Energy monitoring</t>
  </si>
  <si>
    <t>Ene 03 Energy efficient lighting</t>
  </si>
  <si>
    <t>External lighting specification</t>
  </si>
  <si>
    <t>Internal lighting specification</t>
  </si>
  <si>
    <t>Ene 04 Low carbon design</t>
  </si>
  <si>
    <t>Passive design analysis</t>
  </si>
  <si>
    <t>Free cooling</t>
  </si>
  <si>
    <t>Low and zero carbon technologies</t>
  </si>
  <si>
    <t>Percentage reduction in the building's CO2 emissions:</t>
  </si>
  <si>
    <t>Building meets criterion 18 (defined as 'True Zero Carbon')</t>
  </si>
  <si>
    <t>KPI - Low and/or zero carbon energy generation</t>
  </si>
  <si>
    <t>Total on-site and/or near-site LZC energy generation</t>
  </si>
  <si>
    <t>Ene 05 Energy efficient cold storage</t>
  </si>
  <si>
    <t>Energy efficient design, installation and commissioning:</t>
  </si>
  <si>
    <t>Energy efficient criteria:</t>
  </si>
  <si>
    <t>Indirect greenhouse gas emissions</t>
  </si>
  <si>
    <t>Ene 06 Energy efficient transportation systems</t>
  </si>
  <si>
    <t>Energy consumption</t>
  </si>
  <si>
    <t>Energy efficient features</t>
  </si>
  <si>
    <t>Ene 07 Energy efficient laboratory systems</t>
  </si>
  <si>
    <t>Pre-requisite: Criterion 1 of Hea 03 - risk assessment of laboratory facilities</t>
  </si>
  <si>
    <t xml:space="preserve">Design specification </t>
  </si>
  <si>
    <t>Design Specification- Containment Device Criteria</t>
  </si>
  <si>
    <t>Best Practice Energy Practices in Laboratories (table 27)</t>
  </si>
  <si>
    <t>Item b) Fan power</t>
  </si>
  <si>
    <t>Item c) Fume cupboard volume flow rates</t>
  </si>
  <si>
    <t xml:space="preserve">Item d) Grouping / isolation of high filtration/ventilation activities </t>
  </si>
  <si>
    <t xml:space="preserve">Item e) Energy recovery - heat </t>
  </si>
  <si>
    <t>Item f) Energy recovery - cooling</t>
  </si>
  <si>
    <t xml:space="preserve">Item g) Grouping of cooling loads </t>
  </si>
  <si>
    <t>Item h) Free cooling</t>
  </si>
  <si>
    <t>Item i) Load responsiveness</t>
  </si>
  <si>
    <t>Item j) Cleanrooms</t>
  </si>
  <si>
    <t>Item k) Diversity</t>
  </si>
  <si>
    <t>Item l) Room air-change rates</t>
  </si>
  <si>
    <t>Ene 08 Energy efficient equipment</t>
  </si>
  <si>
    <t>Present?</t>
  </si>
  <si>
    <t>Major impact</t>
  </si>
  <si>
    <t xml:space="preserve">Instruction: Please confirm the building function area/equipment present and whether it contributes to the 'significant majority' of the unregulated energy consumption in the building. </t>
  </si>
  <si>
    <t>Ref A Small power and plug in equipment</t>
  </si>
  <si>
    <t>Ref B Swimming pool</t>
  </si>
  <si>
    <t>Ref C Communal laundry</t>
  </si>
  <si>
    <t>Ref D Data centre</t>
  </si>
  <si>
    <t>Ref E IT-intensive operating areas</t>
  </si>
  <si>
    <t>Select</t>
  </si>
  <si>
    <t>Ref F Residential areas</t>
  </si>
  <si>
    <t>Ref G Healthcare</t>
  </si>
  <si>
    <t>Ref G Kitchen and catering facilities</t>
  </si>
  <si>
    <t>Compliant</t>
  </si>
  <si>
    <t>Significant majority contributors BREEAM compliant</t>
  </si>
  <si>
    <t>Ene 09 Drying space</t>
  </si>
  <si>
    <t>Is there a risk of ligature for residents?</t>
  </si>
  <si>
    <t>Residential internal/external drying space and fixings provided?</t>
  </si>
  <si>
    <t>TRANSPORT</t>
  </si>
  <si>
    <t xml:space="preserve">Tra 01 Public Transport Accessibility </t>
  </si>
  <si>
    <t>Building type category (for purpose of Tra01 issue assessment)</t>
  </si>
  <si>
    <t>Please select</t>
  </si>
  <si>
    <t>Public transport accessibility index</t>
  </si>
  <si>
    <t>Note: The Accessibility Index required for this assessment issue is sourced from the separate BREEAM Tra 01 calculator.</t>
  </si>
  <si>
    <t>Building dedicated bus service</t>
  </si>
  <si>
    <t>Tra 02 Proximity to Amenities</t>
  </si>
  <si>
    <t>Close proximity and accessible to applicable amenities</t>
  </si>
  <si>
    <t>Tra 03a Alternative modes of transport</t>
  </si>
  <si>
    <t>Building type category (for purpose of Tra03 issue assessment)</t>
  </si>
  <si>
    <t>Alternative provision option:</t>
  </si>
  <si>
    <t>Please Select</t>
  </si>
  <si>
    <t>Number of compliant cycle storage spaces provided</t>
  </si>
  <si>
    <t>Number of compliant electric recharging spaces provided</t>
  </si>
  <si>
    <t xml:space="preserve">Cyclist facilities provided </t>
  </si>
  <si>
    <t>Exemplary level: Second option implemented:</t>
  </si>
  <si>
    <t>Tra 03b Alternative modes of transport</t>
  </si>
  <si>
    <t>Tra 04 Maximum Car Parking Capacity</t>
  </si>
  <si>
    <t>Building type category</t>
  </si>
  <si>
    <t>Building's Accessibility Index (sourced from issue Tra01)</t>
  </si>
  <si>
    <t>Maximum parking capacity</t>
  </si>
  <si>
    <t>Tra 05 Travel Plan</t>
  </si>
  <si>
    <t>Transport plan based on site specific travel survey/assessment</t>
  </si>
  <si>
    <t>Tra 06 Home office</t>
  </si>
  <si>
    <t>WATER</t>
  </si>
  <si>
    <t>Wat 01 Water Consumption</t>
  </si>
  <si>
    <t>Note: The Wat01 data required for reporting purposes is sourced from the BREEAM-SE Wat01 Calculator.</t>
  </si>
  <si>
    <t>Please select the calculation procedure used</t>
  </si>
  <si>
    <t>Standard approach</t>
  </si>
  <si>
    <t>Components are not been specified and installed by the developer, but they will be specified by the tenant.</t>
  </si>
  <si>
    <t xml:space="preserve">Water Consumption from building micro-components </t>
  </si>
  <si>
    <t>Water demand met via greywater/rainwater sources</t>
  </si>
  <si>
    <t>Total net water consumption</t>
  </si>
  <si>
    <t>Improvement on baseline performance</t>
  </si>
  <si>
    <t>Key Performance Indicator - use of freshwater resource</t>
  </si>
  <si>
    <t xml:space="preserve">Total net Water Consumption </t>
  </si>
  <si>
    <t>Default building occupancy</t>
  </si>
  <si>
    <t xml:space="preserve">Overall microcomponent performance level achieved </t>
  </si>
  <si>
    <t>Baseline</t>
  </si>
  <si>
    <t>Please select:</t>
  </si>
  <si>
    <t>Wat 02 Water Monitoring</t>
  </si>
  <si>
    <t>Water meter on the mains water supply to the building(s)</t>
  </si>
  <si>
    <t>Metering/monitoring equipment on supply to plant/building areas</t>
  </si>
  <si>
    <t>Pulsed output or other open protocol communication output</t>
  </si>
  <si>
    <t>Existing BMS connection</t>
  </si>
  <si>
    <t>Wat 03 Water Leak Detection and Prevention</t>
  </si>
  <si>
    <t>Leak detection on building's mains water supply</t>
  </si>
  <si>
    <t>Flow control device to each sanitary area/facility</t>
  </si>
  <si>
    <t>Leak isolation</t>
  </si>
  <si>
    <t>Wat 04 Water Efficient Equipment</t>
  </si>
  <si>
    <t>Has a meaningful reduction in unregulated water demand been achieved?</t>
  </si>
  <si>
    <t>MATERIALS</t>
  </si>
  <si>
    <t>Mat 01 Life Cycle Impacts</t>
  </si>
  <si>
    <t>Note: The Mat01 data required for reporting purposes is sourced from BREEAM's Mat01 calculator.</t>
  </si>
  <si>
    <t>Percentage of BREEAM Mat 01 Calculator points achieved</t>
  </si>
  <si>
    <t>Total Mat01 credits achieved</t>
  </si>
  <si>
    <t>At least five products are covered by verified EPDs</t>
  </si>
  <si>
    <t>Exemplary level compliant?</t>
  </si>
  <si>
    <t>Has IMPACT compliant software been used?</t>
  </si>
  <si>
    <t>Key Performance Indicator - embodied green house gas emissions by element</t>
  </si>
  <si>
    <r>
      <t>Total area of element m</t>
    </r>
    <r>
      <rPr>
        <vertAlign val="superscript"/>
        <sz val="12"/>
        <color indexed="57"/>
        <rFont val="Calibri"/>
        <family val="2"/>
      </rPr>
      <t>2</t>
    </r>
  </si>
  <si>
    <r>
      <t>Total impact
kgCO</t>
    </r>
    <r>
      <rPr>
        <vertAlign val="subscript"/>
        <sz val="12"/>
        <color rgb="FF006666"/>
        <rFont val="Calibri"/>
        <family val="2"/>
      </rPr>
      <t>2</t>
    </r>
    <r>
      <rPr>
        <sz val="12"/>
        <color rgb="FF006666"/>
        <rFont val="Calibri"/>
        <family val="2"/>
      </rPr>
      <t xml:space="preserve"> eq.</t>
    </r>
  </si>
  <si>
    <r>
      <t>Area of element impact data relevant to m</t>
    </r>
    <r>
      <rPr>
        <vertAlign val="superscript"/>
        <sz val="12"/>
        <color indexed="57"/>
        <rFont val="Calibri"/>
        <family val="2"/>
      </rPr>
      <t>2</t>
    </r>
  </si>
  <si>
    <t>External walls</t>
  </si>
  <si>
    <t>Note: where the element is not present in the building (or it is present but does not require assessment using BREEAM) please insert "N/A" in each of the relevant cells. If the element is present and assessed using BREEAM but the impact data is not available and/or not reported please insert "INA", i.e. Indicator Not Assessed, in the 'total impact'  cell and 'area of the element that the reported impact data covers' cell . In such cases please continue to state the area of the element present as this is used to determine the proportion of the applicable building elements that the reported impact data covers.</t>
  </si>
  <si>
    <t>Windows</t>
  </si>
  <si>
    <t>Roof</t>
  </si>
  <si>
    <t>Upper floor construction</t>
  </si>
  <si>
    <t>Internal wall</t>
  </si>
  <si>
    <t>Floor finishes/coverings</t>
  </si>
  <si>
    <t>Key Performance Indicator - embodied green house gas emissions for building (assessed elements only)</t>
  </si>
  <si>
    <t>Total embodied green house gas emissions for building (by assessed elements)</t>
  </si>
  <si>
    <r>
      <t>kgCO</t>
    </r>
    <r>
      <rPr>
        <vertAlign val="subscript"/>
        <sz val="12"/>
        <rFont val="Calibri"/>
        <family val="2"/>
      </rPr>
      <t>2</t>
    </r>
    <r>
      <rPr>
        <sz val="12"/>
        <rFont val="Calibri"/>
        <family val="2"/>
      </rPr>
      <t xml:space="preserve"> eq.</t>
    </r>
  </si>
  <si>
    <r>
      <t>kgCO</t>
    </r>
    <r>
      <rPr>
        <vertAlign val="subscript"/>
        <sz val="12"/>
        <rFont val="Calibri"/>
        <family val="2"/>
      </rPr>
      <t>2</t>
    </r>
    <r>
      <rPr>
        <sz val="12"/>
        <rFont val="Calibri"/>
        <family val="2"/>
      </rPr>
      <t xml:space="preserve"> eq./m</t>
    </r>
    <r>
      <rPr>
        <vertAlign val="superscript"/>
        <sz val="12"/>
        <rFont val="Calibri"/>
        <family val="2"/>
      </rPr>
      <t>2</t>
    </r>
  </si>
  <si>
    <t>Proportion of applicable building elements that data reported covers</t>
  </si>
  <si>
    <t>Mat 02 Hard Landscaping and Boundary Protection</t>
  </si>
  <si>
    <t>External hard landscaping and boundary protection</t>
  </si>
  <si>
    <t>Mat 03 Responsible Sourcing</t>
  </si>
  <si>
    <t>Note: The Mat03 data required for reporting purposes is sourced from BREEAM's Mat03 calculator.</t>
  </si>
  <si>
    <t>All timber and timber based products are 'Legally harvested timber'</t>
  </si>
  <si>
    <t>Pre-requisite and minimum standard</t>
  </si>
  <si>
    <t>All timber and timber based products are 'Legally traded timber'</t>
  </si>
  <si>
    <t>Pre-requisite</t>
  </si>
  <si>
    <t>Documented sustainable procurement plan</t>
  </si>
  <si>
    <t>Percentage of available responsible sourcing of materials points achieved</t>
  </si>
  <si>
    <t>Please confirm the route used to assess Mat03</t>
  </si>
  <si>
    <t>Mat 04 Insulation</t>
  </si>
  <si>
    <t>Note: The Mat04 data required for reporting purposes is sourced from BREEAM's Mat04 calculator.</t>
  </si>
  <si>
    <t>Embodied impact - insulation index</t>
  </si>
  <si>
    <t>Mat 05 Designing for durability and resilience</t>
  </si>
  <si>
    <t>Protecting vulnerable parts of the building from damage</t>
  </si>
  <si>
    <t>Protecting exposed parts of the building from material degradation</t>
  </si>
  <si>
    <t>Mat 06 Material efficiency</t>
  </si>
  <si>
    <t>Material optimisation measures investigated and implemented at relevant stages</t>
  </si>
  <si>
    <t>Mat 07 Hazardous substances</t>
  </si>
  <si>
    <t>Logbook and phase out of hazardous substances:</t>
  </si>
  <si>
    <t>Building products and chemical producs</t>
  </si>
  <si>
    <t>Installation products</t>
  </si>
  <si>
    <t>Exemplary criteria within Table 41 and Table 43 achieved</t>
  </si>
  <si>
    <t>WASTE</t>
  </si>
  <si>
    <t>Wst 01 Construction Waste Management</t>
  </si>
  <si>
    <t>Construction resource efficiency</t>
  </si>
  <si>
    <t>Shell &amp; Core option?</t>
  </si>
  <si>
    <t>Targets set in for non-hazardous and hazardous waste produced on site</t>
  </si>
  <si>
    <t>Procedures are in place to minimise non-hazardous and hazardous waste</t>
  </si>
  <si>
    <t>Note: If data not available then insert "INA" (i.e. Indicator not assessed) in the relevant cell.</t>
  </si>
  <si>
    <t>Site construction waste is being monitored and targets regularly reviewed</t>
  </si>
  <si>
    <t>Management has nominated individual responsible for implementing the above</t>
  </si>
  <si>
    <t>Pre-demolition audit completed</t>
  </si>
  <si>
    <t>Amount of waste generated reported via BREEAM scoring tool</t>
  </si>
  <si>
    <t>Waste generated per 100m2  (m3 or tonnes)</t>
  </si>
  <si>
    <t>m3</t>
  </si>
  <si>
    <t>Above criteria met</t>
  </si>
  <si>
    <r>
      <t xml:space="preserve">Construction  waste sorted into </t>
    </r>
    <r>
      <rPr>
        <sz val="12"/>
        <color indexed="9"/>
        <rFont val="Arial"/>
        <family val="2"/>
      </rPr>
      <t>≥</t>
    </r>
    <r>
      <rPr>
        <sz val="10.8"/>
        <color indexed="9"/>
        <rFont val="Calibri"/>
        <family val="2"/>
      </rPr>
      <t>5 defined waste groups</t>
    </r>
  </si>
  <si>
    <t>Diversion of resources from landfill</t>
  </si>
  <si>
    <t>Non hazardous construction and demolition waste diverted from landfill</t>
  </si>
  <si>
    <t>number for lookup benchmarks</t>
  </si>
  <si>
    <t>Distribution of non hazardous waste</t>
  </si>
  <si>
    <r>
      <t>Level of waste diverted from landfill (in %, m</t>
    </r>
    <r>
      <rPr>
        <vertAlign val="superscript"/>
        <sz val="12"/>
        <color indexed="9"/>
        <rFont val="Calibri"/>
        <family val="2"/>
      </rPr>
      <t>3</t>
    </r>
    <r>
      <rPr>
        <sz val="12"/>
        <color indexed="9"/>
        <rFont val="Calibri"/>
        <family val="2"/>
      </rPr>
      <t xml:space="preserve"> per 100m</t>
    </r>
    <r>
      <rPr>
        <vertAlign val="superscript"/>
        <sz val="12"/>
        <color indexed="9"/>
        <rFont val="Calibri"/>
        <family val="2"/>
      </rPr>
      <t>2</t>
    </r>
    <r>
      <rPr>
        <sz val="12"/>
        <color indexed="9"/>
        <rFont val="Calibri"/>
        <family val="2"/>
      </rPr>
      <t xml:space="preserve"> or tonnes per 100m</t>
    </r>
    <r>
      <rPr>
        <vertAlign val="superscript"/>
        <sz val="12"/>
        <color indexed="9"/>
        <rFont val="Calibri"/>
        <family val="2"/>
      </rPr>
      <t>2</t>
    </r>
    <r>
      <rPr>
        <sz val="12"/>
        <color indexed="9"/>
        <rFont val="Calibri"/>
        <family val="2"/>
      </rPr>
      <t>)</t>
    </r>
  </si>
  <si>
    <t>m3/100m2</t>
  </si>
  <si>
    <t>Please select units</t>
  </si>
  <si>
    <t>Construction resource management plan</t>
  </si>
  <si>
    <t>Demolition taking place on site?</t>
  </si>
  <si>
    <t>Compliant Pre-demolition audit</t>
  </si>
  <si>
    <t>Does the excavation waste meet the exemplary level requirements?</t>
  </si>
  <si>
    <t>Key Performance Indicators - Construction Waste</t>
  </si>
  <si>
    <t>Measure/units for the data being reported</t>
  </si>
  <si>
    <t>Non-hazardous construction waste (excluding demolition/excavation)</t>
  </si>
  <si>
    <t>Total non-hazardous construction waste generated</t>
  </si>
  <si>
    <t>Non-hazardous non-demolition const. waste diverted from landfill</t>
  </si>
  <si>
    <t>Total non-hazardous non-demolition const. waste diverted from landfill</t>
  </si>
  <si>
    <t>Total non-hazardous demolition waste generated</t>
  </si>
  <si>
    <t>Non-hazardous demolition waste diverted from landfill</t>
  </si>
  <si>
    <t>Total non-hazardous demolition waste to disposal</t>
  </si>
  <si>
    <t>Material for reuse</t>
  </si>
  <si>
    <t>Material for recycling</t>
  </si>
  <si>
    <t>Material for energy recovery</t>
  </si>
  <si>
    <t>Hazardous waste to disposal</t>
  </si>
  <si>
    <t>Wst 02 Recycled Aggregates</t>
  </si>
  <si>
    <t>% high-grade aggregate provided by secondary or recycled aggregate</t>
  </si>
  <si>
    <t>Total % of high-grade aggregate that is recycled/secondary aggregate</t>
  </si>
  <si>
    <t xml:space="preserve"> % of aggregate that is recycled / secondary</t>
  </si>
  <si>
    <t>Total Quantity of Aggregate (Weight or Volume)</t>
  </si>
  <si>
    <t>Aggregate Included in Calculation</t>
  </si>
  <si>
    <t>Standard</t>
  </si>
  <si>
    <t>Exemplary</t>
  </si>
  <si>
    <t>Structural frame</t>
  </si>
  <si>
    <t>Note: The volume of recycled aggregate in a category is only included in the calculation of the total percentage recycle aggregate if that category meets the minimum level set out in table 54 of the manual.</t>
  </si>
  <si>
    <t>Bitumen/hydraulically bound base, binder and surface courses</t>
  </si>
  <si>
    <t>Building foundations</t>
  </si>
  <si>
    <t>Concrete road surfaces</t>
  </si>
  <si>
    <t>Note: If the application is not specified as part of the assessed building select "N/A" from the corresponding drop-down list in the cell. If it is present and contains no recycled/secondary aggregates then select 0%.</t>
  </si>
  <si>
    <t>Pipe bedding</t>
  </si>
  <si>
    <t>Granular fill and capping</t>
  </si>
  <si>
    <t>Exemplary level distance requirements achieved (criterion 4)</t>
  </si>
  <si>
    <t>Wst 03a Operational Waste</t>
  </si>
  <si>
    <t>Segregation and storage of operational recyclable waste volumes</t>
  </si>
  <si>
    <t>Static waste compactor(s) or baler(s)</t>
  </si>
  <si>
    <t>Vessel(s) for composting suitable organic waste</t>
  </si>
  <si>
    <t>Wst 03b Operational Waste</t>
  </si>
  <si>
    <t>Adequate internal and external recycling space/bins</t>
  </si>
  <si>
    <t>Provision of facilities for composting or anaerobic digestion</t>
  </si>
  <si>
    <t>Wst 04 Speculative Floor and Ceiling Finishes</t>
  </si>
  <si>
    <t>Wst 05 Adaption to climate change</t>
  </si>
  <si>
    <t>Adaption to climate change - structural and fabric resilience</t>
  </si>
  <si>
    <t>Exemplary level - responding to adaptation to climate change</t>
  </si>
  <si>
    <t>Wst 06 Functional adaptability</t>
  </si>
  <si>
    <t>Functional adaptability</t>
  </si>
  <si>
    <t>LAND USE &amp; ECOLOGY</t>
  </si>
  <si>
    <t>LE 01 Site Selection</t>
  </si>
  <si>
    <t>Percentage of footprint on previously occupied land</t>
  </si>
  <si>
    <t>Contaminated land</t>
  </si>
  <si>
    <t>LE 02 Ecological Value of Site and Protection of Ecological Features</t>
  </si>
  <si>
    <t>Ecological value of the land defined using</t>
  </si>
  <si>
    <t>The BREEAM-SE checklist (Table 47)</t>
  </si>
  <si>
    <t>Land of low ecological value</t>
  </si>
  <si>
    <t>Protection of ecological features</t>
  </si>
  <si>
    <t>LE 03 Mitigating Ecological Impact</t>
  </si>
  <si>
    <t>Data sourced for calculating the change in ecological value from</t>
  </si>
  <si>
    <t>Change in ecological value</t>
  </si>
  <si>
    <t>Note: the change in ecological value is sourced from BREEAM's LE03/LE04 calculator.</t>
  </si>
  <si>
    <t>LE 04 Enhancing Site Ecology</t>
  </si>
  <si>
    <t xml:space="preserve">Ecology report with recommendations provided by Suitably Qualified Ecologist (SQE) </t>
  </si>
  <si>
    <t>Percentage of recommendations that have been/will be implemented</t>
  </si>
  <si>
    <t>LE 05 Long Term Impact on Biodiversity</t>
  </si>
  <si>
    <t>SQE confirms compliance with legislation on protection and enhancement of ecology</t>
  </si>
  <si>
    <t>Landscape and habitat management plan</t>
  </si>
  <si>
    <t>Number of applicable measures</t>
  </si>
  <si>
    <t>Number of applicable measures implemented</t>
  </si>
  <si>
    <t>POLLUTION</t>
  </si>
  <si>
    <t>Pol 01 Impact of Refrigerants</t>
  </si>
  <si>
    <t>Refrigerant containing systems installed in the assessed building</t>
  </si>
  <si>
    <t>Prerequisite: relevant standards met and ozone depleting potential of zero</t>
  </si>
  <si>
    <t>Global Warming Potential of the specified refrigerant(s) 10 or less</t>
  </si>
  <si>
    <r>
      <t>Total Direct Effect Life Cycle CO</t>
    </r>
    <r>
      <rPr>
        <vertAlign val="subscript"/>
        <sz val="12"/>
        <color indexed="9"/>
        <rFont val="Calibri"/>
        <family val="2"/>
      </rPr>
      <t>2</t>
    </r>
    <r>
      <rPr>
        <sz val="12"/>
        <color indexed="9"/>
        <rFont val="Calibri"/>
        <family val="2"/>
      </rPr>
      <t>eq. emissions from the system</t>
    </r>
  </si>
  <si>
    <t>Cooling/Heating capacity of the system</t>
  </si>
  <si>
    <t>BREEAM compliant refrigerant leak detection and containment</t>
  </si>
  <si>
    <r>
      <t>Pol 02 NO</t>
    </r>
    <r>
      <rPr>
        <b/>
        <vertAlign val="subscript"/>
        <sz val="12"/>
        <color rgb="FF006666"/>
        <rFont val="Calibri"/>
        <family val="2"/>
      </rPr>
      <t>x</t>
    </r>
    <r>
      <rPr>
        <b/>
        <sz val="12"/>
        <color rgb="FF006666"/>
        <rFont val="Calibri"/>
        <family val="2"/>
      </rPr>
      <t xml:space="preserve"> Emissions</t>
    </r>
  </si>
  <si>
    <t>Nox Emission Levels for Heating and Hot Water in Office areas</t>
  </si>
  <si>
    <r>
      <t>NO</t>
    </r>
    <r>
      <rPr>
        <vertAlign val="subscript"/>
        <sz val="12"/>
        <color indexed="9"/>
        <rFont val="Calibri"/>
        <family val="2"/>
      </rPr>
      <t>x</t>
    </r>
    <r>
      <rPr>
        <sz val="12"/>
        <color indexed="9"/>
        <rFont val="Calibri"/>
        <family val="2"/>
      </rPr>
      <t xml:space="preserve"> emission level - space heating</t>
    </r>
  </si>
  <si>
    <r>
      <t>NO</t>
    </r>
    <r>
      <rPr>
        <vertAlign val="subscript"/>
        <sz val="12"/>
        <color indexed="9"/>
        <rFont val="Calibri"/>
        <family val="2"/>
      </rPr>
      <t>x</t>
    </r>
    <r>
      <rPr>
        <sz val="12"/>
        <color indexed="9"/>
        <rFont val="Calibri"/>
        <family val="2"/>
      </rPr>
      <t xml:space="preserve"> emission level - cooling</t>
    </r>
  </si>
  <si>
    <t>NOx emission level - water heating</t>
  </si>
  <si>
    <t>Does this building meet BREEAM's definition of a highly insulated building?</t>
  </si>
  <si>
    <t>Energy consumption: heating and hot water</t>
  </si>
  <si>
    <t>Energy consumption: cooling</t>
  </si>
  <si>
    <r>
      <t>Direct NO</t>
    </r>
    <r>
      <rPr>
        <sz val="8"/>
        <color theme="0"/>
        <rFont val="Calibri"/>
        <family val="2"/>
        <scheme val="minor"/>
      </rPr>
      <t>x</t>
    </r>
    <r>
      <rPr>
        <sz val="12"/>
        <color theme="0"/>
        <rFont val="Calibri"/>
        <family val="2"/>
        <scheme val="minor"/>
      </rPr>
      <t xml:space="preserve"> emissions</t>
    </r>
  </si>
  <si>
    <t>Note: Direct and indirext Nox emissions from several systems should be calculated using the method in the method section in the manual.</t>
  </si>
  <si>
    <r>
      <t>Indirect NO</t>
    </r>
    <r>
      <rPr>
        <sz val="8"/>
        <color theme="0"/>
        <rFont val="Calibri"/>
        <family val="2"/>
        <scheme val="minor"/>
      </rPr>
      <t>x</t>
    </r>
    <r>
      <rPr>
        <sz val="12"/>
        <color theme="0"/>
        <rFont val="Calibri"/>
        <family val="2"/>
        <scheme val="minor"/>
      </rPr>
      <t xml:space="preserve"> emissions</t>
    </r>
  </si>
  <si>
    <t>Pol 03 Surface Water Run off</t>
  </si>
  <si>
    <t>Annual probability of flooding</t>
  </si>
  <si>
    <t>Surface water run off – peak rate</t>
  </si>
  <si>
    <t>Surface water run off – volume, attenuation and/or limiting discharge</t>
  </si>
  <si>
    <t>Minimising watercourse pollution</t>
  </si>
  <si>
    <t>Single dwellings only - Surface water run-off criteria</t>
  </si>
  <si>
    <t>Pol 04 Reduction of Night Time Light Pollution</t>
  </si>
  <si>
    <t>Pol 05 Noise Attenuation</t>
  </si>
  <si>
    <t>Communal HVAC systems specified/installed</t>
  </si>
  <si>
    <t>Noise-sensitive areas/buildings within 800m radius of the development</t>
  </si>
  <si>
    <t>Noise impact assessment and, if applicable, noise attenuation measures</t>
  </si>
  <si>
    <t>INNOVATION</t>
  </si>
  <si>
    <t>Inn 01 Innovation</t>
  </si>
  <si>
    <t>Mat01 Life Cycle Impacts</t>
  </si>
  <si>
    <t>Mat03 Responsible Sourcing of Materials</t>
  </si>
  <si>
    <t>Wst01 Construction Waste Management</t>
  </si>
  <si>
    <t>Wst02 Recycled Aggregates</t>
  </si>
  <si>
    <t>Number of 'approved' innovation credits achieved?</t>
  </si>
  <si>
    <t>Options</t>
  </si>
  <si>
    <t>Drop-down %</t>
  </si>
  <si>
    <t>Shell only options</t>
  </si>
  <si>
    <t>Credit numbers</t>
  </si>
  <si>
    <t>kWh</t>
  </si>
  <si>
    <t>kWh/MSEK</t>
  </si>
  <si>
    <r>
      <t>KgCO</t>
    </r>
    <r>
      <rPr>
        <vertAlign val="subscript"/>
        <sz val="11"/>
        <color indexed="8"/>
        <rFont val="Calibri"/>
        <family val="2"/>
      </rPr>
      <t>2</t>
    </r>
    <r>
      <rPr>
        <sz val="11"/>
        <color theme="1"/>
        <rFont val="Calibri"/>
        <family val="2"/>
        <scheme val="minor"/>
      </rPr>
      <t>eq /MSEK</t>
    </r>
  </si>
  <si>
    <r>
      <t>KgCO</t>
    </r>
    <r>
      <rPr>
        <vertAlign val="subscript"/>
        <sz val="11"/>
        <color indexed="8"/>
        <rFont val="Calibri"/>
        <family val="2"/>
      </rPr>
      <t>2</t>
    </r>
    <r>
      <rPr>
        <sz val="11"/>
        <color theme="1"/>
        <rFont val="Calibri"/>
        <family val="2"/>
        <scheme val="minor"/>
      </rPr>
      <t>eq /km</t>
    </r>
  </si>
  <si>
    <t>Error</t>
  </si>
  <si>
    <t>KgCO2eq</t>
  </si>
  <si>
    <t>Missing data</t>
  </si>
  <si>
    <t>m3/MSEK</t>
  </si>
  <si>
    <t>Target</t>
  </si>
  <si>
    <t>Litres of fuel</t>
  </si>
  <si>
    <t>km</t>
  </si>
  <si>
    <t>Litres/km</t>
  </si>
  <si>
    <r>
      <t>µg/m</t>
    </r>
    <r>
      <rPr>
        <vertAlign val="superscript"/>
        <sz val="11"/>
        <color indexed="8"/>
        <rFont val="Calibri"/>
        <family val="2"/>
      </rPr>
      <t>3</t>
    </r>
  </si>
  <si>
    <t>L/person/day</t>
  </si>
  <si>
    <t>Data Validation Options for HEA06 to allow prison options</t>
  </si>
  <si>
    <r>
      <t>m</t>
    </r>
    <r>
      <rPr>
        <vertAlign val="superscript"/>
        <sz val="11"/>
        <color indexed="8"/>
        <rFont val="Calibri"/>
        <family val="2"/>
      </rPr>
      <t>3</t>
    </r>
    <r>
      <rPr>
        <sz val="11"/>
        <color theme="1"/>
        <rFont val="Calibri"/>
        <family val="2"/>
        <scheme val="minor"/>
      </rPr>
      <t>/person/yr</t>
    </r>
  </si>
  <si>
    <r>
      <t>m</t>
    </r>
    <r>
      <rPr>
        <vertAlign val="superscript"/>
        <sz val="11"/>
        <color indexed="8"/>
        <rFont val="Calibri"/>
        <family val="2"/>
      </rPr>
      <t>3</t>
    </r>
    <r>
      <rPr>
        <sz val="11"/>
        <color theme="1"/>
        <rFont val="Calibri"/>
        <family val="2"/>
        <scheme val="minor"/>
      </rPr>
      <t>/100m2</t>
    </r>
  </si>
  <si>
    <t>tonnes/100m2</t>
  </si>
  <si>
    <t>volume</t>
  </si>
  <si>
    <t>tonnes</t>
  </si>
  <si>
    <t>Country List</t>
  </si>
  <si>
    <r>
      <t>m</t>
    </r>
    <r>
      <rPr>
        <vertAlign val="superscript"/>
        <sz val="11"/>
        <color indexed="8"/>
        <rFont val="Calibri"/>
        <family val="2"/>
      </rPr>
      <t>3</t>
    </r>
  </si>
  <si>
    <t>Option 1: Shell only</t>
  </si>
  <si>
    <t>INA</t>
  </si>
  <si>
    <t>Option 2: Shell and core</t>
  </si>
  <si>
    <t>Plant species richness</t>
  </si>
  <si>
    <t>kgCO2eq/kW coolth capacity</t>
  </si>
  <si>
    <t>kW</t>
  </si>
  <si>
    <t>m3/yr</t>
  </si>
  <si>
    <t>Version List</t>
  </si>
  <si>
    <t>kWh/m2 yr</t>
  </si>
  <si>
    <t>Wales Part L2A 2014</t>
  </si>
  <si>
    <t>Northern Ireland Part F2 2012</t>
  </si>
  <si>
    <t>England Part L2A 2013</t>
  </si>
  <si>
    <t xml:space="preserve">Scotland List </t>
  </si>
  <si>
    <t>Scotland Section 6 2010</t>
  </si>
  <si>
    <t>Scotland Section 6 2015</t>
  </si>
  <si>
    <t>Select below</t>
  </si>
  <si>
    <t>Options for LE05 management plan</t>
  </si>
  <si>
    <t>Management plan not required</t>
  </si>
  <si>
    <t>Minimum standards verifier</t>
  </si>
  <si>
    <t>Outstanding level</t>
  </si>
  <si>
    <t>Outstanding</t>
  </si>
  <si>
    <t>Pass 
(level 1)</t>
  </si>
  <si>
    <t>Good
(level 2)</t>
  </si>
  <si>
    <t>VG
(level 3)</t>
  </si>
  <si>
    <t>Exc
Level 4)</t>
  </si>
  <si>
    <t>Outs
(level 5</t>
  </si>
  <si>
    <t>Level 
achieved</t>
  </si>
  <si>
    <t>Excellent level</t>
  </si>
  <si>
    <t>Excellent</t>
  </si>
  <si>
    <t>Man03</t>
  </si>
  <si>
    <t>Very Good level</t>
  </si>
  <si>
    <t>Very Good</t>
  </si>
  <si>
    <t>Man 04</t>
  </si>
  <si>
    <t>Good level</t>
  </si>
  <si>
    <t>Good</t>
  </si>
  <si>
    <t>Man 05</t>
  </si>
  <si>
    <t>Pass level</t>
  </si>
  <si>
    <t>Pass</t>
  </si>
  <si>
    <t>Hea 01</t>
  </si>
  <si>
    <t>Criterion 1</t>
  </si>
  <si>
    <t>Minimum standards not met for certification</t>
  </si>
  <si>
    <t>Unclassified</t>
  </si>
  <si>
    <t>Hea 06</t>
  </si>
  <si>
    <t>2 (IAD) resi</t>
  </si>
  <si>
    <t>Hea 08</t>
  </si>
  <si>
    <t>Hea 09</t>
  </si>
  <si>
    <t>Ene01</t>
  </si>
  <si>
    <t>Ene02</t>
  </si>
  <si>
    <t>Ene 04</t>
  </si>
  <si>
    <t>Wat01</t>
  </si>
  <si>
    <t>Wat02</t>
  </si>
  <si>
    <t>Criterion1</t>
  </si>
  <si>
    <t>Mat03</t>
  </si>
  <si>
    <t>Wst01</t>
  </si>
  <si>
    <t>Wst03</t>
  </si>
  <si>
    <t>Minimum standard level</t>
  </si>
  <si>
    <t>BREEAM rating level</t>
  </si>
  <si>
    <t>Minimum standard level same or better than rating level</t>
  </si>
  <si>
    <t>Statements</t>
  </si>
  <si>
    <t>Note: For  assessments of healthcare buildings, construction site management criterion number 9 (EMS) must be achieved to award any credits for this assessment issue.</t>
  </si>
  <si>
    <t>Note: Compliance with the criteria and award of this credit is a minimum standard for achieving the BREEAM Excellent and Outstanding ratings.</t>
  </si>
  <si>
    <t xml:space="preserve">Instruction: Please provide details of the BREEAM Accredited Professional in the project team  section of the Assessment Details page. </t>
  </si>
  <si>
    <t>Note: This version of the Ene 01 Calculator does not include domestic translators for the selected country. Therefore it will not be possible to determine the number of BREEAM credits for this multi-residential project at this time. Please contact BRE for further advice.</t>
  </si>
  <si>
    <t>Note: Although the EPRnc achieved exceeds the benchmark level required to award 12 credits, the building has not achieved the 100% improvement on the TER, i.e.it is not a zero net CO2 emissions building, required to award all 12 BREEAM credits for Ene01.</t>
  </si>
  <si>
    <t>Note: Although the individual EPRnc performance levels for both non-domestic and domestic building areas achieves 12 credits, the building as a whole has not achieved the 100% improvement on the TER, i.e.it is not a zero net CO2 emissions building, required to award a total of 12 BREEAM credits for Ene01.</t>
  </si>
  <si>
    <t>Instruction: You have stated the building is not compliant, but awarded credits, please rectify.</t>
  </si>
  <si>
    <t>Note: This credit is not applicable to prison buildings.</t>
  </si>
  <si>
    <t>Note: This credit does not apply to industrial buildings with no office space.</t>
  </si>
  <si>
    <t>Note: You have stated in the building and project details tab that the assessed building has no office or laboratory space or fume cupboards, therefore this issue is not applicable to the assessment.</t>
  </si>
  <si>
    <t>Instruction: If thermal modelling has not been undertaken or has not resulted in a PMV/PPD output, then insert "INA" (Indicator Not Assessed) in the relevant cell(s).</t>
  </si>
  <si>
    <t>Note: You have stated in the building and project details tab that the assessed building is an industrial building with no office space, therefore this issue does not require assessment.</t>
  </si>
  <si>
    <t>Note: Compliance with this criteria is a minimum standard for achieving any BREEAM rating level (it is not necessary to achieve the credit to comply with the minimum standards).</t>
  </si>
  <si>
    <t>Note: where the assessed development does not have external site areas the safe access criteria does not apply. In such instances, the two credits can be awarded for compliance with the inclusive and accessible design criteria.</t>
  </si>
  <si>
    <t>Note: the first credit within the BREEAM issue Hea 04 Thermal comfort has not been achieved, therefore the free cooling credit is not achievable.</t>
  </si>
  <si>
    <t>Instruction: If no energy generation from LZC, please state zero in the relevant KPI cell.</t>
  </si>
  <si>
    <t>Instruction: Please confirm the energy source for the specified LZC system</t>
  </si>
  <si>
    <t>Note: The sixth credit for commissioning in issue Man 01 must be achieved in order to award the first credit for Ene 05.</t>
  </si>
  <si>
    <t>Note: The first Ene 05 credit must be achieved before this credit can be awarded.</t>
  </si>
  <si>
    <t>Note: You have stated in the building and project details tab that the assessed building does not have any commercial/industrial refrigeration and storage systems; therefore this issue is not applicable to the assessment.</t>
  </si>
  <si>
    <t>Note: You have stated in the building and project details tab that the assessed building does not have building user transportation systems (lifts and/or escalators); therefore this issue is not applicable to the assessment.</t>
  </si>
  <si>
    <t>Note: The first credit in Ene06 must be achieved before the second credit can be awarded.</t>
  </si>
  <si>
    <t>Note: You have stated in the building and project details tab that the assessed building does not have any laboratory areas and/or fume cupboards, therefore this issue is not applicable to the assessment.</t>
  </si>
  <si>
    <t>Note: Compliance with the laboratory fume cupboards and containment areas criteria 17 and 18 in issue Hea 02 Indoor air quality is required to award the first credit in this issue.</t>
  </si>
  <si>
    <t>Note: You have stated in the building and project details tab that the assessed building does not have any fume cupboards, therefore this credit is not applicable to the assessment.</t>
  </si>
  <si>
    <t>Note: This criteria is not applicable to the building type you have selected.</t>
  </si>
  <si>
    <t>Note: Where fume cupboards are present the BREEAM credit  concerning their specification must be achieved in order to achieve any of the available credits for best practice energy practices in laboratories.</t>
  </si>
  <si>
    <t xml:space="preserve">Instruction: If residential areas is the only 'significant majority' contributor then please confirm whether the equipment is compliant with criteria F1 and F2 or criterion F3. Where F3, only one credit can be awarded. </t>
  </si>
  <si>
    <t>Error: please change "Yes" to "No" if function area/equipment not present.</t>
  </si>
  <si>
    <t>Instruction: You have confirmed compliance but not stated which function areas/equipment are present and/or which make-up the significant majority, please confirm as appropriate or withhold the available credits.</t>
  </si>
  <si>
    <t>Note:  This issue is not applicable to the building type and/or sub-building type selected in the Assessment Details page.</t>
  </si>
  <si>
    <t>Note: A credit for a dedicated bus service is only available where the building has not achieved any credits for it public transport accessibility index (refer to the technical guide for further detail).</t>
  </si>
  <si>
    <t>Instruction: the building type category must be defined for both BREEAM issues Tra 01 and Tra 03 to calculate the total number of credits available for the transport section and therefore issue contribution to overall score.</t>
  </si>
  <si>
    <t>Note: This issue is not applicable to assessments of prison buildings.</t>
  </si>
  <si>
    <t>Instruction: If the building is non-compliant please award zero credits.</t>
  </si>
  <si>
    <t>Instruction: If the building is compliant then award the appropriate number of BREEAM credits in the relevant cell.</t>
  </si>
  <si>
    <t xml:space="preserve">Instruction: Please select the building type category (below) to define the number of credits available. </t>
  </si>
  <si>
    <t>See note</t>
  </si>
  <si>
    <t>Note: The credit available for cyclist facilities cannot be awarded if the building does not have the requisite number of cycle storage spaces</t>
  </si>
  <si>
    <t>Instruction: If selecting shell only option 4 then you must change the relevant assessment criteria "compliant" option from "yes" to "no".</t>
  </si>
  <si>
    <t>Note: This issue is not applicable for the building type category you have defined (in issue Tra 01)</t>
  </si>
  <si>
    <t>Instruction: The building type defined here is based on that selected above for issue Tra 03 (or if assessing a healthcare building, Tra 01 and Tra 03). If you have not selected a type from Tra 03 (and Tra 01 where applicable), then you will need to do so before assessing this issue.</t>
  </si>
  <si>
    <t>Note: You have stated in the Assessment Details tab that the assessed building does not have unregulated water uses (e.g.internal or external planting and/or soft landscaping or a vehicle wash system) therefore this issue is not applicable to the assessment.</t>
  </si>
  <si>
    <t>Note: Where a vehicle wash system is specified/installed, compliance with the 'minimising risk of contamination' criteria in assessment issue Hea 04 is required in order to award the available credit for compliant water efficient equipment.</t>
  </si>
  <si>
    <t>Instruction: Please delete the number of points from the cell if the element is not assessed/present or less than 80% of element is responsibly sourced.</t>
  </si>
  <si>
    <t>Note: An insulation index the same as or greater than 2.5 is required to achieve this credit.</t>
  </si>
  <si>
    <t>Note: at least 80% of the Insulating materials must be responsibly sourced to achieve this credit.</t>
  </si>
  <si>
    <t>Note: At the design stage this will be a target benchmark or estimation, if/where reported in the SWMP. Where data not available enter "INA" in the relevant cell.</t>
  </si>
  <si>
    <t>Note: At the design stage of assessment this figure is estimated based on the target benchmark reported above.</t>
  </si>
  <si>
    <t xml:space="preserve">Instruction: For the post-construction stage review/assessment the data entered will be the actual construction waste volume/tonnes, as sourced from the SWMP summary datasheets or equivalent monitoring records/report  </t>
  </si>
  <si>
    <t>Note: At the design stage of assessment the percentages will most likely be based on targets, confirmed using documentation that describes the intended source of the recycled/secondary aggregates and that the required amount (to achieve the quoted percentages) can be provided.</t>
  </si>
  <si>
    <t>Instruction: if the specification of the additional operational waste facility/facilities is not applicable due to the absence or lack of a consistent volume of the appropriate waste stream(s) then select "N/A".</t>
  </si>
  <si>
    <t>Note: This  issue is applicable to the assessment of office buildings only (and does not apply to shell only office building assessments).</t>
  </si>
  <si>
    <t>Note: If none of the additional criteria apply, as confirmed by the Suitably Qualified Ecologist, the credits are awarded on the basis of compliance with the mandatory criteria.</t>
  </si>
  <si>
    <t>Instruction: For speculative buildings, if the building is designed to be fully naturally ventilated and therefore no 'refrigerant using' building services or systems will be specified for the fit out, then confirm "no" accordingly. Alternatively, or if not known, state "yes". Where stating yes, the assessment is then relying on one of the shell only options to commit the future tenant to either, not specify refrigerants or, specify refrigerants and refrigerant containing plant compliant to the level required for the credits sought.</t>
  </si>
  <si>
    <t>Note: You have stated in the building projects and details tab that the assessed building is an industrial unit with no office areas and an untreated (not cooled or heated) operational area, as such this issue is not applicable.</t>
  </si>
  <si>
    <t>Instruction: If the NOx level for water heating is not known/reported then please insert the letters "INA" in the relevant cell. If, in accordance with the relevant compliance note in the technical guide, the water heating benchmark is not applicable to the assessed building, please insert the letters "N/A" in the cell, or alternatively enter the NOx emission level if it is known.</t>
  </si>
  <si>
    <t>Instruction: If the building meets the definition of a 'highly insulated building' and the NOx emission level is low enough to claim more than one BREEAM credit, then select the "N/A" option from the drop-down list against the option for defining the building as a 'highly insulated building'. The reporting tool will then award the credits on the basis of the NOx emission level entered. If you select "yes" from the drop-down list against the option for defining the building as a 'highly insulated building' then only a single credit can be awarded, in accordance with the compliance note 'Highly insulated building'.</t>
  </si>
  <si>
    <t>Instruction: If there are there no noise-sensitive areas/buildings within 800m radius of the development then no shell and core option is required i.e. select/leave the 'N/A' option.</t>
  </si>
  <si>
    <t>Instruction: Please reference the BREEAM Innovation application reference numbers alongside other applicable evidential references in the 'Assessment References' worksheet.</t>
  </si>
  <si>
    <t>Note: The  maximum number of BREEAM credits that can be awarded for innovation is capped at 10.</t>
  </si>
  <si>
    <t>Information not available at design stage</t>
  </si>
  <si>
    <t>Indicator not applicable</t>
  </si>
  <si>
    <t>Indicator not assessed</t>
  </si>
  <si>
    <t>Instruction: Invalid option selection, please re-try</t>
  </si>
  <si>
    <t>Assessment issue not applicable</t>
  </si>
  <si>
    <t>Flood Risk Assessment</t>
  </si>
  <si>
    <t xml:space="preserve">Flood Risk Assessment and ground level of the building and access </t>
  </si>
  <si>
    <t>Instruction: You have awarded more credits than are available for this issue, please amend.</t>
  </si>
  <si>
    <t>Note: The data required for this assessment issue is sourced from the separate BREEAM Pol 01 calculator.</t>
  </si>
  <si>
    <t>Note: The energy consumption for heating or heating and cooling (where cooling specified) is sourced from the approved software's Building Regulations Output Document  (technical data sheet). This information is used to report the KPI for total NOx emissions, it is not required to award the available BREEAM credits (insert "INA" if not known).</t>
  </si>
  <si>
    <t>Instruction: If the GWP of the specified refrigerants is 10 or less then two credits are awarded. For the purpose of reporting key building impacts the DELC calculation and cooling capacity of the system is still required (calculated using the separate Pol01 calculator), alternatively state "INA", i.e. Indicator Not Assessed, in the relevant cells.</t>
  </si>
  <si>
    <r>
      <t>Instruction: If the total Direct Effect Life Cycle CO</t>
    </r>
    <r>
      <rPr>
        <vertAlign val="subscript"/>
        <sz val="11"/>
        <color indexed="8"/>
        <rFont val="Calibri"/>
        <family val="2"/>
      </rPr>
      <t>2</t>
    </r>
    <r>
      <rPr>
        <sz val="11"/>
        <color theme="1"/>
        <rFont val="Calibri"/>
        <family val="2"/>
        <scheme val="minor"/>
      </rPr>
      <t>eq. emissions from the system have not been calculated state "INA", i.e. Indicator Not Assessed, in the relevant cells.</t>
    </r>
  </si>
  <si>
    <t>Note: Selecting shell  and core  option 2 for any of the criteria will result in only half the achieved credits being awarded regardless of the shell and core options selected for the other criteria.</t>
  </si>
  <si>
    <t>Note: Selecting shell  and core option 4 for any of the criteria will result in zero credits being awarded regardless of the shell and core options selected for the other criteria.</t>
  </si>
  <si>
    <t>See instruction</t>
  </si>
  <si>
    <t>Note: You have stated that the cycle storage spaces are compliant but entered no figure or zero in the box above for the number of compliant cycle storage spaces provided, please clarify.</t>
  </si>
  <si>
    <t>Note: you have stated that cyclist facilities are compliant but not defined the cyclist facilities provided, please clarify.</t>
  </si>
  <si>
    <t>Instruction: Please insert the relevant number of credits achieved in the appropriate cell (as indicated).</t>
  </si>
  <si>
    <r>
      <t>Note: Data for the Ene 01 Calculator for non-domestic buildings is sourced from the Building Regulations Output Document from the approved software (in the technical data sheet in the 'Energy &amp; CO</t>
    </r>
    <r>
      <rPr>
        <vertAlign val="subscript"/>
        <sz val="11"/>
        <color indexed="8"/>
        <rFont val="Calibri"/>
        <family val="2"/>
      </rPr>
      <t>2 E</t>
    </r>
    <r>
      <rPr>
        <sz val="11"/>
        <color theme="1"/>
        <rFont val="Calibri"/>
        <family val="2"/>
        <scheme val="minor"/>
      </rPr>
      <t>missions Summary' table). Please note that the Energy &amp; CO</t>
    </r>
    <r>
      <rPr>
        <vertAlign val="subscript"/>
        <sz val="11"/>
        <color indexed="8"/>
        <rFont val="Calibri"/>
        <family val="2"/>
      </rPr>
      <t>2</t>
    </r>
    <r>
      <rPr>
        <sz val="11"/>
        <color theme="1"/>
        <rFont val="Calibri"/>
        <family val="2"/>
        <scheme val="minor"/>
      </rPr>
      <t xml:space="preserve"> Emissions Summary uses the term 'Indicative Target' instead of 'Notional'.</t>
    </r>
  </si>
  <si>
    <t>Note: The relevant data for the domestic building areas is sourced from the SAP Datasheet from the approved software. This data must first be entered in to the 'Ene01 Supplementary Calculator for Multi-Residential Buildings Using SAP' to convert to the outputs required for the purposes of the BREEAM assessment. Once converted by the supplementary calculator the relevant data should be entered in to the boxes opposite.</t>
  </si>
  <si>
    <t>Note: Where both SBEM (Non-Domestic) and SAP (Domestic) outputs are used, the total credits achieved is determined by area weighting the credits achieved for the domestic and non-domestic performance of the building. The area weighted totals are then added together and round down to the nearest whole credit. Where applicable, the same method of area weighting is applied to the percentage improvement on the building's Target Emission Rate. The area weighted credits is used to determine compliance with the Ene01 minimum standards.</t>
  </si>
  <si>
    <t>Instruction: If the building is designed to be 'carbon negative' then you should  enter 100% in the box opposite. If the percentage is less than 100% then the building is not defined as 'carbon negative'.</t>
  </si>
  <si>
    <t>SBEM only</t>
  </si>
  <si>
    <t>SAP only</t>
  </si>
  <si>
    <t>SBEM and SAP</t>
  </si>
  <si>
    <t>Note: To achieve the second credit for appointing a BREEAM Accredited professional the first credit for a BREEAM AP appointment must first be achieved. The third credit for appointing a BREEAM AP can be awarded independently of the first two credits.</t>
  </si>
  <si>
    <t>To achieved the credit available for compliance with criteria 23-24 (data collection and aftercare) the building must comply with and achieve the credit for criteria 22 (seasonal commissioning).</t>
  </si>
  <si>
    <t>Note: To achieve the second credit available for LCC the first credit must also be achieved.</t>
  </si>
  <si>
    <t>Note: To achieve the third credit available for LCC both the first and second credit must be achieved.</t>
  </si>
  <si>
    <t>Note: To award the second credit the first credit must also be achieved.</t>
  </si>
  <si>
    <t>Note: Hea02 criterion 1 (indoor air quality plan) must be complied with in order to achieve the available credit for VOC's compliance.</t>
  </si>
  <si>
    <t>Note: the change in ecological value is sourced from BREEAM's LE03/LE04 calculator</t>
  </si>
  <si>
    <t>Instruction: If the building has not specified mechanical cooling then insert zero in the 'NOx emission level - cooling' box. If cooling is, or will be specified then enter the NOx emissions level for the system. If heating and cooling is provided by the same system then pro-rata the overall NOx emissions according to modelled heating/cooling demand in the building and enter the relevant values in each box.</t>
  </si>
  <si>
    <t>Note: Credits for this issue are determined on the basis of NOx emissions from space heating systems only, and for some building types space and water heating systems. However, where cooling is specified information on the performance of the cooling system is required for the purposes of reporting and benchmarking.</t>
  </si>
  <si>
    <t>Note: Please ensure you reference the unique ID number provided by the online BREEAM Ene01 Compliance Checker in the Assessment References section of your report.</t>
  </si>
  <si>
    <t>Note: Buildings in Greater London - Transport for London hosts a Planning Information Database that allows users to search for a specific London location by street name, co-ordinates or postcode and then calculate the Accessibility Index (AI) for that location. 
The Total AI is confirmed for the Point of Interest (POI) within the Summary Report, which can be downloaded and used as evidence of compliance for the assessed building. Go to: www.webptals.org.uk</t>
  </si>
  <si>
    <r>
      <t>MJ/m</t>
    </r>
    <r>
      <rPr>
        <vertAlign val="superscript"/>
        <sz val="11"/>
        <rFont val="Calibri"/>
        <family val="2"/>
      </rPr>
      <t xml:space="preserve">2 </t>
    </r>
    <r>
      <rPr>
        <sz val="11"/>
        <rFont val="Calibri"/>
        <family val="2"/>
      </rPr>
      <t>yr</t>
    </r>
  </si>
  <si>
    <r>
      <t>kWh/m</t>
    </r>
    <r>
      <rPr>
        <vertAlign val="superscript"/>
        <sz val="11"/>
        <rFont val="Calibri"/>
        <family val="2"/>
      </rPr>
      <t xml:space="preserve">2 </t>
    </r>
    <r>
      <rPr>
        <sz val="11"/>
        <rFont val="Calibri"/>
        <family val="2"/>
      </rPr>
      <t>yr</t>
    </r>
  </si>
  <si>
    <r>
      <t>kgCO</t>
    </r>
    <r>
      <rPr>
        <vertAlign val="subscript"/>
        <sz val="11"/>
        <rFont val="Calibri"/>
        <family val="2"/>
      </rPr>
      <t>2</t>
    </r>
    <r>
      <rPr>
        <sz val="11"/>
        <rFont val="Calibri"/>
        <family val="2"/>
      </rPr>
      <t>/m</t>
    </r>
    <r>
      <rPr>
        <vertAlign val="superscript"/>
        <sz val="11"/>
        <rFont val="Calibri"/>
        <family val="2"/>
      </rPr>
      <t xml:space="preserve">2 </t>
    </r>
    <r>
      <rPr>
        <sz val="11"/>
        <rFont val="Calibri"/>
        <family val="2"/>
      </rPr>
      <t>yr</t>
    </r>
  </si>
  <si>
    <r>
      <t>m</t>
    </r>
    <r>
      <rPr>
        <vertAlign val="superscript"/>
        <sz val="11"/>
        <rFont val="Calibri"/>
        <family val="2"/>
      </rPr>
      <t>2</t>
    </r>
  </si>
  <si>
    <t>Note: the first Man 04 credit must be achieved before the second and the third credits can be awarded.</t>
  </si>
  <si>
    <t>Man01 data</t>
  </si>
  <si>
    <t>MAN 03 Scoring</t>
  </si>
  <si>
    <t>Man 05 shell only &amp; shell &amp; core Scoring</t>
  </si>
  <si>
    <t>Considerate Constructors Scheme</t>
  </si>
  <si>
    <t>Scheme not listed as compliant</t>
  </si>
  <si>
    <t>CCS certification not achieved</t>
  </si>
  <si>
    <t>No scheme used on project</t>
  </si>
  <si>
    <t>A CCS score between 25 and 34</t>
  </si>
  <si>
    <t>A CCS score between 35 and 39</t>
  </si>
  <si>
    <t>A CCS score of 40 or more</t>
  </si>
  <si>
    <t>Man 04 shell only Scoring</t>
  </si>
  <si>
    <t>fitted and SnCore</t>
  </si>
  <si>
    <t>Shell Only</t>
  </si>
  <si>
    <t>Man 04 3rd cr: Commissioning of building fabric</t>
  </si>
  <si>
    <t>Hea03 data</t>
  </si>
  <si>
    <t>HEA05 Data</t>
  </si>
  <si>
    <t>Hea05 Scoring</t>
  </si>
  <si>
    <t>Hea 01 Scoring</t>
  </si>
  <si>
    <t>Hea04 data</t>
  </si>
  <si>
    <t>Ene01 data</t>
  </si>
  <si>
    <t>Ene 01 Calculator version</t>
  </si>
  <si>
    <t>SENE01 Percentage Improvement:</t>
  </si>
  <si>
    <t>Non-Residential</t>
  </si>
  <si>
    <t>Stage 1</t>
  </si>
  <si>
    <t>Stage 2</t>
  </si>
  <si>
    <t>Stage 3</t>
  </si>
  <si>
    <t>Percentage</t>
  </si>
  <si>
    <t>Proportion actual/notional</t>
  </si>
  <si>
    <t>Non-domestic: Unweighted EPR</t>
  </si>
  <si>
    <t>Weighted EPR</t>
  </si>
  <si>
    <t>Minimum standards checker</t>
  </si>
  <si>
    <t>Minimum Standards BREEAM Rating level achieved</t>
  </si>
  <si>
    <t>Building performance proportion, x-value</t>
  </si>
  <si>
    <t>y-value on translator curve</t>
  </si>
  <si>
    <t>Non-domestic translator curve generator, n</t>
  </si>
  <si>
    <t>Non Dom Scotland Notional</t>
  </si>
  <si>
    <t>Non-domestic, SBEM</t>
  </si>
  <si>
    <t>(Non-domestic, SBEM)</t>
  </si>
  <si>
    <t>Scale weights: Non-domestic</t>
  </si>
  <si>
    <t>EPR (Non-domestic, SBEM)</t>
  </si>
  <si>
    <t>Non-domestic, SBEM only minimum standards checker</t>
  </si>
  <si>
    <t>Demand</t>
  </si>
  <si>
    <t>Exc check</t>
  </si>
  <si>
    <t>Ene 01 Country-specific results</t>
  </si>
  <si>
    <t>Consumption</t>
  </si>
  <si>
    <t>Out checks</t>
  </si>
  <si>
    <r>
      <t>Heating and cooling demand energy performance ratio (EPR</t>
    </r>
    <r>
      <rPr>
        <vertAlign val="subscript"/>
        <sz val="12"/>
        <rFont val="Calibri"/>
        <family val="2"/>
      </rPr>
      <t>DEM</t>
    </r>
    <r>
      <rPr>
        <sz val="12"/>
        <rFont val="Calibri"/>
        <family val="2"/>
      </rPr>
      <t>)</t>
    </r>
  </si>
  <si>
    <t>CO2</t>
  </si>
  <si>
    <t>12 credits min levels check</t>
  </si>
  <si>
    <r>
      <t>Primary consumption energy performance ratio (EPR</t>
    </r>
    <r>
      <rPr>
        <vertAlign val="subscript"/>
        <sz val="12"/>
        <rFont val="Calibri"/>
        <family val="2"/>
      </rPr>
      <t>PC</t>
    </r>
    <r>
      <rPr>
        <sz val="12"/>
        <rFont val="Calibri"/>
        <family val="2"/>
      </rPr>
      <t>)</t>
    </r>
  </si>
  <si>
    <t>Domestic: Unweighted EPR</t>
  </si>
  <si>
    <t>Stage 4</t>
  </si>
  <si>
    <t>Overall EPRnc</t>
  </si>
  <si>
    <r>
      <t>CO</t>
    </r>
    <r>
      <rPr>
        <vertAlign val="subscript"/>
        <sz val="12"/>
        <rFont val="Calibri"/>
        <family val="2"/>
      </rPr>
      <t>2</t>
    </r>
    <r>
      <rPr>
        <sz val="12"/>
        <rFont val="Calibri"/>
        <family val="2"/>
      </rPr>
      <t xml:space="preserve"> Energy performance ratio (EPR</t>
    </r>
    <r>
      <rPr>
        <vertAlign val="subscript"/>
        <sz val="12"/>
        <rFont val="Calibri"/>
        <family val="2"/>
      </rPr>
      <t>CO2</t>
    </r>
    <r>
      <rPr>
        <sz val="12"/>
        <rFont val="Calibri"/>
        <family val="2"/>
      </rPr>
      <t>)</t>
    </r>
  </si>
  <si>
    <t>Building performance proportion, x</t>
  </si>
  <si>
    <t>BREEAM credits (Non domestic, SBEM</t>
  </si>
  <si>
    <t>Innovation credits achieved</t>
  </si>
  <si>
    <r>
      <t>Overall building energy performance ratio (EPR</t>
    </r>
    <r>
      <rPr>
        <vertAlign val="subscript"/>
        <sz val="12"/>
        <rFont val="Calibri"/>
        <family val="2"/>
      </rPr>
      <t>NC</t>
    </r>
    <r>
      <rPr>
        <sz val="12"/>
        <rFont val="Calibri"/>
        <family val="2"/>
      </rPr>
      <t>)</t>
    </r>
  </si>
  <si>
    <t>Domestic translator curve generator, n</t>
  </si>
  <si>
    <t>Domestic, SAP</t>
  </si>
  <si>
    <t>(Domestic, SAP)</t>
  </si>
  <si>
    <t>Scale weights: Domestic</t>
  </si>
  <si>
    <t>EPR (Domestic, SAP)</t>
  </si>
  <si>
    <t>Domestic, SAP only minimum standards checker</t>
  </si>
  <si>
    <t>Ene 01 Check that BER less than TER</t>
  </si>
  <si>
    <t>Innovation credits available</t>
  </si>
  <si>
    <t>Translators: Non-domestic</t>
  </si>
  <si>
    <t>BREEAM credits (domestic, SAP)</t>
  </si>
  <si>
    <t>England - Part L2A 2013 base</t>
  </si>
  <si>
    <t>Wales - Part L2A 2014 Base</t>
  </si>
  <si>
    <t>Scotland - Section 6 2010 base</t>
  </si>
  <si>
    <t>Northern Ireland - Part F2 2012 base</t>
  </si>
  <si>
    <t>Scotland - Section 6 2015 base</t>
  </si>
  <si>
    <t>Results: where SBEM and SAP used</t>
  </si>
  <si>
    <t>SBEM and SAP minimum standards checker</t>
  </si>
  <si>
    <t>Uses lookup table</t>
  </si>
  <si>
    <t>Non-Domestic, SBEM related, area weighted credits</t>
  </si>
  <si>
    <t>Domestic, SAP related, area weighted credits</t>
  </si>
  <si>
    <t>Area weighted BREEAM credits (SBEM and SAP)</t>
  </si>
  <si>
    <t>Area weighted percentage improvement on notional building</t>
  </si>
  <si>
    <t>Weightings: Non-domestic</t>
  </si>
  <si>
    <t>Weightings: Domestic</t>
  </si>
  <si>
    <t>Scotland 2010</t>
  </si>
  <si>
    <t>NI</t>
  </si>
  <si>
    <t>Area weighted SBEM EPRNC</t>
  </si>
  <si>
    <t>Area weighted SAP EPRNC</t>
  </si>
  <si>
    <t>Area weighted EPRNC Totals</t>
  </si>
  <si>
    <t>Scotland 2015</t>
  </si>
  <si>
    <r>
      <t>EPR</t>
    </r>
    <r>
      <rPr>
        <b/>
        <vertAlign val="subscript"/>
        <sz val="11"/>
        <color indexed="8"/>
        <rFont val="Calibri"/>
        <family val="2"/>
      </rPr>
      <t>NC</t>
    </r>
  </si>
  <si>
    <t>Exemplary level scale</t>
  </si>
  <si>
    <t>Innovation credits</t>
  </si>
  <si>
    <t>Ene01 Minimum standards</t>
  </si>
  <si>
    <t>EPR</t>
  </si>
  <si>
    <t>% improvement</t>
  </si>
  <si>
    <t>Minimum for Excellent</t>
  </si>
  <si>
    <t>Minimum for Outstanding</t>
  </si>
  <si>
    <t>Minimum for 12 credits</t>
  </si>
  <si>
    <t>Carbon negative</t>
  </si>
  <si>
    <t>Translators - Domestic</t>
  </si>
  <si>
    <t>England - Part L1A 2014 base</t>
  </si>
  <si>
    <t>Wales - Part L1A 2014 Base</t>
  </si>
  <si>
    <t>NI - Part F2 2012 base</t>
  </si>
  <si>
    <t>N. Ireland - Domestic (SAP) translators for Multi-res</t>
  </si>
  <si>
    <t>Ene 01 Scotland - Lookup data</t>
  </si>
  <si>
    <t>Scotland - Demand data</t>
  </si>
  <si>
    <t>Scotland - Consumption data</t>
  </si>
  <si>
    <t>Scotland - CO2 data</t>
  </si>
  <si>
    <t>Demand: N Ireland</t>
  </si>
  <si>
    <t>Consumption: N Ireland</t>
  </si>
  <si>
    <t>Domestic</t>
  </si>
  <si>
    <t>x</t>
  </si>
  <si>
    <t>y</t>
  </si>
  <si>
    <t>Row number reference</t>
  </si>
  <si>
    <t>Non-domestic - Interpolation between values</t>
  </si>
  <si>
    <t>Domestic - Interpolation between values</t>
  </si>
  <si>
    <t>A/N ratio (x)</t>
  </si>
  <si>
    <t>DEM (y)</t>
  </si>
  <si>
    <t>CON (y)</t>
  </si>
  <si>
    <t>lower x,y values</t>
  </si>
  <si>
    <t>upper x,y values</t>
  </si>
  <si>
    <t>Interpolation x, y values</t>
  </si>
  <si>
    <t>Ene04 data</t>
  </si>
  <si>
    <t>Exemplary Credits</t>
  </si>
  <si>
    <t>Compliant LZC feasibility study</t>
  </si>
  <si>
    <t>Compliant renewable energy supply contract</t>
  </si>
  <si>
    <t>No compliant feasibility study or renewable energy supply contract</t>
  </si>
  <si>
    <t>Free cooling - credit not achievable (see note)</t>
  </si>
  <si>
    <t>Percentage credits:</t>
  </si>
  <si>
    <t>True zero carbon:</t>
  </si>
  <si>
    <t>Percentage net reduction in operational stage CO2 emissions</t>
  </si>
  <si>
    <t>Percentage net reduction in whole life cycle CO2 emissions</t>
  </si>
  <si>
    <t>Additional credits not achievable for above option selection</t>
  </si>
  <si>
    <t>Ene07 data</t>
  </si>
  <si>
    <t>ENE06</t>
  </si>
  <si>
    <t>b</t>
  </si>
  <si>
    <t>ENE06_04_tot</t>
  </si>
  <si>
    <t>c</t>
  </si>
  <si>
    <t>ENE06_02a_tot</t>
  </si>
  <si>
    <t>d</t>
  </si>
  <si>
    <t>e</t>
  </si>
  <si>
    <t>f</t>
  </si>
  <si>
    <t>g</t>
  </si>
  <si>
    <t>h</t>
  </si>
  <si>
    <t>i</t>
  </si>
  <si>
    <t>j</t>
  </si>
  <si>
    <t>k</t>
  </si>
  <si>
    <t>l</t>
  </si>
  <si>
    <t>Ene08 data</t>
  </si>
  <si>
    <t>ENE09 data</t>
  </si>
  <si>
    <t>Req. F1 &amp; F2</t>
  </si>
  <si>
    <t>ENE09</t>
  </si>
  <si>
    <t>Req. F3</t>
  </si>
  <si>
    <t>Tra01 data</t>
  </si>
  <si>
    <t>Max available</t>
  </si>
  <si>
    <t>AI</t>
  </si>
  <si>
    <t>Type 1</t>
  </si>
  <si>
    <t>Type 2</t>
  </si>
  <si>
    <t>Type 3</t>
  </si>
  <si>
    <t>Type 4</t>
  </si>
  <si>
    <t>Type 5</t>
  </si>
  <si>
    <t>Office, Industrial</t>
  </si>
  <si>
    <t>Long term residential institution</t>
  </si>
  <si>
    <t>Other building - Staffed</t>
  </si>
  <si>
    <t>Pre-school, School</t>
  </si>
  <si>
    <t>Higher Education - Off campus</t>
  </si>
  <si>
    <t>Higher Education - On campus</t>
  </si>
  <si>
    <t>Hotels and Short term residential institutions</t>
  </si>
  <si>
    <t>Other building - Visitors</t>
  </si>
  <si>
    <t xml:space="preserve">Rural location sensitive buildings </t>
  </si>
  <si>
    <t>Other buildings- Rural</t>
  </si>
  <si>
    <t>stage 1</t>
  </si>
  <si>
    <t>Residential dwellings</t>
  </si>
  <si>
    <t>Tra03 data</t>
  </si>
  <si>
    <t>Tra03a Options</t>
  </si>
  <si>
    <t>Tra03b Options</t>
  </si>
  <si>
    <t>Primary School</t>
  </si>
  <si>
    <t>Pre-school / crèche</t>
  </si>
  <si>
    <t>1. Improved local cycling network</t>
  </si>
  <si>
    <t>Secondary schools &amp; sixth form</t>
  </si>
  <si>
    <t>2. Improved local public transport service</t>
  </si>
  <si>
    <t>Further &amp; Higher Education</t>
  </si>
  <si>
    <t>3. Electric recharging stations</t>
  </si>
  <si>
    <t>Business - (office/Industrial)</t>
  </si>
  <si>
    <t>4. Car sharing</t>
  </si>
  <si>
    <t>4. Car club</t>
  </si>
  <si>
    <t>5. Cycle Storage</t>
  </si>
  <si>
    <t>5. Cycle Storage - 1 credit</t>
  </si>
  <si>
    <t>5. Cycle Storage and facilities</t>
  </si>
  <si>
    <t>5. Cycle Storage - 2 credits</t>
  </si>
  <si>
    <t>Student residences and key worker accommodation</t>
  </si>
  <si>
    <t>Sheltered housing, care home, supported housing/living facility</t>
  </si>
  <si>
    <t>Other Building - Staffed</t>
  </si>
  <si>
    <t>Other Building - Visitors</t>
  </si>
  <si>
    <t>Other Building - Rural</t>
  </si>
  <si>
    <t>Wat01 data</t>
  </si>
  <si>
    <t>Select level</t>
  </si>
  <si>
    <t>Alternative approach</t>
  </si>
  <si>
    <t>Level 1</t>
  </si>
  <si>
    <t>Level 2</t>
  </si>
  <si>
    <t>Building compliant with Wat01 criterion 6?</t>
  </si>
  <si>
    <t>Level 3</t>
  </si>
  <si>
    <t>Level 4</t>
  </si>
  <si>
    <t>Standard approach data</t>
  </si>
  <si>
    <t>Level 5</t>
  </si>
  <si>
    <t>Alternative approach data</t>
  </si>
  <si>
    <t>Alternative approach sub-total</t>
  </si>
  <si>
    <t>Alternative approach total</t>
  </si>
  <si>
    <t>Actual/equivalent % of flushing demand met using recycled non potable water</t>
  </si>
  <si>
    <t>% of rainwater run-off collected &amp; used to meet permissible demand</t>
  </si>
  <si>
    <t>% of waste water collected and recycled to meet permissible demand</t>
  </si>
  <si>
    <t>Mat01 data</t>
  </si>
  <si>
    <t>Type</t>
  </si>
  <si>
    <t>Courts</t>
  </si>
  <si>
    <t>Multi-residential</t>
  </si>
  <si>
    <t>Other buildings</t>
  </si>
  <si>
    <t>Mat03 data</t>
  </si>
  <si>
    <t>Standard level</t>
  </si>
  <si>
    <t>Route 1: Lowest RSCS point score</t>
  </si>
  <si>
    <t>Route 2: Proportion of materials responsibly sourced</t>
  </si>
  <si>
    <t>Route 3: Combination of routes</t>
  </si>
  <si>
    <t>Exemplary level</t>
  </si>
  <si>
    <t>Wst01 data</t>
  </si>
  <si>
    <t>First credit</t>
  </si>
  <si>
    <t>Waste diversion benchmarks</t>
  </si>
  <si>
    <t>Second credit</t>
  </si>
  <si>
    <t>Construction waste benchmarks</t>
  </si>
  <si>
    <t>Volume</t>
  </si>
  <si>
    <t>Tonnes</t>
  </si>
  <si>
    <t>Third credit</t>
  </si>
  <si>
    <t xml:space="preserve">Standard BREEAM credit benchmarks </t>
  </si>
  <si>
    <t>Non demolition</t>
  </si>
  <si>
    <t>Exemplary credit</t>
  </si>
  <si>
    <t>Demolition</t>
  </si>
  <si>
    <t>Excavation</t>
  </si>
  <si>
    <t>Exemplary level BREEAM credit calculation</t>
  </si>
  <si>
    <t>Standard BREEAM credit calculation</t>
  </si>
  <si>
    <t>Standard Result</t>
  </si>
  <si>
    <t>Exemp. level</t>
  </si>
  <si>
    <t>Exemp. Result</t>
  </si>
  <si>
    <t>Result</t>
  </si>
  <si>
    <t>Wst02 data</t>
  </si>
  <si>
    <t>Standard credits</t>
  </si>
  <si>
    <t>Total Quantity if above minimum standards</t>
  </si>
  <si>
    <t>Quantity Recycled if above minimum standards</t>
  </si>
  <si>
    <t>Overall project</t>
  </si>
  <si>
    <t>Bitumen or hydraulically bound base, binder, and surface courses for paved areas and roads</t>
  </si>
  <si>
    <t>Wst03 data</t>
  </si>
  <si>
    <t>Total Volume/Weight</t>
  </si>
  <si>
    <t>Operational waste facilities compliant with HTM 07-01</t>
  </si>
  <si>
    <t>A school recycling policy and outline of operational procedures</t>
  </si>
  <si>
    <t>Volume/Weight above minimum standards</t>
  </si>
  <si>
    <t>Volume/Weight Recycled</t>
  </si>
  <si>
    <t>Internal and, if applicable, communal storage &amp; home compost facilities</t>
  </si>
  <si>
    <t>Wst04 data</t>
  </si>
  <si>
    <t>Output % recycled/secondary</t>
  </si>
  <si>
    <t>Exemplary Output % recycled/secondary</t>
  </si>
  <si>
    <t>Occupant/tenant specification of floor and ceiling finishes</t>
  </si>
  <si>
    <t>Speculative floor and ceiling finishes are installed in a show area only</t>
  </si>
  <si>
    <t>Occupant/tenant specification, plus speculative finishes in show area</t>
  </si>
  <si>
    <t>No speculative floor or ceiling finishes are specified in the building</t>
  </si>
  <si>
    <t>Speculative floor and ceiling finishes are installed (i.e. non-compliant)</t>
  </si>
  <si>
    <t>Future occupants selected at least 3 of 4 specified floor, kitchen and bathroom finishes.</t>
  </si>
  <si>
    <t>LE02 data</t>
  </si>
  <si>
    <t>A Suitably Qualified Ecologist</t>
  </si>
  <si>
    <t>LE03 data</t>
  </si>
  <si>
    <t>Suitably Qualified Ecologist site survey of plant species</t>
  </si>
  <si>
    <t>Assessor's classification of broad habitat type(s) using BREEAM LE03/LE04 Checklist</t>
  </si>
  <si>
    <t>LE04 data</t>
  </si>
  <si>
    <t xml:space="preserve">Standard Calculation </t>
  </si>
  <si>
    <t>Takes into consideration CN 3.5</t>
  </si>
  <si>
    <t>Non Prison</t>
  </si>
  <si>
    <t>Prison</t>
  </si>
  <si>
    <t>LE05 data</t>
  </si>
  <si>
    <t>Applicable criteria check, OK?</t>
  </si>
  <si>
    <t>All buildings except prisons - additional criteria overall benchmarks</t>
  </si>
  <si>
    <t>Prison buildings - additional criteria overall benchmarks</t>
  </si>
  <si>
    <t>Applicable criteria</t>
  </si>
  <si>
    <t>Applicable criteria/Credits</t>
  </si>
  <si>
    <t>LE 05 Scoring</t>
  </si>
  <si>
    <t>Compliant criteria</t>
  </si>
  <si>
    <t>Prison buildings - applicable criteria benchmarks</t>
  </si>
  <si>
    <t>All buildings except prisons - applicable criteria benchmarks</t>
  </si>
  <si>
    <t>Pol01 data</t>
  </si>
  <si>
    <t>Credits (pt.1)</t>
  </si>
  <si>
    <t>Pol02 data</t>
  </si>
  <si>
    <t>Education, healthcare, multi-residential, prison building types and other residential</t>
  </si>
  <si>
    <t>Court, office, retail and other building type</t>
  </si>
  <si>
    <t>Heating</t>
  </si>
  <si>
    <t>Benchmark</t>
  </si>
  <si>
    <t>Applicable</t>
  </si>
  <si>
    <t>Achieved</t>
  </si>
  <si>
    <t>Office and associated areas (space heating &amp; cooling)</t>
  </si>
  <si>
    <t>Operational areas (space heating &amp; cooling)</t>
  </si>
  <si>
    <t xml:space="preserve">Space heating/cooling </t>
  </si>
  <si>
    <t>Water heating compliant</t>
  </si>
  <si>
    <t>Pol03 data</t>
  </si>
  <si>
    <t>Low</t>
  </si>
  <si>
    <t xml:space="preserve">Decrease in impermeable area of 50% (or more) </t>
  </si>
  <si>
    <t>Medium</t>
  </si>
  <si>
    <t>All run-off from the roof (rain up to 5mm) managed on site using source control methods</t>
  </si>
  <si>
    <t>High</t>
  </si>
  <si>
    <t>Assessment criterion 15 not achieved</t>
  </si>
  <si>
    <t>Floodplain</t>
  </si>
  <si>
    <t>Not defined</t>
  </si>
  <si>
    <t>No increase in impermeable surfaces</t>
  </si>
  <si>
    <t>Error checking (for Excel 2003)</t>
  </si>
  <si>
    <t>Additional run-off managed using appropriate SUDs techniques</t>
  </si>
  <si>
    <t>Man01_Tot</t>
  </si>
  <si>
    <t>Assessment criterion 16 not achieved</t>
  </si>
  <si>
    <t>Man02_Tot</t>
  </si>
  <si>
    <t>Man03_KPI09</t>
  </si>
  <si>
    <t>Man03_KPI14</t>
  </si>
  <si>
    <t>Man03_KPI11</t>
  </si>
  <si>
    <t>Man03_KPI16</t>
  </si>
  <si>
    <t>Man03_Tot</t>
  </si>
  <si>
    <t>Man04_Tot</t>
  </si>
  <si>
    <t>Man05_Tot</t>
  </si>
  <si>
    <t>Hea01_Tot</t>
  </si>
  <si>
    <t>Hea02_Tot</t>
  </si>
  <si>
    <t>Hea03_Tot</t>
  </si>
  <si>
    <t>Hea05_Tot</t>
  </si>
  <si>
    <t>Hea06_Tot</t>
  </si>
  <si>
    <t>Ene01_08</t>
  </si>
  <si>
    <t>Ene01_50</t>
  </si>
  <si>
    <t>Ene02_Tot</t>
  </si>
  <si>
    <t>Ene04_Tot</t>
  </si>
  <si>
    <t>Ene04_20</t>
  </si>
  <si>
    <t>Ene05_Tot</t>
  </si>
  <si>
    <t>Ene06_Tot</t>
  </si>
  <si>
    <t>Ene07_Tot</t>
  </si>
  <si>
    <t>Ene09_Tot</t>
  </si>
  <si>
    <t>Tra01_07</t>
  </si>
  <si>
    <t>Tra01_Tot</t>
  </si>
  <si>
    <t>Tra01_08</t>
  </si>
  <si>
    <t>Tra02_06</t>
  </si>
  <si>
    <t>Tra02_Tot</t>
  </si>
  <si>
    <t>Tra02_07</t>
  </si>
  <si>
    <t>Tra03_13</t>
  </si>
  <si>
    <t>Tra03_Tot</t>
  </si>
  <si>
    <t>Tra03b_tot</t>
  </si>
  <si>
    <t>Tra03_14</t>
  </si>
  <si>
    <t>Tra03b_14_err</t>
  </si>
  <si>
    <t>Tra04_09</t>
  </si>
  <si>
    <t>Tra04_Tot</t>
  </si>
  <si>
    <t>Tra04_10</t>
  </si>
  <si>
    <t>Tra05_04</t>
  </si>
  <si>
    <t>Tra05_05</t>
  </si>
  <si>
    <t>Wat01_Tot</t>
  </si>
  <si>
    <t>Wat01_15</t>
  </si>
  <si>
    <t>Wat04_Tot</t>
  </si>
  <si>
    <t>Mat03_03</t>
  </si>
  <si>
    <t>Mat03_05</t>
  </si>
  <si>
    <t>Wst01_Tot</t>
  </si>
  <si>
    <t>Wst01_17</t>
  </si>
  <si>
    <t>Wst02_Tot</t>
  </si>
  <si>
    <t>Wst04_Tot</t>
  </si>
  <si>
    <t>LE03_Tot</t>
  </si>
  <si>
    <t>Pol01_Tot</t>
  </si>
  <si>
    <t>Pol03_Tot</t>
  </si>
  <si>
    <t>Pol05_Tot</t>
  </si>
  <si>
    <t>Inn01_Tot</t>
  </si>
  <si>
    <t>Mat01 Exemp_1</t>
  </si>
  <si>
    <t>Mat01 Exemp_2</t>
  </si>
  <si>
    <t>Mat01 Exemp_tot</t>
  </si>
  <si>
    <t>Tra03_TransHub</t>
  </si>
  <si>
    <t>This is a legacy tab, no longer in use. Will be replaced by MACRO.</t>
  </si>
  <si>
    <t>No./Text</t>
  </si>
  <si>
    <t>Text</t>
  </si>
  <si>
    <t>No.</t>
  </si>
  <si>
    <t>Ene01 modelling data (SBEM or SAP): note where both SAP and SBEM are used on an assessed project this data relates to SBEM (non-dwellings) data only (the columns further on contain the SAP data)</t>
  </si>
  <si>
    <t>Ene01: note where both SAP and SBEM are used on an assessed project this data relates to SAP (non-dwellings) data.</t>
  </si>
  <si>
    <t>Equipment present</t>
  </si>
  <si>
    <t>Equipment defined as significant majority contributor</t>
  </si>
  <si>
    <t>Construction site management credit achieved</t>
  </si>
  <si>
    <t>Regulated energy consumption met via carbon neutral sources</t>
  </si>
  <si>
    <t>Energy modelling outputs used</t>
  </si>
  <si>
    <t>Area weighted percentage improvement on Target Emission Rate</t>
  </si>
  <si>
    <t>Credits achieved for SBEM modelled outputs (Where SAP and SBEM used)</t>
  </si>
  <si>
    <t>Credits achieved for SAP modelled outputs (Where SAP and SBEM used)</t>
  </si>
  <si>
    <t>Feasibility study</t>
  </si>
  <si>
    <t>Feasibility study credits achieved</t>
  </si>
  <si>
    <t>Percentage net reduction in CO2 emissions (for scoping period)</t>
  </si>
  <si>
    <t>Credits achieved for percentage net reduction in CO2 emissions (for scoping period)</t>
  </si>
  <si>
    <t>Free Cooling stategy</t>
  </si>
  <si>
    <t>Free Cooling strategy credits</t>
  </si>
  <si>
    <t>Calculation procedure used</t>
  </si>
  <si>
    <t>No. (credits)</t>
  </si>
  <si>
    <t>Text (compliant)</t>
  </si>
  <si>
    <t>No. (index)</t>
  </si>
  <si>
    <t>MJ/m2/annum</t>
  </si>
  <si>
    <t>kWh/m2/annum</t>
  </si>
  <si>
    <t>kgCO2/m2/annum</t>
  </si>
  <si>
    <t>Ratio</t>
  </si>
  <si>
    <t>Text (equipment present)</t>
  </si>
  <si>
    <t>Text (equipment a significant contributor)</t>
  </si>
  <si>
    <t>No. (Accessibility Index)</t>
  </si>
  <si>
    <t>Text (type)</t>
  </si>
  <si>
    <t>Documented Sustainable Procurement Plan?</t>
  </si>
  <si>
    <t>Route to compliance</t>
  </si>
  <si>
    <t>DELC based credits</t>
  </si>
  <si>
    <t>Flood risk credits achieved</t>
  </si>
  <si>
    <r>
      <t>m</t>
    </r>
    <r>
      <rPr>
        <vertAlign val="superscript"/>
        <sz val="10"/>
        <color indexed="8"/>
        <rFont val="Calibri"/>
        <family val="2"/>
      </rPr>
      <t>2</t>
    </r>
  </si>
  <si>
    <t>kgCO2eq</t>
  </si>
  <si>
    <t>Text (compliant?)</t>
  </si>
  <si>
    <t>Text (volume/percetnage)</t>
  </si>
  <si>
    <t>No. credits</t>
  </si>
  <si>
    <t>Text (confirmation)</t>
  </si>
  <si>
    <t>Text (risk level)</t>
  </si>
  <si>
    <t>Building name:</t>
  </si>
  <si>
    <t>Identifier</t>
  </si>
  <si>
    <t>Assessment Evidence Reference</t>
  </si>
  <si>
    <t>Assessment issue</t>
  </si>
  <si>
    <t>Issue criteria No. and/or compliance note</t>
  </si>
  <si>
    <t>Assessor's supporting notes/information</t>
  </si>
  <si>
    <t>e.g. Project A, First floor plan, rev05, 1/10/10. Supplied by F Fitzgerald (23/3/11)</t>
  </si>
  <si>
    <t>Wat 02</t>
  </si>
  <si>
    <t>e.g. 1</t>
  </si>
  <si>
    <t>e.g. Plan indicates location of water meter in plant room located in south-west corner of the building.</t>
  </si>
  <si>
    <t>e.g. See identifier 1</t>
  </si>
  <si>
    <t>Mat05</t>
  </si>
  <si>
    <t>e.g. 1 and 2c</t>
  </si>
  <si>
    <t>e.g. Plan indicates vehicle parking within 1m of north façade and the provision of barriers to protect  façade.</t>
  </si>
  <si>
    <t>Man01</t>
  </si>
  <si>
    <t>Man02</t>
  </si>
  <si>
    <t>Insert further rows if required.</t>
  </si>
  <si>
    <t>Man04</t>
  </si>
  <si>
    <t>Man05</t>
  </si>
  <si>
    <t>Man06</t>
  </si>
  <si>
    <t>Hea01</t>
  </si>
  <si>
    <t>Hea02</t>
  </si>
  <si>
    <t>Hea03</t>
  </si>
  <si>
    <t>Hea04</t>
  </si>
  <si>
    <t>Hea05</t>
  </si>
  <si>
    <t>Hea06</t>
  </si>
  <si>
    <t>Hea08</t>
  </si>
  <si>
    <t>Hea09</t>
  </si>
  <si>
    <t>Hea10</t>
  </si>
  <si>
    <t>Ene03</t>
  </si>
  <si>
    <t>Ene04</t>
  </si>
  <si>
    <t>Ene05</t>
  </si>
  <si>
    <t>Ene06</t>
  </si>
  <si>
    <t>Ene07</t>
  </si>
  <si>
    <t>Ene08</t>
  </si>
  <si>
    <t>Ene09</t>
  </si>
  <si>
    <t>Tra01</t>
  </si>
  <si>
    <t>Tra02</t>
  </si>
  <si>
    <t>Tra03</t>
  </si>
  <si>
    <t>Tra04</t>
  </si>
  <si>
    <t>Tra05</t>
  </si>
  <si>
    <t>Tra06</t>
  </si>
  <si>
    <t>Wat03</t>
  </si>
  <si>
    <t>Wat04</t>
  </si>
  <si>
    <t>Mat01</t>
  </si>
  <si>
    <t>Mat06</t>
  </si>
  <si>
    <t>Mat07</t>
  </si>
  <si>
    <t>Wst02</t>
  </si>
  <si>
    <t>Wst04</t>
  </si>
  <si>
    <t>Wst05</t>
  </si>
  <si>
    <t>Wst06</t>
  </si>
  <si>
    <t>LE01</t>
  </si>
  <si>
    <t>LE02</t>
  </si>
  <si>
    <t>LE04</t>
  </si>
  <si>
    <t>LE05</t>
  </si>
  <si>
    <t>Pol01</t>
  </si>
  <si>
    <t>Pol02</t>
  </si>
  <si>
    <t>Pol03</t>
  </si>
  <si>
    <t>Pol04</t>
  </si>
  <si>
    <t>Pol05</t>
  </si>
  <si>
    <t>Inn01</t>
  </si>
  <si>
    <t>Release Date</t>
  </si>
  <si>
    <t>Description of changes/additions made to the BREEAM-SE Assessment Scoring and Reporting Tool</t>
  </si>
  <si>
    <t>Current Version</t>
  </si>
  <si>
    <t>8.18</t>
  </si>
  <si>
    <t>Hea01 credits not dependent on Prerequisite for shell and core buildings
Hea 02: Fixed error with credits achieved for residential and retail. 
HEA 09: N/A for shell only</t>
  </si>
  <si>
    <t>Previous Versions</t>
  </si>
  <si>
    <t>8.17</t>
  </si>
  <si>
    <t>Fixed error with locked cells in page Assessment Details</t>
  </si>
  <si>
    <t>8.16</t>
  </si>
  <si>
    <t>Added in an option to filter out Pol 01 if there is no cooling in an industial building</t>
  </si>
  <si>
    <t>8.15</t>
  </si>
  <si>
    <t>Assessment Details: Replaced "Accredited Professional" with "Advisory Professional"</t>
  </si>
  <si>
    <t>8.14</t>
  </si>
  <si>
    <t>Hea05: Now available to receive 2 or 3 credits in Hea05 for shell and core projects.</t>
  </si>
  <si>
    <t>8.13</t>
  </si>
  <si>
    <t>Hea02: Issue with obtaining 3 credits for residential project is resolved</t>
  </si>
  <si>
    <t>8.12</t>
  </si>
  <si>
    <t>Le 04: Removed the two data entries about tax in richness*area of habitat type/site area before and after development</t>
  </si>
  <si>
    <t>8.11</t>
  </si>
  <si>
    <t>Man 03: Changed units from British pound to Swedish Kronor. Added notes of clarification for energy consumption
Pol 02: Added a new data entry for energy consumption: cooling</t>
  </si>
  <si>
    <t>8.10</t>
  </si>
  <si>
    <t>Hea 01: Residential, fixed error with awarding credits for Internal and external zoning levels, zoning and controls.</t>
  </si>
  <si>
    <t>8.9</t>
  </si>
  <si>
    <t>Tra 03a&amp;b: Added two rows of data required from assessor
Le 04: Added two data entries for the assessor
Man 02: Added clarification for the capital cost of the project. Removed the automatically assigned British Pund symbol.</t>
  </si>
  <si>
    <t>8.8</t>
  </si>
  <si>
    <t>Ene02a: Second point removed if the building type is pre-school, preliminary school or residential institution-long term stay</t>
  </si>
  <si>
    <t>8.7</t>
  </si>
  <si>
    <t>Man 06: Fixed error with greyed out comments section.
Hea 02: Fixed error with awarding credits for ventilation.</t>
  </si>
  <si>
    <t>8.6</t>
  </si>
  <si>
    <t>Assessor signature replaced with name of Assessor.</t>
  </si>
  <si>
    <t>8.5</t>
  </si>
  <si>
    <t>BRE assessement reference number changed to SGBC reference number.</t>
  </si>
  <si>
    <t>8. 4</t>
  </si>
  <si>
    <t>Assessment Issue scoring sheet: £ changed to SEK in Man 02.</t>
  </si>
  <si>
    <t>8.3</t>
  </si>
  <si>
    <t>Assessment Issue scoring sheet: Problem with Wst 02 is now fixed.</t>
  </si>
  <si>
    <t>8.2</t>
  </si>
  <si>
    <t>Assessment Details sheet: GIA is substituted for BTA and NIFA is substituted for LOA/BOA.</t>
  </si>
  <si>
    <t>8.1</t>
  </si>
  <si>
    <t>Assessment Issue scoring sheet: All comment boxes are now editable.
Ene 03: Fixed errors with awarding credits.</t>
  </si>
  <si>
    <t>8.0</t>
  </si>
  <si>
    <t>Tra 03a and Tra 03b: unprotected exemplary level input cell
Mat 03: Amended minimum standard so it only applies only to 'legally harvested' timber</t>
  </si>
  <si>
    <t>7.0</t>
  </si>
  <si>
    <t>Assessment Details: Changed 'BREEAM SE 2017 technical manual issue number' to 1.1 following re-issue
Hea 01: Clarified the Minimum standard for Hea 01 is not applicable to residential buildings, and for Shell only and Shell and core project types.
Ene 04: Corrected the Minimum standard formula so it is always applicable
Pol 02: Amended credits available from 3 credits to 2 credits.</t>
  </si>
  <si>
    <t>6.0</t>
  </si>
  <si>
    <t>Ene 02b: Removed the incorrectly applied minimum standard for residential buildings (applies to Ene 02a).
Wst 01: Unprotected input cell for confirming diversion of construction and demolition waste.
Wst 04: Fixed error with awarding credits.</t>
  </si>
  <si>
    <t>5.0</t>
  </si>
  <si>
    <t>XX/XX/2018</t>
  </si>
  <si>
    <t>Corrected the filtering of Tra 04 so it is included for retail buildings.</t>
  </si>
  <si>
    <t>4.0</t>
  </si>
  <si>
    <t>Amended conditional formatting so when an issue is filtered out of the assessment the credits available are displayed as N/A 
Man 06: Removed incorrect filtering of issue for shell only and shell and core projects. This issue applies to all project types.</t>
  </si>
  <si>
    <t>3.0</t>
  </si>
  <si>
    <t>Tra 02: Corrected number of credits available for Residential Institutions- short term stay from 2 credits to 1 credit</t>
  </si>
  <si>
    <t>2.0</t>
  </si>
  <si>
    <t>Fixed errors with formulas calculating total score</t>
  </si>
  <si>
    <t>1.0</t>
  </si>
  <si>
    <t>Release version</t>
  </si>
  <si>
    <t>8.20</t>
  </si>
  <si>
    <t>HEA 09: N/A for shell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</si>
</sst>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000"/>
    <numFmt numFmtId="165" formatCode="0.0%"/>
    <numFmt numFmtId="166" formatCode="0.000"/>
    <numFmt numFmtId="167" formatCode="0.00000"/>
    <numFmt numFmtId="168" formatCode="0.000000"/>
    <numFmt numFmtId="169" formatCode="0.0000000"/>
    <numFmt numFmtId="170" formatCode="0.0"/>
  </numFmts>
  <fonts count="98" x14ac:knownFonts="1">
    <font>
      <sz val="11"/>
      <color theme="1"/>
      <name val="Calibri"/>
      <family val="2"/>
      <scheme val="minor"/>
    </font>
    <font>
      <sz val="8"/>
      <color indexed="81"/>
      <name val="Tahoma"/>
      <family val="2"/>
    </font>
    <font>
      <vertAlign val="subscript"/>
      <sz val="11"/>
      <color indexed="8"/>
      <name val="Calibri"/>
      <family val="2"/>
    </font>
    <font>
      <vertAlign val="superscript"/>
      <sz val="11"/>
      <color indexed="8"/>
      <name val="Calibri"/>
      <family val="2"/>
    </font>
    <font>
      <b/>
      <sz val="8"/>
      <color indexed="81"/>
      <name val="Tahoma"/>
      <family val="2"/>
    </font>
    <font>
      <sz val="9"/>
      <color indexed="8"/>
      <name val="Calibri"/>
      <family val="2"/>
    </font>
    <font>
      <vertAlign val="subscript"/>
      <sz val="9"/>
      <color indexed="8"/>
      <name val="Calibri"/>
      <family val="2"/>
    </font>
    <font>
      <sz val="10"/>
      <color indexed="81"/>
      <name val="Tahoma"/>
      <family val="2"/>
    </font>
    <font>
      <vertAlign val="superscript"/>
      <sz val="10"/>
      <color indexed="8"/>
      <name val="Calibri"/>
      <family val="2"/>
    </font>
    <font>
      <b/>
      <sz val="12"/>
      <color indexed="8"/>
      <name val="Calibri"/>
      <family val="2"/>
    </font>
    <font>
      <sz val="12"/>
      <color indexed="8"/>
      <name val="Calibri"/>
      <family val="2"/>
    </font>
    <font>
      <sz val="12"/>
      <color indexed="57"/>
      <name val="Calibri"/>
      <family val="2"/>
    </font>
    <font>
      <sz val="12"/>
      <name val="Calibri"/>
      <family val="2"/>
    </font>
    <font>
      <vertAlign val="superscript"/>
      <sz val="12"/>
      <color indexed="9"/>
      <name val="Calibri"/>
      <family val="2"/>
    </font>
    <font>
      <vertAlign val="subscript"/>
      <sz val="12"/>
      <color indexed="8"/>
      <name val="Calibri"/>
      <family val="2"/>
    </font>
    <font>
      <vertAlign val="superscript"/>
      <sz val="12"/>
      <color indexed="57"/>
      <name val="Calibri"/>
      <family val="2"/>
    </font>
    <font>
      <sz val="12"/>
      <name val="Symbol"/>
      <family val="1"/>
      <charset val="2"/>
    </font>
    <font>
      <vertAlign val="subscript"/>
      <sz val="12"/>
      <name val="Calibri"/>
      <family val="2"/>
    </font>
    <font>
      <sz val="12"/>
      <color indexed="9"/>
      <name val="Calibri"/>
      <family val="2"/>
    </font>
    <font>
      <vertAlign val="subscript"/>
      <sz val="12"/>
      <color indexed="9"/>
      <name val="Calibri"/>
      <family val="2"/>
    </font>
    <font>
      <vertAlign val="superscript"/>
      <sz val="12"/>
      <name val="Calibri"/>
      <family val="2"/>
    </font>
    <font>
      <vertAlign val="superscript"/>
      <sz val="12"/>
      <color indexed="8"/>
      <name val="Calibri"/>
      <family val="2"/>
    </font>
    <font>
      <sz val="11"/>
      <name val="Calibri"/>
      <family val="2"/>
    </font>
    <font>
      <vertAlign val="superscript"/>
      <sz val="11"/>
      <name val="Calibri"/>
      <family val="2"/>
    </font>
    <font>
      <vertAlign val="subscript"/>
      <sz val="11"/>
      <name val="Calibri"/>
      <family val="2"/>
    </font>
    <font>
      <b/>
      <vertAlign val="subscript"/>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1"/>
      <color rgb="FFFF0000"/>
      <name val="Calibri"/>
      <family val="2"/>
      <scheme val="minor"/>
    </font>
    <font>
      <sz val="11"/>
      <name val="Calibri"/>
      <family val="2"/>
      <scheme val="minor"/>
    </font>
    <font>
      <b/>
      <sz val="12"/>
      <color theme="1"/>
      <name val="Calibri"/>
      <family val="2"/>
      <scheme val="minor"/>
    </font>
    <font>
      <i/>
      <sz val="11"/>
      <color rgb="FFFF0000"/>
      <name val="Calibri"/>
      <family val="2"/>
      <scheme val="minor"/>
    </font>
    <font>
      <sz val="11"/>
      <color theme="0" tint="-0.499984740745262"/>
      <name val="Calibri"/>
      <family val="2"/>
      <scheme val="minor"/>
    </font>
    <font>
      <i/>
      <sz val="10"/>
      <color rgb="FFFF0000"/>
      <name val="Arial"/>
      <family val="2"/>
    </font>
    <font>
      <sz val="12"/>
      <color theme="1"/>
      <name val="Calibri"/>
      <family val="2"/>
      <scheme val="minor"/>
    </font>
    <font>
      <sz val="12"/>
      <color rgb="FF406864"/>
      <name val="Calibri"/>
      <family val="2"/>
      <scheme val="minor"/>
    </font>
    <font>
      <b/>
      <sz val="12"/>
      <color rgb="FF406864"/>
      <name val="Calibri"/>
      <family val="2"/>
      <scheme val="minor"/>
    </font>
    <font>
      <sz val="11"/>
      <color rgb="FF406864"/>
      <name val="Calibri"/>
      <family val="2"/>
      <scheme val="minor"/>
    </font>
    <font>
      <b/>
      <sz val="12"/>
      <color rgb="FF3D6864"/>
      <name val="Calibri"/>
      <family val="2"/>
      <scheme val="minor"/>
    </font>
    <font>
      <i/>
      <sz val="11"/>
      <color theme="0" tint="-0.499984740745262"/>
      <name val="Calibri"/>
      <family val="2"/>
      <scheme val="minor"/>
    </font>
    <font>
      <b/>
      <sz val="11"/>
      <color rgb="FFFF0000"/>
      <name val="Calibri"/>
      <family val="2"/>
      <scheme val="minor"/>
    </font>
    <font>
      <sz val="10"/>
      <color theme="1"/>
      <name val="Calibri"/>
      <family val="2"/>
      <scheme val="minor"/>
    </font>
    <font>
      <sz val="11"/>
      <color theme="1"/>
      <name val="Verdana"/>
      <family val="2"/>
    </font>
    <font>
      <sz val="9"/>
      <color theme="1"/>
      <name val="Calibri"/>
      <family val="2"/>
      <scheme val="minor"/>
    </font>
    <font>
      <i/>
      <sz val="11"/>
      <color theme="1"/>
      <name val="Calibri"/>
      <family val="2"/>
      <scheme val="minor"/>
    </font>
    <font>
      <b/>
      <sz val="10"/>
      <color theme="1"/>
      <name val="Calibri"/>
      <family val="2"/>
      <scheme val="minor"/>
    </font>
    <font>
      <b/>
      <sz val="16"/>
      <color rgb="FF3D6864"/>
      <name val="Calibri"/>
      <family val="2"/>
      <scheme val="minor"/>
    </font>
    <font>
      <sz val="12"/>
      <color theme="0"/>
      <name val="Calibri"/>
      <family val="2"/>
      <scheme val="minor"/>
    </font>
    <font>
      <b/>
      <sz val="14"/>
      <color rgb="FF3D6864"/>
      <name val="Calibri"/>
      <family val="2"/>
      <scheme val="minor"/>
    </font>
    <font>
      <b/>
      <sz val="16"/>
      <color theme="0"/>
      <name val="Calibri"/>
      <family val="2"/>
      <scheme val="minor"/>
    </font>
    <font>
      <b/>
      <sz val="12"/>
      <color theme="0"/>
      <name val="Calibri"/>
      <family val="2"/>
      <scheme val="minor"/>
    </font>
    <font>
      <sz val="12"/>
      <name val="Calibri"/>
      <family val="2"/>
      <scheme val="minor"/>
    </font>
    <font>
      <sz val="12"/>
      <color rgb="FFFF0000"/>
      <name val="Calibri"/>
      <family val="2"/>
      <scheme val="minor"/>
    </font>
    <font>
      <i/>
      <sz val="12"/>
      <color theme="0" tint="-0.499984740745262"/>
      <name val="Calibri"/>
      <family val="2"/>
      <scheme val="minor"/>
    </font>
    <font>
      <i/>
      <sz val="12"/>
      <color rgb="FFFF0000"/>
      <name val="Calibri"/>
      <family val="2"/>
      <scheme val="minor"/>
    </font>
    <font>
      <i/>
      <sz val="12"/>
      <name val="Calibri"/>
      <family val="2"/>
      <scheme val="minor"/>
    </font>
    <font>
      <sz val="12"/>
      <color theme="1"/>
      <name val="Arial"/>
      <family val="2"/>
    </font>
    <font>
      <sz val="12"/>
      <color rgb="FF3D6864"/>
      <name val="Calibri"/>
      <family val="2"/>
      <scheme val="minor"/>
    </font>
    <font>
      <b/>
      <sz val="12"/>
      <color rgb="FFFF0000"/>
      <name val="Calibri"/>
      <family val="2"/>
    </font>
    <font>
      <b/>
      <sz val="12"/>
      <color rgb="FFFF0000"/>
      <name val="Calibri"/>
      <family val="2"/>
      <scheme val="minor"/>
    </font>
    <font>
      <sz val="12"/>
      <color theme="1"/>
      <name val="Calibri"/>
      <family val="2"/>
    </font>
    <font>
      <sz val="12"/>
      <color theme="0" tint="-0.14999847407452621"/>
      <name val="Calibri"/>
      <family val="2"/>
      <scheme val="minor"/>
    </font>
    <font>
      <sz val="12"/>
      <color theme="0" tint="-0.499984740745262"/>
      <name val="Calibri"/>
      <family val="2"/>
      <scheme val="minor"/>
    </font>
    <font>
      <b/>
      <sz val="12"/>
      <name val="Calibri"/>
      <family val="2"/>
      <scheme val="minor"/>
    </font>
    <font>
      <sz val="12"/>
      <color theme="0"/>
      <name val="Arial"/>
      <family val="2"/>
    </font>
    <font>
      <b/>
      <sz val="12"/>
      <color theme="0"/>
      <name val="Arial"/>
      <family val="2"/>
    </font>
    <font>
      <b/>
      <sz val="14"/>
      <color theme="0"/>
      <name val="Calibri"/>
      <family val="2"/>
      <scheme val="minor"/>
    </font>
    <font>
      <b/>
      <i/>
      <sz val="12"/>
      <color theme="0"/>
      <name val="Calibri"/>
      <family val="2"/>
      <scheme val="minor"/>
    </font>
    <font>
      <sz val="16"/>
      <color theme="0"/>
      <name val="Calibri"/>
      <family val="2"/>
      <scheme val="minor"/>
    </font>
    <font>
      <i/>
      <sz val="12"/>
      <color theme="0"/>
      <name val="Calibri"/>
      <family val="2"/>
      <scheme val="minor"/>
    </font>
    <font>
      <b/>
      <sz val="14"/>
      <color rgb="FF406864"/>
      <name val="Calibri"/>
      <family val="2"/>
      <scheme val="minor"/>
    </font>
    <font>
      <b/>
      <sz val="16"/>
      <color rgb="FF406864"/>
      <name val="Calibri"/>
      <family val="2"/>
      <scheme val="minor"/>
    </font>
    <font>
      <sz val="18"/>
      <color rgb="FFFF0000"/>
      <name val="Calibri"/>
      <family val="2"/>
      <scheme val="minor"/>
    </font>
    <font>
      <sz val="14"/>
      <color rgb="FFFF0000"/>
      <name val="Calibri"/>
      <family val="2"/>
      <scheme val="minor"/>
    </font>
    <font>
      <b/>
      <sz val="11"/>
      <name val="Calibri"/>
      <family val="2"/>
      <scheme val="minor"/>
    </font>
    <font>
      <sz val="12"/>
      <color rgb="FFFF0000"/>
      <name val="Calibri"/>
      <family val="2"/>
    </font>
    <font>
      <sz val="11"/>
      <color theme="1"/>
      <name val="Arial"/>
      <family val="2"/>
    </font>
    <font>
      <sz val="12"/>
      <color rgb="FF006666"/>
      <name val="Calibri"/>
      <family val="2"/>
      <scheme val="minor"/>
    </font>
    <font>
      <vertAlign val="subscript"/>
      <sz val="12"/>
      <color rgb="FF006666"/>
      <name val="Calibri"/>
      <family val="2"/>
    </font>
    <font>
      <sz val="12"/>
      <color rgb="FF006666"/>
      <name val="Calibri"/>
      <family val="2"/>
    </font>
    <font>
      <sz val="11"/>
      <color rgb="FF006666"/>
      <name val="Calibri"/>
      <family val="2"/>
      <scheme val="minor"/>
    </font>
    <font>
      <b/>
      <sz val="12"/>
      <color rgb="FF006666"/>
      <name val="Calibri"/>
      <family val="2"/>
      <scheme val="minor"/>
    </font>
    <font>
      <b/>
      <vertAlign val="subscript"/>
      <sz val="12"/>
      <color rgb="FF006666"/>
      <name val="Calibri"/>
      <family val="2"/>
    </font>
    <font>
      <b/>
      <sz val="12"/>
      <color rgb="FF006666"/>
      <name val="Calibri"/>
      <family val="2"/>
    </font>
    <font>
      <b/>
      <sz val="11"/>
      <color theme="8"/>
      <name val="Calibri"/>
      <family val="2"/>
      <scheme val="minor"/>
    </font>
    <font>
      <b/>
      <sz val="11"/>
      <color theme="3"/>
      <name val="Calibri"/>
      <family val="2"/>
      <scheme val="minor"/>
    </font>
    <font>
      <b/>
      <sz val="12"/>
      <color rgb="FF3D6864"/>
      <name val="Calibri"/>
      <family val="2"/>
    </font>
    <font>
      <sz val="12"/>
      <color rgb="FF3D6864"/>
      <name val="Calibri"/>
      <family val="2"/>
    </font>
    <font>
      <sz val="12"/>
      <color indexed="51"/>
      <name val="Calibri"/>
      <family val="2"/>
    </font>
    <font>
      <sz val="11"/>
      <color indexed="8"/>
      <name val="Arial"/>
      <family val="2"/>
    </font>
    <font>
      <sz val="12"/>
      <color indexed="9"/>
      <name val="Arial"/>
      <family val="2"/>
    </font>
    <font>
      <sz val="10.8"/>
      <color indexed="9"/>
      <name val="Calibri"/>
      <family val="2"/>
    </font>
    <font>
      <b/>
      <sz val="11"/>
      <color theme="3" tint="-0.249977111117893"/>
      <name val="Calibri"/>
      <family val="2"/>
      <scheme val="minor"/>
    </font>
    <font>
      <sz val="11"/>
      <color theme="3" tint="-0.249977111117893"/>
      <name val="Calibri"/>
      <family val="2"/>
      <scheme val="minor"/>
    </font>
    <font>
      <sz val="8"/>
      <color theme="0"/>
      <name val="Calibri"/>
      <family val="2"/>
      <scheme val="minor"/>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3D6864"/>
        <bgColor indexed="64"/>
      </patternFill>
    </fill>
    <fill>
      <patternFill patternType="solid">
        <fgColor rgb="FF3D6468"/>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indexed="43"/>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26" fillId="0" borderId="0" applyFont="0" applyFill="0" applyBorder="0" applyAlignment="0" applyProtection="0"/>
    <xf numFmtId="43" fontId="26" fillId="0" borderId="0" applyFont="0" applyFill="0" applyBorder="0" applyAlignment="0" applyProtection="0"/>
    <xf numFmtId="0" fontId="29" fillId="0" borderId="0" applyNumberFormat="0" applyFill="0" applyBorder="0" applyAlignment="0" applyProtection="0">
      <alignment vertical="top"/>
      <protection locked="0"/>
    </xf>
    <xf numFmtId="9" fontId="26" fillId="0" borderId="0" applyFont="0" applyFill="0" applyBorder="0" applyAlignment="0" applyProtection="0"/>
  </cellStyleXfs>
  <cellXfs count="864">
    <xf numFmtId="0" fontId="0" fillId="0" borderId="0" xfId="0"/>
    <xf numFmtId="0" fontId="0" fillId="3" borderId="0" xfId="0" applyFill="1"/>
    <xf numFmtId="0" fontId="0" fillId="4" borderId="0" xfId="0" applyFill="1" applyProtection="1">
      <protection hidden="1"/>
    </xf>
    <xf numFmtId="0" fontId="0" fillId="3" borderId="0" xfId="0" applyFill="1" applyProtection="1">
      <protection hidden="1"/>
    </xf>
    <xf numFmtId="0" fontId="28" fillId="4" borderId="0" xfId="0" applyFont="1" applyFill="1" applyProtection="1">
      <protection hidden="1"/>
    </xf>
    <xf numFmtId="0" fontId="32" fillId="4" borderId="0" xfId="0" applyFont="1" applyFill="1" applyProtection="1">
      <protection hidden="1"/>
    </xf>
    <xf numFmtId="0" fontId="0" fillId="3" borderId="0" xfId="0" applyFill="1" applyAlignment="1" applyProtection="1">
      <alignment horizontal="left"/>
      <protection hidden="1"/>
    </xf>
    <xf numFmtId="0" fontId="0" fillId="3" borderId="0" xfId="0" applyFill="1" applyAlignment="1" applyProtection="1">
      <alignment horizontal="center"/>
      <protection hidden="1"/>
    </xf>
    <xf numFmtId="0" fontId="29" fillId="3" borderId="0" xfId="3"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Alignment="1" applyProtection="1">
      <alignment horizontal="center" vertical="top"/>
      <protection hidden="1"/>
    </xf>
    <xf numFmtId="0" fontId="31" fillId="3" borderId="0" xfId="0" applyFont="1" applyFill="1" applyProtection="1">
      <protection hidden="1"/>
    </xf>
    <xf numFmtId="0" fontId="0" fillId="5" borderId="0" xfId="0" applyFill="1" applyProtection="1">
      <protection hidden="1"/>
    </xf>
    <xf numFmtId="0" fontId="33" fillId="3" borderId="1" xfId="0" applyFont="1" applyFill="1" applyBorder="1" applyProtection="1">
      <protection hidden="1"/>
    </xf>
    <xf numFmtId="0" fontId="0" fillId="3" borderId="0" xfId="0" applyFill="1" applyAlignment="1" applyProtection="1">
      <alignment vertical="center"/>
      <protection hidden="1"/>
    </xf>
    <xf numFmtId="0" fontId="0" fillId="5" borderId="0" xfId="0" applyFill="1" applyAlignment="1" applyProtection="1">
      <alignment vertical="center"/>
      <protection hidden="1"/>
    </xf>
    <xf numFmtId="0" fontId="34" fillId="3" borderId="0" xfId="0" applyFont="1" applyFill="1" applyProtection="1">
      <protection hidden="1"/>
    </xf>
    <xf numFmtId="0" fontId="35" fillId="3" borderId="0" xfId="0" applyFont="1" applyFill="1" applyProtection="1">
      <protection hidden="1"/>
    </xf>
    <xf numFmtId="0" fontId="0" fillId="0" borderId="0" xfId="0" applyProtection="1">
      <protection hidden="1"/>
    </xf>
    <xf numFmtId="0" fontId="36" fillId="3" borderId="0" xfId="0" applyFont="1" applyFill="1" applyProtection="1">
      <protection hidden="1"/>
    </xf>
    <xf numFmtId="0" fontId="32" fillId="3" borderId="0" xfId="0" applyFont="1" applyFill="1" applyProtection="1">
      <protection hidden="1"/>
    </xf>
    <xf numFmtId="0" fontId="37" fillId="3" borderId="0" xfId="0" applyFont="1" applyFill="1" applyProtection="1">
      <protection hidden="1"/>
    </xf>
    <xf numFmtId="0" fontId="37" fillId="3" borderId="1" xfId="0" applyFont="1" applyFill="1" applyBorder="1" applyProtection="1">
      <protection hidden="1"/>
    </xf>
    <xf numFmtId="0" fontId="38" fillId="3" borderId="0" xfId="0" applyFont="1" applyFill="1" applyProtection="1">
      <protection hidden="1"/>
    </xf>
    <xf numFmtId="0" fontId="39" fillId="3" borderId="1" xfId="0" applyFont="1" applyFill="1" applyBorder="1" applyProtection="1">
      <protection hidden="1"/>
    </xf>
    <xf numFmtId="0" fontId="40" fillId="3" borderId="0" xfId="0" applyFont="1" applyFill="1" applyProtection="1">
      <protection hidden="1"/>
    </xf>
    <xf numFmtId="0" fontId="40" fillId="3" borderId="0" xfId="0" applyFont="1" applyFill="1" applyAlignment="1" applyProtection="1">
      <alignment horizontal="center" wrapText="1"/>
      <protection hidden="1"/>
    </xf>
    <xf numFmtId="0" fontId="41" fillId="3" borderId="1" xfId="0" applyFont="1" applyFill="1" applyBorder="1" applyProtection="1">
      <protection hidden="1"/>
    </xf>
    <xf numFmtId="0" fontId="0" fillId="3" borderId="0" xfId="0" applyFill="1" applyAlignment="1" applyProtection="1">
      <alignment horizontal="left" vertical="center" wrapText="1"/>
      <protection hidden="1"/>
    </xf>
    <xf numFmtId="0" fontId="27" fillId="3" borderId="0" xfId="0" applyFont="1" applyFill="1" applyProtection="1">
      <protection hidden="1"/>
    </xf>
    <xf numFmtId="0" fontId="0" fillId="3" borderId="2" xfId="0" applyFill="1" applyBorder="1" applyAlignment="1" applyProtection="1">
      <alignment horizontal="left" vertical="top"/>
      <protection locked="0"/>
    </xf>
    <xf numFmtId="10" fontId="32" fillId="5" borderId="0" xfId="4" applyNumberFormat="1" applyFont="1" applyFill="1" applyAlignment="1" applyProtection="1">
      <alignment horizontal="left" vertical="center"/>
      <protection hidden="1"/>
    </xf>
    <xf numFmtId="0" fontId="40" fillId="3" borderId="0" xfId="0" applyFont="1" applyFill="1" applyAlignment="1" applyProtection="1">
      <alignment horizontal="left"/>
      <protection hidden="1"/>
    </xf>
    <xf numFmtId="0" fontId="0" fillId="5" borderId="0" xfId="0" applyFill="1" applyAlignment="1" applyProtection="1">
      <alignment horizontal="left" vertical="center"/>
      <protection hidden="1"/>
    </xf>
    <xf numFmtId="0" fontId="0" fillId="3" borderId="0" xfId="0" applyFill="1" applyAlignment="1" applyProtection="1">
      <alignment horizontal="left" wrapText="1"/>
      <protection hidden="1"/>
    </xf>
    <xf numFmtId="0" fontId="0" fillId="3" borderId="0" xfId="0" applyFill="1" applyAlignment="1" applyProtection="1">
      <alignment horizontal="left" vertical="top" wrapText="1"/>
      <protection hidden="1"/>
    </xf>
    <xf numFmtId="0" fontId="0" fillId="6" borderId="0" xfId="0" applyFill="1" applyProtection="1">
      <protection hidden="1"/>
    </xf>
    <xf numFmtId="0" fontId="0" fillId="3" borderId="1" xfId="0" applyFill="1" applyBorder="1" applyProtection="1">
      <protection hidden="1"/>
    </xf>
    <xf numFmtId="0" fontId="33" fillId="3" borderId="0" xfId="0" applyFont="1" applyFill="1" applyAlignment="1" applyProtection="1">
      <alignment horizontal="right" vertical="top"/>
      <protection hidden="1"/>
    </xf>
    <xf numFmtId="0" fontId="0" fillId="3" borderId="0" xfId="0" applyFill="1" applyAlignment="1" applyProtection="1">
      <alignment horizontal="right" vertical="top"/>
      <protection hidden="1"/>
    </xf>
    <xf numFmtId="0" fontId="0" fillId="3" borderId="0" xfId="0" applyFill="1" applyAlignment="1" applyProtection="1">
      <alignment vertical="center" wrapText="1"/>
      <protection hidden="1"/>
    </xf>
    <xf numFmtId="0" fontId="33" fillId="3" borderId="0" xfId="0" applyFont="1" applyFill="1" applyAlignment="1" applyProtection="1">
      <alignment horizontal="left" vertical="top"/>
      <protection hidden="1"/>
    </xf>
    <xf numFmtId="0" fontId="30" fillId="3" borderId="0" xfId="0" applyFont="1" applyFill="1" applyAlignment="1" applyProtection="1">
      <alignment horizontal="right" vertical="top"/>
      <protection hidden="1"/>
    </xf>
    <xf numFmtId="0" fontId="42" fillId="6" borderId="0" xfId="0" applyFont="1" applyFill="1" applyAlignment="1" applyProtection="1">
      <alignment vertical="center"/>
      <protection hidden="1"/>
    </xf>
    <xf numFmtId="0" fontId="0" fillId="3" borderId="0" xfId="0" applyFill="1" applyAlignment="1" applyProtection="1">
      <alignment horizontal="right"/>
      <protection hidden="1"/>
    </xf>
    <xf numFmtId="0" fontId="0" fillId="6" borderId="2" xfId="0" applyFill="1" applyBorder="1" applyProtection="1">
      <protection hidden="1"/>
    </xf>
    <xf numFmtId="0" fontId="0" fillId="6" borderId="2" xfId="0" applyFill="1" applyBorder="1" applyAlignment="1" applyProtection="1">
      <alignment horizontal="center" vertical="center"/>
      <protection hidden="1"/>
    </xf>
    <xf numFmtId="0" fontId="43" fillId="3" borderId="0" xfId="0" applyFont="1" applyFill="1" applyAlignment="1" applyProtection="1">
      <alignment horizontal="left" vertical="center"/>
      <protection hidden="1"/>
    </xf>
    <xf numFmtId="0" fontId="31" fillId="3" borderId="0" xfId="0" applyFont="1" applyFill="1" applyAlignment="1" applyProtection="1">
      <alignment horizontal="left" vertical="center"/>
      <protection hidden="1"/>
    </xf>
    <xf numFmtId="0" fontId="43" fillId="3" borderId="0" xfId="0" applyFont="1" applyFill="1" applyAlignment="1" applyProtection="1">
      <alignment horizontal="left" vertical="center" wrapText="1"/>
      <protection hidden="1"/>
    </xf>
    <xf numFmtId="0" fontId="31" fillId="3" borderId="0" xfId="0" applyFont="1" applyFill="1" applyAlignment="1" applyProtection="1">
      <alignment horizontal="left"/>
      <protection hidden="1"/>
    </xf>
    <xf numFmtId="0" fontId="44" fillId="3" borderId="0" xfId="0" applyFont="1" applyFill="1" applyAlignment="1">
      <alignment horizontal="center" vertical="center" wrapText="1"/>
    </xf>
    <xf numFmtId="0" fontId="0" fillId="3" borderId="0" xfId="0" applyFill="1" applyAlignment="1">
      <alignment horizontal="center" vertical="center" wrapText="1"/>
    </xf>
    <xf numFmtId="0" fontId="45" fillId="3" borderId="0" xfId="0" applyFont="1" applyFill="1" applyAlignment="1">
      <alignment horizontal="center" vertical="center" wrapText="1"/>
    </xf>
    <xf numFmtId="0" fontId="0" fillId="3" borderId="0" xfId="0" applyFill="1" applyAlignment="1" applyProtection="1">
      <alignment vertical="top" wrapText="1"/>
      <protection hidden="1"/>
    </xf>
    <xf numFmtId="0" fontId="42" fillId="3" borderId="0" xfId="0" applyFont="1" applyFill="1" applyAlignment="1" applyProtection="1">
      <alignment vertical="top" wrapText="1"/>
      <protection hidden="1"/>
    </xf>
    <xf numFmtId="0" fontId="0" fillId="3" borderId="0" xfId="0" applyFill="1" applyAlignment="1" applyProtection="1">
      <alignment wrapText="1"/>
      <protection hidden="1"/>
    </xf>
    <xf numFmtId="0" fontId="42" fillId="3" borderId="0" xfId="0" applyFont="1" applyFill="1" applyAlignment="1" applyProtection="1">
      <alignment wrapText="1"/>
      <protection hidden="1"/>
    </xf>
    <xf numFmtId="0" fontId="0" fillId="3" borderId="0" xfId="0" applyFill="1" applyAlignment="1" applyProtection="1">
      <alignment vertical="top"/>
      <protection hidden="1"/>
    </xf>
    <xf numFmtId="0" fontId="46" fillId="3" borderId="0" xfId="0" applyFont="1" applyFill="1" applyProtection="1">
      <protection hidden="1"/>
    </xf>
    <xf numFmtId="0" fontId="46" fillId="3" borderId="0" xfId="0" applyFont="1" applyFill="1" applyAlignment="1" applyProtection="1">
      <alignment horizontal="left" vertical="top" wrapText="1"/>
      <protection hidden="1"/>
    </xf>
    <xf numFmtId="0" fontId="46" fillId="3" borderId="0" xfId="0" applyFont="1" applyFill="1" applyAlignment="1" applyProtection="1">
      <alignment horizontal="left" vertical="top"/>
      <protection hidden="1"/>
    </xf>
    <xf numFmtId="0" fontId="47" fillId="5" borderId="0" xfId="0" applyFont="1" applyFill="1" applyAlignment="1" applyProtection="1">
      <alignment horizontal="left" vertical="center"/>
      <protection hidden="1"/>
    </xf>
    <xf numFmtId="0" fontId="31" fillId="7" borderId="0" xfId="0" applyFont="1" applyFill="1" applyProtection="1">
      <protection locked="0"/>
    </xf>
    <xf numFmtId="0" fontId="0" fillId="7" borderId="0" xfId="0" applyFill="1" applyAlignment="1" applyProtection="1">
      <alignment horizontal="center" vertical="center"/>
      <protection locked="0"/>
    </xf>
    <xf numFmtId="0" fontId="32" fillId="7" borderId="0" xfId="0" applyFont="1" applyFill="1" applyAlignment="1" applyProtection="1">
      <alignment horizontal="center"/>
      <protection locked="0"/>
    </xf>
    <xf numFmtId="0" fontId="0" fillId="7" borderId="0" xfId="0" applyFill="1" applyAlignment="1" applyProtection="1">
      <alignment horizontal="right"/>
      <protection locked="0"/>
    </xf>
    <xf numFmtId="0" fontId="0" fillId="7" borderId="0" xfId="0" applyFill="1" applyAlignment="1" applyProtection="1">
      <alignment horizontal="center"/>
      <protection locked="0"/>
    </xf>
    <xf numFmtId="0" fontId="32" fillId="7" borderId="2" xfId="0" applyFont="1" applyFill="1" applyBorder="1" applyProtection="1">
      <protection locked="0"/>
    </xf>
    <xf numFmtId="0" fontId="32" fillId="7" borderId="0" xfId="0" applyFont="1" applyFill="1" applyProtection="1">
      <protection locked="0"/>
    </xf>
    <xf numFmtId="0" fontId="0" fillId="7" borderId="2" xfId="0" applyFill="1" applyBorder="1" applyAlignment="1" applyProtection="1">
      <alignment vertical="center"/>
      <protection locked="0"/>
    </xf>
    <xf numFmtId="0" fontId="0" fillId="7" borderId="2" xfId="0" applyFill="1" applyBorder="1" applyProtection="1">
      <protection locked="0"/>
    </xf>
    <xf numFmtId="0" fontId="0" fillId="7" borderId="2" xfId="0" applyFill="1" applyBorder="1" applyAlignment="1" applyProtection="1">
      <alignment horizontal="center" wrapText="1"/>
      <protection locked="0"/>
    </xf>
    <xf numFmtId="0" fontId="0" fillId="7" borderId="2" xfId="0" applyFill="1" applyBorder="1" applyAlignment="1" applyProtection="1">
      <alignment horizontal="left"/>
      <protection locked="0"/>
    </xf>
    <xf numFmtId="0" fontId="0" fillId="7" borderId="2" xfId="0" applyFill="1" applyBorder="1" applyAlignment="1" applyProtection="1">
      <alignment horizontal="right"/>
      <protection locked="0"/>
    </xf>
    <xf numFmtId="0" fontId="0" fillId="7" borderId="3" xfId="0" applyFill="1" applyBorder="1" applyProtection="1">
      <protection locked="0"/>
    </xf>
    <xf numFmtId="0" fontId="0" fillId="7" borderId="0" xfId="0" applyFill="1" applyAlignment="1" applyProtection="1">
      <alignment horizontal="right" vertical="center"/>
      <protection locked="0"/>
    </xf>
    <xf numFmtId="10" fontId="32" fillId="7" borderId="2" xfId="4" applyNumberFormat="1" applyFont="1" applyFill="1" applyBorder="1" applyAlignment="1" applyProtection="1">
      <alignment horizontal="center"/>
      <protection locked="0"/>
    </xf>
    <xf numFmtId="0" fontId="28" fillId="7" borderId="0" xfId="0" applyFont="1" applyFill="1" applyProtection="1">
      <protection locked="0"/>
    </xf>
    <xf numFmtId="0" fontId="27" fillId="7" borderId="0" xfId="0" applyFont="1" applyFill="1" applyProtection="1">
      <protection locked="0"/>
    </xf>
    <xf numFmtId="0" fontId="27" fillId="7" borderId="0" xfId="0" applyFont="1" applyFill="1" applyAlignment="1" applyProtection="1">
      <alignment horizontal="center"/>
      <protection locked="0"/>
    </xf>
    <xf numFmtId="0" fontId="0" fillId="7" borderId="2" xfId="0" applyFill="1" applyBorder="1" applyAlignment="1" applyProtection="1">
      <alignment horizontal="center"/>
      <protection locked="0"/>
    </xf>
    <xf numFmtId="0" fontId="0" fillId="7" borderId="2" xfId="0" applyFill="1" applyBorder="1" applyAlignment="1" applyProtection="1">
      <alignment horizontal="left" vertical="center"/>
      <protection locked="0"/>
    </xf>
    <xf numFmtId="0" fontId="0" fillId="7" borderId="2" xfId="0" applyFill="1" applyBorder="1" applyAlignment="1" applyProtection="1">
      <alignment vertical="top"/>
      <protection locked="0"/>
    </xf>
    <xf numFmtId="0" fontId="0" fillId="7" borderId="0" xfId="0" applyFill="1" applyAlignment="1" applyProtection="1">
      <alignment vertical="top"/>
      <protection locked="0"/>
    </xf>
    <xf numFmtId="0" fontId="0" fillId="7" borderId="2" xfId="0" applyFill="1" applyBorder="1" applyAlignment="1" applyProtection="1">
      <alignment horizontal="center" vertical="center"/>
      <protection locked="0"/>
    </xf>
    <xf numFmtId="9" fontId="26" fillId="7" borderId="2" xfId="4" applyFill="1" applyBorder="1" applyAlignment="1" applyProtection="1">
      <alignment horizontal="center" vertical="center"/>
      <protection locked="0"/>
    </xf>
    <xf numFmtId="9" fontId="26" fillId="7" borderId="4" xfId="4" applyFill="1" applyBorder="1" applyAlignment="1" applyProtection="1">
      <alignment horizontal="center"/>
      <protection locked="0"/>
    </xf>
    <xf numFmtId="0" fontId="32" fillId="7" borderId="2" xfId="0" applyFont="1" applyFill="1" applyBorder="1" applyAlignment="1" applyProtection="1">
      <alignment horizontal="center"/>
      <protection locked="0"/>
    </xf>
    <xf numFmtId="0" fontId="0" fillId="7" borderId="2" xfId="0" applyFill="1" applyBorder="1" applyAlignment="1" applyProtection="1">
      <alignment horizontal="center" vertical="top" wrapText="1"/>
      <protection locked="0"/>
    </xf>
    <xf numFmtId="0" fontId="0" fillId="7" borderId="2" xfId="0" applyFill="1" applyBorder="1" applyAlignment="1" applyProtection="1">
      <alignment horizontal="left" vertical="top"/>
      <protection locked="0"/>
    </xf>
    <xf numFmtId="0" fontId="0" fillId="7" borderId="0" xfId="0" applyFill="1" applyProtection="1">
      <protection locked="0"/>
    </xf>
    <xf numFmtId="10" fontId="26" fillId="7" borderId="2" xfId="4" applyNumberFormat="1" applyFill="1" applyBorder="1" applyAlignment="1" applyProtection="1">
      <alignment horizontal="center" vertical="top" wrapText="1"/>
      <protection locked="0"/>
    </xf>
    <xf numFmtId="9" fontId="0" fillId="7" borderId="2"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0" fillId="7" borderId="4" xfId="0" applyFill="1" applyBorder="1" applyAlignment="1" applyProtection="1">
      <alignment horizontal="right" vertical="top" wrapText="1"/>
      <protection locked="0"/>
    </xf>
    <xf numFmtId="9" fontId="0" fillId="7" borderId="2" xfId="0" applyNumberFormat="1" applyFill="1" applyBorder="1" applyAlignment="1" applyProtection="1">
      <alignment horizontal="center" vertical="top" wrapText="1"/>
      <protection locked="0"/>
    </xf>
    <xf numFmtId="9" fontId="0" fillId="7" borderId="4" xfId="0" applyNumberFormat="1" applyFill="1" applyBorder="1" applyAlignment="1" applyProtection="1">
      <alignment horizontal="center" vertical="top" wrapText="1"/>
      <protection locked="0"/>
    </xf>
    <xf numFmtId="0" fontId="0" fillId="7" borderId="3" xfId="0" applyFill="1" applyBorder="1" applyAlignment="1" applyProtection="1">
      <alignment horizontal="left"/>
      <protection locked="0"/>
    </xf>
    <xf numFmtId="0" fontId="0" fillId="7" borderId="5" xfId="0" applyFill="1" applyBorder="1" applyAlignment="1" applyProtection="1">
      <alignment horizontal="left"/>
      <protection locked="0"/>
    </xf>
    <xf numFmtId="0" fontId="0" fillId="7" borderId="0" xfId="0" applyFill="1" applyAlignment="1" applyProtection="1">
      <alignment horizontal="left" vertical="top" wrapText="1"/>
      <protection locked="0"/>
    </xf>
    <xf numFmtId="0" fontId="32" fillId="7" borderId="0" xfId="0" applyFont="1" applyFill="1" applyAlignment="1" applyProtection="1">
      <alignment horizontal="right"/>
      <protection locked="0"/>
    </xf>
    <xf numFmtId="0" fontId="0" fillId="7" borderId="0" xfId="0" applyFill="1" applyAlignment="1" applyProtection="1">
      <alignment horizontal="left"/>
      <protection locked="0"/>
    </xf>
    <xf numFmtId="0" fontId="32" fillId="3" borderId="0" xfId="0" applyFont="1" applyFill="1" applyAlignment="1" applyProtection="1">
      <alignment vertical="top" wrapText="1"/>
      <protection hidden="1"/>
    </xf>
    <xf numFmtId="0" fontId="0" fillId="6" borderId="2" xfId="0" applyFill="1" applyBorder="1" applyAlignment="1" applyProtection="1">
      <alignment horizontal="center"/>
      <protection hidden="1"/>
    </xf>
    <xf numFmtId="9" fontId="26" fillId="6" borderId="2" xfId="4" applyFill="1" applyBorder="1" applyAlignment="1" applyProtection="1">
      <alignment horizontal="center"/>
      <protection hidden="1"/>
    </xf>
    <xf numFmtId="0" fontId="0" fillId="7" borderId="0" xfId="0" applyFill="1" applyProtection="1">
      <protection hidden="1"/>
    </xf>
    <xf numFmtId="0" fontId="0" fillId="7" borderId="0" xfId="0" applyFill="1" applyAlignment="1" applyProtection="1">
      <alignment horizontal="left"/>
      <protection hidden="1"/>
    </xf>
    <xf numFmtId="0" fontId="44" fillId="3" borderId="5" xfId="0" applyFont="1" applyFill="1" applyBorder="1" applyAlignment="1">
      <alignment horizontal="center" vertical="center" wrapText="1"/>
    </xf>
    <xf numFmtId="2" fontId="44" fillId="3" borderId="5" xfId="0" applyNumberFormat="1" applyFont="1" applyFill="1" applyBorder="1" applyAlignment="1">
      <alignment horizontal="center" vertical="center" wrapText="1"/>
    </xf>
    <xf numFmtId="0" fontId="30" fillId="3" borderId="0" xfId="0" applyFont="1" applyFill="1" applyAlignment="1">
      <alignment horizontal="left" vertical="center"/>
    </xf>
    <xf numFmtId="2" fontId="44" fillId="3" borderId="2" xfId="0" applyNumberFormat="1" applyFont="1" applyFill="1" applyBorder="1" applyAlignment="1">
      <alignment horizontal="center" vertical="center" wrapText="1"/>
    </xf>
    <xf numFmtId="2" fontId="44" fillId="3" borderId="2" xfId="4" applyNumberFormat="1" applyFont="1" applyFill="1" applyBorder="1" applyAlignment="1">
      <alignment horizontal="center" vertical="center" wrapText="1"/>
    </xf>
    <xf numFmtId="10" fontId="44" fillId="3" borderId="2" xfId="4" applyNumberFormat="1" applyFont="1" applyFill="1" applyBorder="1" applyAlignment="1">
      <alignment horizontal="center" vertical="center" wrapText="1"/>
    </xf>
    <xf numFmtId="0" fontId="30" fillId="8" borderId="4" xfId="0" applyFont="1" applyFill="1" applyBorder="1" applyAlignment="1">
      <alignment horizontal="left" vertical="center"/>
    </xf>
    <xf numFmtId="0" fontId="30" fillId="8" borderId="6" xfId="0" applyFont="1" applyFill="1" applyBorder="1" applyAlignment="1">
      <alignment horizontal="left" vertical="center"/>
    </xf>
    <xf numFmtId="0" fontId="30" fillId="8" borderId="7" xfId="0" applyFont="1" applyFill="1" applyBorder="1" applyAlignment="1">
      <alignment horizontal="left" vertical="center"/>
    </xf>
    <xf numFmtId="0" fontId="44" fillId="8" borderId="8" xfId="0" applyFont="1" applyFill="1" applyBorder="1" applyAlignment="1">
      <alignment horizontal="center" vertical="center" wrapText="1"/>
    </xf>
    <xf numFmtId="0" fontId="44" fillId="8" borderId="0" xfId="0" applyFont="1" applyFill="1" applyAlignment="1">
      <alignment horizontal="center" vertical="center" wrapText="1"/>
    </xf>
    <xf numFmtId="0" fontId="44" fillId="8" borderId="9" xfId="0" applyFont="1" applyFill="1" applyBorder="1" applyAlignment="1">
      <alignment horizontal="center" vertical="center" wrapText="1"/>
    </xf>
    <xf numFmtId="0" fontId="44" fillId="8" borderId="10" xfId="0" applyFont="1" applyFill="1" applyBorder="1" applyAlignment="1">
      <alignment horizontal="center" vertical="center" wrapText="1"/>
    </xf>
    <xf numFmtId="0" fontId="44" fillId="8" borderId="11" xfId="0" applyFont="1" applyFill="1" applyBorder="1" applyAlignment="1">
      <alignment horizontal="center" vertical="center" wrapText="1"/>
    </xf>
    <xf numFmtId="0" fontId="44" fillId="8" borderId="9" xfId="0" applyFont="1" applyFill="1" applyBorder="1" applyAlignment="1">
      <alignment horizontal="left" vertical="center"/>
    </xf>
    <xf numFmtId="0" fontId="44" fillId="8" borderId="12" xfId="0" applyFont="1" applyFill="1" applyBorder="1" applyAlignment="1">
      <alignment horizontal="center" vertical="center" wrapText="1"/>
    </xf>
    <xf numFmtId="0" fontId="44" fillId="8" borderId="3"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48" fillId="8" borderId="4" xfId="0" applyFont="1" applyFill="1" applyBorder="1" applyAlignment="1">
      <alignment horizontal="left" vertical="center"/>
    </xf>
    <xf numFmtId="0" fontId="44" fillId="8" borderId="6"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8" fillId="8" borderId="6" xfId="0" applyFont="1" applyFill="1" applyBorder="1" applyAlignment="1">
      <alignment horizontal="center" vertical="center"/>
    </xf>
    <xf numFmtId="0" fontId="48" fillId="8" borderId="6" xfId="0" applyFont="1" applyFill="1" applyBorder="1" applyAlignment="1">
      <alignment horizontal="left" vertical="center"/>
    </xf>
    <xf numFmtId="0" fontId="48" fillId="8" borderId="7" xfId="0" applyFont="1" applyFill="1" applyBorder="1" applyAlignment="1">
      <alignment horizontal="center" vertical="center"/>
    </xf>
    <xf numFmtId="0" fontId="48" fillId="8" borderId="4" xfId="0" applyFont="1" applyFill="1" applyBorder="1" applyAlignment="1">
      <alignment horizontal="left" vertical="center" wrapText="1"/>
    </xf>
    <xf numFmtId="0" fontId="48" fillId="8" borderId="6" xfId="0" applyFont="1" applyFill="1" applyBorder="1" applyAlignment="1">
      <alignment horizontal="left" vertical="center" wrapText="1"/>
    </xf>
    <xf numFmtId="0" fontId="44" fillId="8" borderId="4" xfId="0" applyFont="1" applyFill="1" applyBorder="1" applyAlignment="1">
      <alignment horizontal="left"/>
    </xf>
    <xf numFmtId="0" fontId="44" fillId="8" borderId="6" xfId="0" applyFont="1" applyFill="1" applyBorder="1" applyAlignment="1">
      <alignment horizontal="left"/>
    </xf>
    <xf numFmtId="0" fontId="44" fillId="8" borderId="5" xfId="0" applyFont="1" applyFill="1" applyBorder="1" applyAlignment="1">
      <alignment horizontal="center" vertical="center" wrapText="1"/>
    </xf>
    <xf numFmtId="0" fontId="44" fillId="8" borderId="13" xfId="0" applyFont="1" applyFill="1" applyBorder="1" applyAlignment="1">
      <alignment horizontal="center" vertical="center" wrapText="1"/>
    </xf>
    <xf numFmtId="0" fontId="44" fillId="8" borderId="1" xfId="0" applyFont="1" applyFill="1" applyBorder="1" applyAlignment="1">
      <alignment horizontal="center" vertical="center" wrapText="1"/>
    </xf>
    <xf numFmtId="0" fontId="44" fillId="8" borderId="14" xfId="0" applyFont="1" applyFill="1" applyBorder="1" applyAlignment="1">
      <alignment horizontal="center" vertical="center" wrapText="1"/>
    </xf>
    <xf numFmtId="2" fontId="44" fillId="8" borderId="5" xfId="0" applyNumberFormat="1" applyFont="1" applyFill="1" applyBorder="1" applyAlignment="1">
      <alignment horizontal="center" vertical="center" wrapText="1"/>
    </xf>
    <xf numFmtId="0" fontId="44" fillId="8" borderId="6" xfId="0" applyFont="1" applyFill="1" applyBorder="1" applyAlignment="1">
      <alignment horizontal="center" wrapText="1"/>
    </xf>
    <xf numFmtId="0" fontId="44" fillId="8" borderId="4" xfId="0" applyFont="1" applyFill="1" applyBorder="1" applyAlignment="1">
      <alignment horizontal="left" wrapText="1"/>
    </xf>
    <xf numFmtId="0" fontId="44" fillId="8" borderId="6" xfId="0" applyFont="1" applyFill="1" applyBorder="1" applyAlignment="1">
      <alignment horizontal="left" wrapText="1"/>
    </xf>
    <xf numFmtId="0" fontId="44" fillId="8" borderId="7" xfId="0" applyFont="1" applyFill="1" applyBorder="1" applyAlignment="1">
      <alignment horizontal="left" wrapText="1"/>
    </xf>
    <xf numFmtId="0" fontId="44" fillId="8" borderId="4" xfId="0" applyFont="1" applyFill="1" applyBorder="1" applyAlignment="1">
      <alignment horizontal="center" wrapText="1"/>
    </xf>
    <xf numFmtId="9" fontId="44" fillId="3" borderId="2" xfId="4" applyFont="1" applyFill="1" applyBorder="1" applyAlignment="1">
      <alignment horizontal="center" vertical="center" wrapText="1"/>
    </xf>
    <xf numFmtId="0" fontId="44" fillId="8" borderId="6" xfId="0" applyFont="1" applyFill="1" applyBorder="1" applyAlignment="1">
      <alignment horizontal="center" vertical="center"/>
    </xf>
    <xf numFmtId="0" fontId="44" fillId="8" borderId="6" xfId="0" applyFont="1" applyFill="1" applyBorder="1"/>
    <xf numFmtId="0" fontId="44" fillId="8" borderId="6" xfId="0" applyFont="1" applyFill="1" applyBorder="1" applyAlignment="1">
      <alignment vertical="center"/>
    </xf>
    <xf numFmtId="0" fontId="44" fillId="8" borderId="6" xfId="0" applyFont="1" applyFill="1" applyBorder="1" applyAlignment="1">
      <alignment vertical="center" wrapText="1"/>
    </xf>
    <xf numFmtId="0" fontId="44" fillId="8" borderId="6" xfId="0" applyFont="1" applyFill="1" applyBorder="1" applyAlignment="1">
      <alignment wrapText="1"/>
    </xf>
    <xf numFmtId="10" fontId="44" fillId="3" borderId="5" xfId="4" applyNumberFormat="1" applyFont="1" applyFill="1" applyBorder="1" applyAlignment="1">
      <alignment horizontal="center" vertical="center" wrapText="1"/>
    </xf>
    <xf numFmtId="2" fontId="44" fillId="3" borderId="0" xfId="0" applyNumberFormat="1" applyFont="1" applyFill="1" applyAlignment="1">
      <alignment horizontal="center" vertical="center" wrapText="1"/>
    </xf>
    <xf numFmtId="0" fontId="30" fillId="8" borderId="3" xfId="0" applyFont="1" applyFill="1" applyBorder="1" applyAlignment="1">
      <alignment horizontal="left" vertical="center"/>
    </xf>
    <xf numFmtId="0" fontId="30" fillId="8" borderId="9" xfId="0" applyFont="1" applyFill="1" applyBorder="1" applyAlignment="1">
      <alignment horizontal="left" vertical="center"/>
    </xf>
    <xf numFmtId="0" fontId="30" fillId="8" borderId="11" xfId="0" applyFont="1" applyFill="1" applyBorder="1" applyAlignment="1">
      <alignment horizontal="left" vertical="center"/>
    </xf>
    <xf numFmtId="0" fontId="30" fillId="8" borderId="10" xfId="0" applyFont="1" applyFill="1" applyBorder="1" applyAlignment="1">
      <alignment horizontal="left" vertical="center"/>
    </xf>
    <xf numFmtId="0" fontId="30" fillId="8" borderId="2" xfId="0" applyFont="1" applyFill="1" applyBorder="1" applyAlignment="1">
      <alignment horizontal="left" vertical="center"/>
    </xf>
    <xf numFmtId="0" fontId="43" fillId="3" borderId="0" xfId="0" applyFont="1" applyFill="1" applyAlignment="1" applyProtection="1">
      <alignment horizontal="center" vertical="center"/>
      <protection locked="0"/>
    </xf>
    <xf numFmtId="0" fontId="32" fillId="7" borderId="0" xfId="0" applyFont="1" applyFill="1" applyProtection="1">
      <protection hidden="1"/>
    </xf>
    <xf numFmtId="0" fontId="32" fillId="7" borderId="2" xfId="0" applyFont="1" applyFill="1" applyBorder="1" applyAlignment="1" applyProtection="1">
      <alignment horizontal="left"/>
      <protection hidden="1"/>
    </xf>
    <xf numFmtId="0" fontId="32" fillId="7" borderId="2" xfId="0" applyFont="1" applyFill="1" applyBorder="1" applyAlignment="1" applyProtection="1">
      <alignment horizontal="left" vertical="center"/>
      <protection hidden="1"/>
    </xf>
    <xf numFmtId="0" fontId="0" fillId="3" borderId="0" xfId="0" applyFill="1" applyProtection="1">
      <protection locked="0"/>
    </xf>
    <xf numFmtId="0" fontId="0" fillId="3" borderId="0" xfId="0" applyFill="1" applyAlignment="1" applyProtection="1">
      <alignment vertical="top" wrapText="1"/>
      <protection locked="0"/>
    </xf>
    <xf numFmtId="0" fontId="32" fillId="3" borderId="0" xfId="0" applyFont="1" applyFill="1" applyProtection="1">
      <protection locked="0"/>
    </xf>
    <xf numFmtId="0" fontId="0" fillId="3" borderId="0" xfId="0" applyFill="1" applyAlignment="1" applyProtection="1">
      <alignment horizontal="right"/>
      <protection locked="0"/>
    </xf>
    <xf numFmtId="0" fontId="0" fillId="3" borderId="2" xfId="0" applyFill="1" applyBorder="1" applyAlignment="1" applyProtection="1">
      <alignment vertical="top" wrapText="1"/>
      <protection locked="0"/>
    </xf>
    <xf numFmtId="0" fontId="0" fillId="3" borderId="0" xfId="0" applyFill="1" applyAlignment="1" applyProtection="1">
      <alignment vertical="top"/>
      <protection locked="0"/>
    </xf>
    <xf numFmtId="0" fontId="31" fillId="3" borderId="0" xfId="0" applyFont="1" applyFill="1"/>
    <xf numFmtId="0" fontId="0" fillId="3" borderId="0" xfId="0" applyFill="1" applyAlignment="1">
      <alignment vertical="top" wrapText="1"/>
    </xf>
    <xf numFmtId="0" fontId="32" fillId="3" borderId="0" xfId="0" applyFont="1" applyFill="1"/>
    <xf numFmtId="0" fontId="0" fillId="5" borderId="0" xfId="0" applyFill="1"/>
    <xf numFmtId="0" fontId="0" fillId="5" borderId="0" xfId="0" applyFill="1" applyAlignment="1">
      <alignment vertical="top" wrapText="1"/>
    </xf>
    <xf numFmtId="2" fontId="0" fillId="7" borderId="2" xfId="0" applyNumberFormat="1" applyFill="1" applyBorder="1" applyAlignment="1" applyProtection="1">
      <alignment horizontal="center"/>
      <protection locked="0"/>
    </xf>
    <xf numFmtId="0" fontId="0" fillId="7" borderId="0" xfId="0" applyFill="1" applyAlignment="1" applyProtection="1">
      <alignment horizontal="right"/>
      <protection hidden="1"/>
    </xf>
    <xf numFmtId="0" fontId="0" fillId="7" borderId="2" xfId="0" applyFill="1" applyBorder="1" applyAlignment="1" applyProtection="1">
      <alignment horizontal="center"/>
      <protection hidden="1"/>
    </xf>
    <xf numFmtId="0" fontId="34" fillId="3" borderId="0" xfId="0" applyFont="1" applyFill="1" applyAlignment="1" applyProtection="1">
      <alignment vertical="top" wrapText="1"/>
      <protection hidden="1"/>
    </xf>
    <xf numFmtId="164" fontId="0" fillId="7" borderId="0" xfId="0" applyNumberFormat="1" applyFill="1" applyProtection="1">
      <protection locked="0"/>
    </xf>
    <xf numFmtId="0" fontId="49" fillId="3" borderId="1" xfId="0" applyFont="1" applyFill="1" applyBorder="1" applyProtection="1">
      <protection hidden="1"/>
    </xf>
    <xf numFmtId="0" fontId="0" fillId="3" borderId="0" xfId="0" applyFill="1" applyAlignment="1">
      <alignment vertical="center"/>
    </xf>
    <xf numFmtId="0" fontId="32" fillId="9" borderId="0" xfId="0" applyFont="1" applyFill="1" applyProtection="1">
      <protection hidden="1"/>
    </xf>
    <xf numFmtId="0" fontId="28" fillId="9" borderId="0" xfId="0" applyFont="1" applyFill="1" applyProtection="1">
      <protection hidden="1"/>
    </xf>
    <xf numFmtId="0" fontId="28" fillId="9" borderId="0" xfId="0" applyFont="1" applyFill="1" applyAlignment="1" applyProtection="1">
      <alignment horizontal="left" vertical="center" wrapText="1"/>
      <protection hidden="1"/>
    </xf>
    <xf numFmtId="0" fontId="27" fillId="9" borderId="0" xfId="0" applyFont="1" applyFill="1" applyAlignment="1" applyProtection="1">
      <alignment horizontal="right" vertical="top"/>
      <protection hidden="1"/>
    </xf>
    <xf numFmtId="0" fontId="50" fillId="9" borderId="0" xfId="0" applyFont="1" applyFill="1" applyAlignment="1" applyProtection="1">
      <alignment horizontal="right" vertical="top"/>
      <protection hidden="1"/>
    </xf>
    <xf numFmtId="0" fontId="51" fillId="3" borderId="1" xfId="0" applyFont="1" applyFill="1" applyBorder="1" applyAlignment="1" applyProtection="1">
      <alignment horizontal="left"/>
      <protection hidden="1"/>
    </xf>
    <xf numFmtId="0" fontId="52" fillId="9" borderId="0" xfId="0" applyFont="1" applyFill="1" applyAlignment="1" applyProtection="1">
      <alignment vertical="center"/>
      <protection hidden="1"/>
    </xf>
    <xf numFmtId="0" fontId="33" fillId="3" borderId="0" xfId="0" applyFont="1" applyFill="1" applyAlignment="1" applyProtection="1">
      <alignment horizontal="left" vertical="top" wrapText="1"/>
      <protection hidden="1"/>
    </xf>
    <xf numFmtId="0" fontId="37" fillId="3" borderId="0" xfId="0" applyFont="1" applyFill="1" applyAlignment="1" applyProtection="1">
      <alignment horizontal="right" vertical="top"/>
      <protection hidden="1"/>
    </xf>
    <xf numFmtId="0" fontId="53" fillId="9" borderId="0" xfId="0" applyFont="1" applyFill="1" applyAlignment="1" applyProtection="1">
      <alignment horizontal="left" vertical="center" wrapText="1"/>
      <protection hidden="1"/>
    </xf>
    <xf numFmtId="0" fontId="53" fillId="9" borderId="0" xfId="0" applyFont="1" applyFill="1" applyAlignment="1" applyProtection="1">
      <alignment horizontal="right" vertical="top"/>
      <protection hidden="1"/>
    </xf>
    <xf numFmtId="0" fontId="50" fillId="3" borderId="0" xfId="0" applyFont="1" applyFill="1" applyProtection="1">
      <protection hidden="1"/>
    </xf>
    <xf numFmtId="0" fontId="37" fillId="3" borderId="0" xfId="0" applyFont="1" applyFill="1" applyAlignment="1" applyProtection="1">
      <alignment vertical="center" wrapText="1"/>
      <protection hidden="1"/>
    </xf>
    <xf numFmtId="0" fontId="37" fillId="3" borderId="1" xfId="0" applyFont="1" applyFill="1" applyBorder="1" applyAlignment="1" applyProtection="1">
      <alignment horizontal="left" vertical="center"/>
      <protection hidden="1"/>
    </xf>
    <xf numFmtId="0" fontId="37" fillId="3" borderId="1" xfId="0" applyFont="1" applyFill="1" applyBorder="1" applyAlignment="1" applyProtection="1">
      <alignment horizontal="left" vertical="center" wrapText="1"/>
      <protection hidden="1"/>
    </xf>
    <xf numFmtId="0" fontId="37" fillId="3" borderId="0" xfId="0" applyFont="1" applyFill="1" applyAlignment="1" applyProtection="1">
      <alignment horizontal="left" vertical="center" wrapText="1"/>
      <protection hidden="1"/>
    </xf>
    <xf numFmtId="0" fontId="54" fillId="3" borderId="1" xfId="0" applyFont="1" applyFill="1" applyBorder="1" applyAlignment="1" applyProtection="1">
      <alignment horizontal="left" vertical="center" wrapText="1"/>
      <protection hidden="1"/>
    </xf>
    <xf numFmtId="0" fontId="37" fillId="3" borderId="0" xfId="0" applyFont="1" applyFill="1" applyAlignment="1" applyProtection="1">
      <alignment horizontal="center" vertical="center" wrapText="1"/>
      <protection hidden="1"/>
    </xf>
    <xf numFmtId="0" fontId="54" fillId="3" borderId="0" xfId="0" applyFont="1" applyFill="1" applyAlignment="1" applyProtection="1">
      <alignment horizontal="left" vertical="center" wrapText="1"/>
      <protection locked="0"/>
    </xf>
    <xf numFmtId="0" fontId="37" fillId="3" borderId="1" xfId="0" applyFont="1" applyFill="1" applyBorder="1" applyAlignment="1" applyProtection="1">
      <alignment vertical="center" wrapText="1"/>
      <protection hidden="1"/>
    </xf>
    <xf numFmtId="0" fontId="32" fillId="3" borderId="0" xfId="0" applyFont="1" applyFill="1" applyAlignment="1" applyProtection="1">
      <alignment horizontal="left" vertical="center" wrapText="1"/>
      <protection hidden="1"/>
    </xf>
    <xf numFmtId="0" fontId="55" fillId="3" borderId="0" xfId="0" applyFont="1" applyFill="1" applyProtection="1">
      <protection hidden="1"/>
    </xf>
    <xf numFmtId="0" fontId="56" fillId="3" borderId="0" xfId="0" applyFont="1" applyFill="1" applyProtection="1">
      <protection hidden="1"/>
    </xf>
    <xf numFmtId="0" fontId="56" fillId="3" borderId="0" xfId="0" applyFont="1" applyFill="1" applyAlignment="1" applyProtection="1">
      <alignment horizontal="left" vertical="top" wrapText="1"/>
      <protection hidden="1"/>
    </xf>
    <xf numFmtId="0" fontId="57" fillId="3" borderId="0" xfId="0" applyFont="1" applyFill="1" applyProtection="1">
      <protection hidden="1"/>
    </xf>
    <xf numFmtId="0" fontId="58" fillId="3" borderId="0" xfId="0" applyFont="1" applyFill="1" applyProtection="1">
      <protection hidden="1"/>
    </xf>
    <xf numFmtId="0" fontId="58" fillId="3" borderId="0" xfId="0" applyFont="1" applyFill="1" applyAlignment="1" applyProtection="1">
      <alignment vertical="top" wrapText="1"/>
      <protection hidden="1"/>
    </xf>
    <xf numFmtId="0" fontId="58" fillId="3" borderId="0" xfId="0" applyFont="1" applyFill="1" applyAlignment="1" applyProtection="1">
      <alignment horizontal="left" vertical="top" wrapText="1"/>
      <protection hidden="1"/>
    </xf>
    <xf numFmtId="0" fontId="54" fillId="3" borderId="0" xfId="0" applyFont="1" applyFill="1" applyProtection="1">
      <protection hidden="1"/>
    </xf>
    <xf numFmtId="0" fontId="54" fillId="3" borderId="0" xfId="0" applyFont="1" applyFill="1" applyAlignment="1" applyProtection="1">
      <alignment vertical="top" wrapText="1"/>
      <protection hidden="1"/>
    </xf>
    <xf numFmtId="0" fontId="54" fillId="3" borderId="0" xfId="0" applyFont="1" applyFill="1" applyAlignment="1" applyProtection="1">
      <alignment horizontal="left" vertical="top" wrapText="1"/>
      <protection hidden="1"/>
    </xf>
    <xf numFmtId="0" fontId="50" fillId="9" borderId="0" xfId="0" applyFont="1" applyFill="1" applyAlignment="1" applyProtection="1">
      <alignment horizontal="right" vertical="center"/>
      <protection hidden="1"/>
    </xf>
    <xf numFmtId="0" fontId="27" fillId="9" borderId="0" xfId="0" applyFont="1" applyFill="1" applyProtection="1">
      <protection hidden="1"/>
    </xf>
    <xf numFmtId="0" fontId="54" fillId="3" borderId="0" xfId="0" applyFont="1" applyFill="1" applyAlignment="1" applyProtection="1">
      <alignment horizontal="right" vertical="center"/>
      <protection hidden="1"/>
    </xf>
    <xf numFmtId="0" fontId="37" fillId="3" borderId="0" xfId="0" applyFont="1" applyFill="1" applyAlignment="1" applyProtection="1">
      <alignment vertical="center"/>
      <protection hidden="1"/>
    </xf>
    <xf numFmtId="0" fontId="37" fillId="5" borderId="0" xfId="0" applyFont="1" applyFill="1" applyAlignment="1" applyProtection="1">
      <alignment horizontal="center" vertical="center"/>
      <protection hidden="1"/>
    </xf>
    <xf numFmtId="10" fontId="37" fillId="5" borderId="0" xfId="4" applyNumberFormat="1" applyFont="1" applyFill="1" applyAlignment="1" applyProtection="1">
      <alignment horizontal="center" vertical="center"/>
      <protection hidden="1"/>
    </xf>
    <xf numFmtId="0" fontId="33" fillId="3" borderId="0" xfId="0" applyFont="1" applyFill="1" applyAlignment="1" applyProtection="1">
      <alignment vertical="center"/>
      <protection hidden="1"/>
    </xf>
    <xf numFmtId="0" fontId="38" fillId="3" borderId="0" xfId="0" applyFont="1" applyFill="1" applyAlignment="1" applyProtection="1">
      <alignment horizontal="center"/>
      <protection hidden="1"/>
    </xf>
    <xf numFmtId="0" fontId="38" fillId="3" borderId="0" xfId="0" applyFont="1" applyFill="1" applyAlignment="1" applyProtection="1">
      <alignment horizontal="center" wrapText="1"/>
      <protection hidden="1"/>
    </xf>
    <xf numFmtId="0" fontId="50" fillId="9" borderId="0" xfId="0" applyFont="1" applyFill="1" applyAlignment="1" applyProtection="1">
      <alignment vertical="center"/>
      <protection hidden="1"/>
    </xf>
    <xf numFmtId="0" fontId="50" fillId="9" borderId="0" xfId="0" applyFont="1" applyFill="1" applyProtection="1">
      <protection hidden="1"/>
    </xf>
    <xf numFmtId="0" fontId="37" fillId="3" borderId="2" xfId="0" applyFont="1" applyFill="1" applyBorder="1" applyAlignment="1" applyProtection="1">
      <alignment horizontal="center" vertical="center"/>
      <protection locked="0"/>
    </xf>
    <xf numFmtId="0" fontId="37" fillId="5" borderId="2" xfId="0" applyFont="1" applyFill="1" applyBorder="1" applyAlignment="1" applyProtection="1">
      <alignment horizontal="center" vertical="center"/>
      <protection hidden="1"/>
    </xf>
    <xf numFmtId="0" fontId="37" fillId="3" borderId="0" xfId="0" applyFont="1" applyFill="1" applyAlignment="1" applyProtection="1">
      <alignment horizontal="right" vertical="center"/>
      <protection hidden="1"/>
    </xf>
    <xf numFmtId="0" fontId="37" fillId="5" borderId="0" xfId="0" applyFont="1" applyFill="1" applyAlignment="1" applyProtection="1">
      <alignment horizontal="left" vertical="center"/>
      <protection hidden="1"/>
    </xf>
    <xf numFmtId="0" fontId="37" fillId="5" borderId="0" xfId="0" applyFont="1" applyFill="1" applyAlignment="1" applyProtection="1">
      <alignment vertical="center"/>
      <protection hidden="1"/>
    </xf>
    <xf numFmtId="0" fontId="37" fillId="5" borderId="0" xfId="0" applyFont="1" applyFill="1" applyProtection="1">
      <protection hidden="1"/>
    </xf>
    <xf numFmtId="0" fontId="53" fillId="4" borderId="0" xfId="0" applyFont="1" applyFill="1" applyProtection="1">
      <protection hidden="1"/>
    </xf>
    <xf numFmtId="0" fontId="37" fillId="4" borderId="0" xfId="0" applyFont="1" applyFill="1" applyProtection="1">
      <protection hidden="1"/>
    </xf>
    <xf numFmtId="0" fontId="54" fillId="4" borderId="0" xfId="0" applyFont="1" applyFill="1" applyProtection="1">
      <protection hidden="1"/>
    </xf>
    <xf numFmtId="0" fontId="59" fillId="3" borderId="0" xfId="0" applyFont="1" applyFill="1" applyProtection="1">
      <protection hidden="1"/>
    </xf>
    <xf numFmtId="10" fontId="54" fillId="5" borderId="0" xfId="4" applyNumberFormat="1" applyFont="1" applyFill="1" applyAlignment="1" applyProtection="1">
      <alignment horizontal="left" vertical="center"/>
      <protection hidden="1"/>
    </xf>
    <xf numFmtId="0" fontId="54" fillId="5" borderId="0" xfId="0" applyFont="1" applyFill="1" applyAlignment="1" applyProtection="1">
      <alignment vertical="center"/>
      <protection hidden="1"/>
    </xf>
    <xf numFmtId="0" fontId="60" fillId="3" borderId="0" xfId="0" applyFont="1" applyFill="1" applyAlignment="1" applyProtection="1">
      <alignment vertical="center"/>
      <protection hidden="1"/>
    </xf>
    <xf numFmtId="0" fontId="33" fillId="3" borderId="1" xfId="0" applyFont="1" applyFill="1" applyBorder="1" applyAlignment="1" applyProtection="1">
      <alignment vertical="center"/>
      <protection hidden="1"/>
    </xf>
    <xf numFmtId="0" fontId="37" fillId="3" borderId="1" xfId="0" applyFont="1" applyFill="1" applyBorder="1" applyAlignment="1" applyProtection="1">
      <alignment vertical="center"/>
      <protection hidden="1"/>
    </xf>
    <xf numFmtId="0" fontId="60" fillId="3" borderId="0" xfId="0" applyFont="1" applyFill="1" applyProtection="1">
      <protection hidden="1"/>
    </xf>
    <xf numFmtId="0" fontId="41" fillId="3" borderId="0" xfId="0" applyFont="1" applyFill="1" applyAlignment="1" applyProtection="1">
      <alignment vertical="center"/>
      <protection hidden="1"/>
    </xf>
    <xf numFmtId="0" fontId="41" fillId="3" borderId="0" xfId="0" applyFont="1" applyFill="1" applyAlignment="1" applyProtection="1">
      <alignment horizontal="right"/>
      <protection hidden="1"/>
    </xf>
    <xf numFmtId="0" fontId="60" fillId="3" borderId="0" xfId="0" applyFont="1" applyFill="1" applyAlignment="1" applyProtection="1">
      <alignment horizontal="center"/>
      <protection hidden="1"/>
    </xf>
    <xf numFmtId="0" fontId="60" fillId="3" borderId="0" xfId="0" applyFont="1" applyFill="1" applyAlignment="1" applyProtection="1">
      <alignment horizontal="center" wrapText="1"/>
      <protection hidden="1"/>
    </xf>
    <xf numFmtId="0" fontId="37" fillId="0" borderId="0" xfId="0" applyFont="1" applyAlignment="1" applyProtection="1">
      <alignment wrapText="1"/>
      <protection hidden="1"/>
    </xf>
    <xf numFmtId="0" fontId="33" fillId="3" borderId="0" xfId="0" applyFont="1" applyFill="1" applyAlignment="1" applyProtection="1">
      <alignment horizontal="right" vertical="center"/>
      <protection hidden="1"/>
    </xf>
    <xf numFmtId="0" fontId="33" fillId="3" borderId="0" xfId="0" applyFont="1" applyFill="1" applyAlignment="1" applyProtection="1">
      <alignment horizontal="center" vertical="center"/>
      <protection hidden="1"/>
    </xf>
    <xf numFmtId="0" fontId="33" fillId="3" borderId="0" xfId="0" applyFont="1" applyFill="1" applyAlignment="1" applyProtection="1">
      <alignment horizontal="center" vertical="center" wrapText="1"/>
      <protection hidden="1"/>
    </xf>
    <xf numFmtId="0" fontId="37" fillId="5" borderId="2" xfId="0" applyFont="1" applyFill="1" applyBorder="1" applyAlignment="1" applyProtection="1">
      <alignment horizontal="center"/>
      <protection hidden="1"/>
    </xf>
    <xf numFmtId="0" fontId="60" fillId="3" borderId="0" xfId="0" applyFont="1" applyFill="1" applyAlignment="1" applyProtection="1">
      <alignment horizontal="left"/>
      <protection hidden="1"/>
    </xf>
    <xf numFmtId="0" fontId="56" fillId="3" borderId="0" xfId="0" applyFont="1" applyFill="1" applyAlignment="1" applyProtection="1">
      <alignment vertical="center"/>
      <protection hidden="1"/>
    </xf>
    <xf numFmtId="0" fontId="60" fillId="3" borderId="0" xfId="0" applyFont="1" applyFill="1" applyAlignment="1" applyProtection="1">
      <alignment horizontal="left" vertical="center"/>
      <protection hidden="1"/>
    </xf>
    <xf numFmtId="2" fontId="37" fillId="5" borderId="2" xfId="0" applyNumberFormat="1" applyFont="1" applyFill="1" applyBorder="1" applyAlignment="1" applyProtection="1">
      <alignment horizontal="center" vertical="center"/>
      <protection hidden="1"/>
    </xf>
    <xf numFmtId="0" fontId="37" fillId="3" borderId="0" xfId="0" applyFont="1" applyFill="1" applyAlignment="1" applyProtection="1">
      <alignment horizontal="center" vertical="center"/>
      <protection hidden="1"/>
    </xf>
    <xf numFmtId="10" fontId="37" fillId="5" borderId="0" xfId="4" applyNumberFormat="1" applyFont="1" applyFill="1" applyAlignment="1" applyProtection="1">
      <alignment horizontal="center"/>
      <protection hidden="1"/>
    </xf>
    <xf numFmtId="0" fontId="37" fillId="5" borderId="0" xfId="1" applyNumberFormat="1" applyFont="1" applyFill="1" applyAlignment="1" applyProtection="1">
      <alignment horizontal="center" vertical="center"/>
      <protection hidden="1"/>
    </xf>
    <xf numFmtId="0" fontId="33" fillId="3" borderId="0" xfId="0" applyFont="1" applyFill="1" applyAlignment="1" applyProtection="1">
      <alignment horizontal="right"/>
      <protection hidden="1"/>
    </xf>
    <xf numFmtId="0" fontId="39" fillId="3" borderId="0" xfId="0" applyFont="1" applyFill="1" applyAlignment="1" applyProtection="1">
      <alignment vertical="center"/>
      <protection hidden="1"/>
    </xf>
    <xf numFmtId="0" fontId="38" fillId="3" borderId="0" xfId="0" applyFont="1" applyFill="1" applyAlignment="1" applyProtection="1">
      <alignment vertical="center"/>
      <protection hidden="1"/>
    </xf>
    <xf numFmtId="0" fontId="39" fillId="3" borderId="0" xfId="0" applyFont="1" applyFill="1" applyAlignment="1" applyProtection="1">
      <alignment horizontal="right"/>
      <protection hidden="1"/>
    </xf>
    <xf numFmtId="0" fontId="61" fillId="3" borderId="0" xfId="0" applyFont="1" applyFill="1" applyAlignment="1" applyProtection="1">
      <alignment horizontal="left" vertical="center"/>
      <protection hidden="1"/>
    </xf>
    <xf numFmtId="0" fontId="61" fillId="3" borderId="0" xfId="0" applyFont="1" applyFill="1" applyAlignment="1" applyProtection="1">
      <alignment horizontal="right" vertical="center"/>
      <protection hidden="1"/>
    </xf>
    <xf numFmtId="0" fontId="37" fillId="5" borderId="3" xfId="0" applyFont="1" applyFill="1" applyBorder="1" applyAlignment="1" applyProtection="1">
      <alignment horizontal="center" vertical="center" wrapText="1"/>
      <protection hidden="1"/>
    </xf>
    <xf numFmtId="0" fontId="37" fillId="5" borderId="2" xfId="0" applyFont="1" applyFill="1" applyBorder="1" applyAlignment="1" applyProtection="1">
      <alignment horizontal="center" vertical="center" wrapText="1"/>
      <protection hidden="1"/>
    </xf>
    <xf numFmtId="0" fontId="50" fillId="3" borderId="0" xfId="0" applyFont="1" applyFill="1" applyAlignment="1" applyProtection="1">
      <alignment horizontal="center" vertical="center"/>
      <protection hidden="1"/>
    </xf>
    <xf numFmtId="0" fontId="55" fillId="3" borderId="0" xfId="0" applyFont="1" applyFill="1" applyAlignment="1" applyProtection="1">
      <alignment vertical="center"/>
      <protection hidden="1"/>
    </xf>
    <xf numFmtId="0" fontId="38" fillId="3" borderId="0" xfId="0" applyFont="1" applyFill="1" applyAlignment="1" applyProtection="1">
      <alignment horizontal="left"/>
      <protection hidden="1"/>
    </xf>
    <xf numFmtId="0" fontId="38" fillId="3" borderId="0" xfId="0" applyFont="1" applyFill="1" applyAlignment="1" applyProtection="1">
      <alignment horizontal="left" vertical="center"/>
      <protection hidden="1"/>
    </xf>
    <xf numFmtId="10" fontId="37" fillId="3" borderId="2" xfId="4" applyNumberFormat="1" applyFont="1" applyFill="1" applyBorder="1" applyAlignment="1" applyProtection="1">
      <alignment horizontal="center" vertical="center"/>
      <protection locked="0"/>
    </xf>
    <xf numFmtId="0" fontId="62" fillId="3" borderId="0" xfId="0" applyFont="1" applyFill="1" applyAlignment="1" applyProtection="1">
      <alignment horizontal="right" vertical="center"/>
      <protection hidden="1"/>
    </xf>
    <xf numFmtId="0" fontId="63" fillId="3" borderId="0" xfId="0" applyFont="1" applyFill="1" applyProtection="1">
      <protection hidden="1"/>
    </xf>
    <xf numFmtId="0" fontId="54" fillId="5" borderId="2" xfId="0" applyFont="1" applyFill="1" applyBorder="1" applyAlignment="1" applyProtection="1">
      <alignment horizontal="center" vertical="center"/>
      <protection hidden="1"/>
    </xf>
    <xf numFmtId="1" fontId="37" fillId="5" borderId="2" xfId="0" applyNumberFormat="1" applyFont="1" applyFill="1" applyBorder="1" applyAlignment="1" applyProtection="1">
      <alignment horizontal="center" vertical="center"/>
      <protection hidden="1"/>
    </xf>
    <xf numFmtId="2" fontId="54" fillId="3" borderId="2" xfId="0" applyNumberFormat="1" applyFont="1" applyFill="1" applyBorder="1" applyAlignment="1" applyProtection="1">
      <alignment horizontal="center" vertical="center"/>
      <protection locked="0"/>
    </xf>
    <xf numFmtId="0" fontId="37" fillId="3" borderId="0" xfId="0" applyFont="1" applyFill="1" applyAlignment="1" applyProtection="1">
      <alignment horizontal="center"/>
      <protection hidden="1"/>
    </xf>
    <xf numFmtId="0" fontId="50" fillId="3" borderId="0" xfId="0" applyFont="1" applyFill="1" applyAlignment="1" applyProtection="1">
      <alignment horizontal="right" vertical="center"/>
      <protection hidden="1"/>
    </xf>
    <xf numFmtId="1" fontId="50" fillId="3" borderId="0" xfId="0" applyNumberFormat="1" applyFont="1" applyFill="1" applyAlignment="1" applyProtection="1">
      <alignment horizontal="center" vertical="center"/>
      <protection hidden="1"/>
    </xf>
    <xf numFmtId="0" fontId="59" fillId="0" borderId="0" xfId="0" applyFont="1" applyProtection="1">
      <protection hidden="1"/>
    </xf>
    <xf numFmtId="10" fontId="64" fillId="5" borderId="2" xfId="4" applyNumberFormat="1" applyFont="1" applyFill="1" applyBorder="1" applyAlignment="1" applyProtection="1">
      <alignment horizontal="center" vertical="center"/>
      <protection locked="0"/>
    </xf>
    <xf numFmtId="0" fontId="63" fillId="3" borderId="0" xfId="0" applyFont="1" applyFill="1" applyAlignment="1" applyProtection="1">
      <alignment vertical="center"/>
      <protection hidden="1"/>
    </xf>
    <xf numFmtId="0" fontId="56" fillId="5" borderId="0" xfId="0" applyFont="1" applyFill="1" applyAlignment="1" applyProtection="1">
      <alignment horizontal="left" vertical="top" wrapText="1"/>
      <protection hidden="1"/>
    </xf>
    <xf numFmtId="0" fontId="56" fillId="3" borderId="0" xfId="0" applyFont="1" applyFill="1" applyAlignment="1" applyProtection="1">
      <alignment horizontal="left"/>
      <protection hidden="1"/>
    </xf>
    <xf numFmtId="0" fontId="54" fillId="3" borderId="2" xfId="0" applyFont="1" applyFill="1" applyBorder="1" applyAlignment="1" applyProtection="1">
      <alignment horizontal="center" vertical="center"/>
      <protection locked="0"/>
    </xf>
    <xf numFmtId="0" fontId="54" fillId="5" borderId="2" xfId="0" applyFont="1" applyFill="1" applyBorder="1" applyAlignment="1" applyProtection="1">
      <alignment horizontal="center"/>
      <protection hidden="1"/>
    </xf>
    <xf numFmtId="0" fontId="54" fillId="3" borderId="2" xfId="0" applyFont="1" applyFill="1" applyBorder="1" applyAlignment="1" applyProtection="1">
      <alignment horizontal="center"/>
      <protection locked="0"/>
    </xf>
    <xf numFmtId="0" fontId="50" fillId="3" borderId="0" xfId="0" applyFont="1" applyFill="1" applyAlignment="1" applyProtection="1">
      <alignment horizontal="center"/>
      <protection hidden="1"/>
    </xf>
    <xf numFmtId="0" fontId="50" fillId="3" borderId="0" xfId="0" applyFont="1" applyFill="1" applyAlignment="1" applyProtection="1">
      <alignment horizontal="center" vertical="center"/>
      <protection locked="0" hidden="1"/>
    </xf>
    <xf numFmtId="0" fontId="37" fillId="3" borderId="0" xfId="0" applyFont="1" applyFill="1" applyAlignment="1" applyProtection="1">
      <alignment horizontal="center" wrapText="1"/>
      <protection hidden="1"/>
    </xf>
    <xf numFmtId="0" fontId="37" fillId="3" borderId="0" xfId="0" applyFont="1" applyFill="1" applyAlignment="1" applyProtection="1">
      <alignment wrapText="1"/>
      <protection hidden="1"/>
    </xf>
    <xf numFmtId="0" fontId="54" fillId="3" borderId="0" xfId="0" applyFont="1" applyFill="1" applyAlignment="1" applyProtection="1">
      <alignment horizontal="left" vertical="center" wrapText="1"/>
      <protection hidden="1"/>
    </xf>
    <xf numFmtId="2" fontId="37" fillId="3" borderId="2" xfId="0" applyNumberFormat="1" applyFont="1" applyFill="1" applyBorder="1" applyAlignment="1" applyProtection="1">
      <alignment horizontal="center" vertical="center"/>
      <protection locked="0"/>
    </xf>
    <xf numFmtId="0" fontId="62" fillId="3" borderId="0" xfId="0" applyFont="1" applyFill="1" applyAlignment="1" applyProtection="1">
      <alignment horizontal="left" vertical="center"/>
      <protection hidden="1"/>
    </xf>
    <xf numFmtId="0" fontId="37" fillId="3" borderId="0" xfId="0" applyFont="1" applyFill="1" applyAlignment="1" applyProtection="1">
      <alignment horizontal="left" wrapText="1"/>
      <protection hidden="1"/>
    </xf>
    <xf numFmtId="0" fontId="37" fillId="5" borderId="5" xfId="0" applyFont="1" applyFill="1" applyBorder="1" applyAlignment="1" applyProtection="1">
      <alignment horizontal="center" vertical="center"/>
      <protection hidden="1"/>
    </xf>
    <xf numFmtId="0" fontId="37" fillId="3" borderId="0" xfId="0" applyFont="1" applyFill="1" applyAlignment="1" applyProtection="1">
      <alignment horizontal="left"/>
      <protection hidden="1"/>
    </xf>
    <xf numFmtId="0" fontId="65" fillId="3" borderId="0" xfId="0" applyFont="1" applyFill="1" applyAlignment="1" applyProtection="1">
      <alignment horizontal="left" vertical="top" wrapText="1"/>
      <protection hidden="1"/>
    </xf>
    <xf numFmtId="0" fontId="50" fillId="3" borderId="0" xfId="0" applyFont="1" applyFill="1" applyAlignment="1" applyProtection="1">
      <alignment vertical="center"/>
      <protection hidden="1"/>
    </xf>
    <xf numFmtId="0" fontId="50" fillId="3" borderId="0" xfId="0" applyFont="1" applyFill="1" applyAlignment="1" applyProtection="1">
      <alignment horizontal="center"/>
      <protection locked="0"/>
    </xf>
    <xf numFmtId="10" fontId="37" fillId="3" borderId="0" xfId="4" applyNumberFormat="1" applyFont="1" applyFill="1" applyAlignment="1" applyProtection="1">
      <alignment horizontal="center" vertical="center"/>
      <protection hidden="1"/>
    </xf>
    <xf numFmtId="0" fontId="62" fillId="3" borderId="0" xfId="0" applyFont="1" applyFill="1" applyAlignment="1" applyProtection="1">
      <alignment horizontal="right"/>
      <protection hidden="1"/>
    </xf>
    <xf numFmtId="0" fontId="37" fillId="3" borderId="0" xfId="0" applyFont="1" applyFill="1" applyAlignment="1" applyProtection="1">
      <alignment horizontal="left" vertical="center"/>
      <protection hidden="1"/>
    </xf>
    <xf numFmtId="0" fontId="54" fillId="3" borderId="0" xfId="0" applyFont="1" applyFill="1" applyAlignment="1" applyProtection="1">
      <alignment horizontal="center" vertical="center"/>
      <protection hidden="1"/>
    </xf>
    <xf numFmtId="0" fontId="56" fillId="3" borderId="0" xfId="0" applyFont="1" applyFill="1" applyAlignment="1" applyProtection="1">
      <alignment horizontal="center"/>
      <protection hidden="1"/>
    </xf>
    <xf numFmtId="2" fontId="37" fillId="5" borderId="2" xfId="4" applyNumberFormat="1" applyFont="1" applyFill="1" applyBorder="1" applyAlignment="1" applyProtection="1">
      <alignment horizontal="center" vertical="center"/>
      <protection hidden="1"/>
    </xf>
    <xf numFmtId="9" fontId="37" fillId="5" borderId="2" xfId="4" applyFont="1" applyFill="1" applyBorder="1" applyAlignment="1" applyProtection="1">
      <alignment horizontal="center" vertical="center"/>
      <protection hidden="1"/>
    </xf>
    <xf numFmtId="4" fontId="37" fillId="3" borderId="2" xfId="0" applyNumberFormat="1" applyFont="1" applyFill="1" applyBorder="1" applyAlignment="1" applyProtection="1">
      <alignment horizontal="center" vertical="center"/>
      <protection locked="0"/>
    </xf>
    <xf numFmtId="0" fontId="54" fillId="3" borderId="2" xfId="0" applyFont="1" applyFill="1" applyBorder="1" applyAlignment="1" applyProtection="1">
      <alignment horizontal="center" vertical="center" wrapText="1"/>
      <protection locked="0"/>
    </xf>
    <xf numFmtId="10" fontId="54" fillId="3" borderId="2" xfId="4" applyNumberFormat="1" applyFont="1" applyFill="1" applyBorder="1" applyAlignment="1" applyProtection="1">
      <alignment horizontal="center" vertical="center"/>
      <protection locked="0"/>
    </xf>
    <xf numFmtId="2" fontId="54" fillId="5" borderId="2" xfId="0" applyNumberFormat="1" applyFont="1" applyFill="1" applyBorder="1" applyAlignment="1" applyProtection="1">
      <alignment horizontal="center" vertical="center"/>
      <protection hidden="1"/>
    </xf>
    <xf numFmtId="2" fontId="54" fillId="3" borderId="2" xfId="4" applyNumberFormat="1" applyFont="1" applyFill="1" applyBorder="1" applyAlignment="1" applyProtection="1">
      <alignment horizontal="center" vertical="center"/>
      <protection locked="0"/>
    </xf>
    <xf numFmtId="0" fontId="66" fillId="3" borderId="0" xfId="0" applyFont="1" applyFill="1" applyAlignment="1" applyProtection="1">
      <alignment horizontal="center" vertical="center" wrapText="1"/>
      <protection hidden="1"/>
    </xf>
    <xf numFmtId="0" fontId="64" fillId="3" borderId="0" xfId="0" applyFont="1" applyFill="1" applyProtection="1">
      <protection hidden="1"/>
    </xf>
    <xf numFmtId="0" fontId="64" fillId="3" borderId="0" xfId="0" applyFont="1" applyFill="1" applyAlignment="1" applyProtection="1">
      <alignment vertical="center"/>
      <protection hidden="1"/>
    </xf>
    <xf numFmtId="0" fontId="54" fillId="5" borderId="0" xfId="0" applyFont="1" applyFill="1" applyAlignment="1" applyProtection="1">
      <alignment horizontal="left" vertical="center"/>
      <protection hidden="1"/>
    </xf>
    <xf numFmtId="0" fontId="54" fillId="3" borderId="0" xfId="0" applyFont="1" applyFill="1" applyAlignment="1" applyProtection="1">
      <alignment vertical="center"/>
      <protection hidden="1"/>
    </xf>
    <xf numFmtId="0" fontId="54" fillId="3" borderId="0" xfId="0" applyFont="1" applyFill="1" applyAlignment="1" applyProtection="1">
      <alignment horizontal="left"/>
      <protection hidden="1"/>
    </xf>
    <xf numFmtId="0" fontId="54" fillId="3" borderId="0" xfId="0" applyFont="1" applyFill="1"/>
    <xf numFmtId="0" fontId="54" fillId="3" borderId="0" xfId="0" applyFont="1" applyFill="1" applyAlignment="1" applyProtection="1">
      <alignment horizontal="left" vertical="top"/>
      <protection hidden="1"/>
    </xf>
    <xf numFmtId="0" fontId="54" fillId="3" borderId="0" xfId="0" applyFont="1" applyFill="1" applyAlignment="1" applyProtection="1">
      <alignment wrapText="1"/>
      <protection hidden="1"/>
    </xf>
    <xf numFmtId="0" fontId="16" fillId="3" borderId="0" xfId="0" applyFont="1" applyFill="1" applyAlignment="1" applyProtection="1">
      <alignment horizontal="left" indent="2"/>
      <protection hidden="1"/>
    </xf>
    <xf numFmtId="0" fontId="54" fillId="3" borderId="0" xfId="0" applyFont="1" applyFill="1" applyAlignment="1" applyProtection="1">
      <alignment vertical="top"/>
      <protection hidden="1"/>
    </xf>
    <xf numFmtId="0" fontId="54" fillId="3" borderId="0" xfId="0" applyFont="1" applyFill="1" applyAlignment="1" applyProtection="1">
      <alignment horizontal="left" vertical="center"/>
      <protection hidden="1"/>
    </xf>
    <xf numFmtId="0" fontId="67" fillId="9" borderId="0" xfId="0" applyFont="1" applyFill="1" applyProtection="1">
      <protection hidden="1"/>
    </xf>
    <xf numFmtId="0" fontId="68" fillId="9" borderId="0" xfId="0" applyFont="1" applyFill="1" applyAlignment="1" applyProtection="1">
      <alignment horizontal="right" vertical="center"/>
      <protection hidden="1"/>
    </xf>
    <xf numFmtId="0" fontId="69" fillId="9" borderId="0" xfId="0" applyFont="1" applyFill="1" applyAlignment="1" applyProtection="1">
      <alignment horizontal="left" vertical="center"/>
      <protection hidden="1"/>
    </xf>
    <xf numFmtId="0" fontId="50" fillId="9" borderId="0" xfId="0" applyFont="1" applyFill="1" applyAlignment="1" applyProtection="1">
      <alignment horizontal="left" vertical="center"/>
      <protection hidden="1"/>
    </xf>
    <xf numFmtId="0" fontId="53" fillId="9" borderId="0" xfId="0" applyFont="1" applyFill="1" applyAlignment="1" applyProtection="1">
      <alignment horizontal="right" vertical="center"/>
      <protection hidden="1"/>
    </xf>
    <xf numFmtId="0" fontId="53" fillId="9" borderId="0" xfId="0" applyFont="1" applyFill="1" applyAlignment="1" applyProtection="1">
      <alignment horizontal="left" vertical="center"/>
      <protection hidden="1"/>
    </xf>
    <xf numFmtId="9" fontId="53" fillId="9" borderId="0" xfId="0" applyNumberFormat="1" applyFont="1" applyFill="1" applyAlignment="1" applyProtection="1">
      <alignment horizontal="center" vertical="center"/>
      <protection hidden="1"/>
    </xf>
    <xf numFmtId="0" fontId="50" fillId="9" borderId="0" xfId="0" applyFont="1" applyFill="1" applyAlignment="1" applyProtection="1">
      <alignment horizontal="right"/>
      <protection hidden="1"/>
    </xf>
    <xf numFmtId="0" fontId="41" fillId="3" borderId="1" xfId="0" applyFont="1" applyFill="1" applyBorder="1" applyAlignment="1" applyProtection="1">
      <alignment horizontal="right"/>
      <protection hidden="1"/>
    </xf>
    <xf numFmtId="0" fontId="39" fillId="3" borderId="1" xfId="0" applyFont="1" applyFill="1" applyBorder="1" applyAlignment="1" applyProtection="1">
      <alignment horizontal="right"/>
      <protection hidden="1"/>
    </xf>
    <xf numFmtId="0" fontId="70" fillId="9" borderId="0" xfId="0" applyFont="1" applyFill="1" applyAlignment="1" applyProtection="1">
      <alignment horizontal="right" vertical="center"/>
      <protection hidden="1"/>
    </xf>
    <xf numFmtId="0" fontId="53" fillId="9" borderId="0" xfId="0" applyFont="1" applyFill="1" applyAlignment="1" applyProtection="1">
      <alignment horizontal="center" vertical="center"/>
      <protection hidden="1"/>
    </xf>
    <xf numFmtId="0" fontId="52" fillId="9" borderId="0" xfId="0" applyFont="1" applyFill="1" applyAlignment="1" applyProtection="1">
      <alignment horizontal="left" vertical="center"/>
      <protection hidden="1"/>
    </xf>
    <xf numFmtId="0" fontId="71" fillId="9" borderId="0" xfId="0" applyFont="1" applyFill="1" applyProtection="1">
      <protection hidden="1"/>
    </xf>
    <xf numFmtId="0" fontId="50" fillId="9" borderId="0" xfId="0" applyFont="1" applyFill="1" applyAlignment="1" applyProtection="1">
      <alignment horizontal="center"/>
      <protection hidden="1"/>
    </xf>
    <xf numFmtId="0" fontId="50" fillId="9" borderId="0" xfId="0" applyFont="1" applyFill="1"/>
    <xf numFmtId="2" fontId="37" fillId="3" borderId="0" xfId="0" applyNumberFormat="1" applyFont="1" applyFill="1" applyAlignment="1">
      <alignment horizontal="center" vertical="center"/>
    </xf>
    <xf numFmtId="0" fontId="37" fillId="3" borderId="0" xfId="0" applyFont="1" applyFill="1"/>
    <xf numFmtId="14" fontId="37" fillId="3" borderId="0" xfId="0" applyNumberFormat="1" applyFont="1" applyFill="1" applyAlignment="1">
      <alignment horizontal="center" vertical="center"/>
    </xf>
    <xf numFmtId="0" fontId="37" fillId="3" borderId="0" xfId="0" applyFont="1" applyFill="1" applyAlignment="1" applyProtection="1">
      <alignment horizontal="left" vertical="top" wrapText="1"/>
      <protection hidden="1"/>
    </xf>
    <xf numFmtId="0" fontId="69" fillId="9" borderId="0" xfId="0" applyFont="1" applyFill="1" applyAlignment="1" applyProtection="1">
      <alignment vertical="center"/>
      <protection hidden="1"/>
    </xf>
    <xf numFmtId="0" fontId="53" fillId="9" borderId="0" xfId="0" applyFont="1" applyFill="1" applyProtection="1">
      <protection hidden="1"/>
    </xf>
    <xf numFmtId="0" fontId="54" fillId="3" borderId="0" xfId="0" applyFont="1" applyFill="1" applyAlignment="1" applyProtection="1">
      <alignment horizontal="center"/>
      <protection hidden="1"/>
    </xf>
    <xf numFmtId="0" fontId="72" fillId="9" borderId="0" xfId="0" applyFont="1" applyFill="1" applyAlignment="1" applyProtection="1">
      <alignment horizontal="left"/>
      <protection hidden="1"/>
    </xf>
    <xf numFmtId="0" fontId="37" fillId="3" borderId="0" xfId="0" applyFont="1" applyFill="1" applyAlignment="1" applyProtection="1">
      <alignment vertical="top" wrapText="1"/>
      <protection hidden="1"/>
    </xf>
    <xf numFmtId="0" fontId="43" fillId="3" borderId="0" xfId="0" applyFont="1" applyFill="1" applyAlignment="1" applyProtection="1">
      <alignment horizontal="left" vertical="top"/>
      <protection hidden="1"/>
    </xf>
    <xf numFmtId="0" fontId="62" fillId="3" borderId="0" xfId="0" applyFont="1" applyFill="1" applyProtection="1">
      <protection hidden="1"/>
    </xf>
    <xf numFmtId="0" fontId="33" fillId="9" borderId="0" xfId="0" applyFont="1" applyFill="1" applyProtection="1">
      <protection hidden="1"/>
    </xf>
    <xf numFmtId="0" fontId="33" fillId="9" borderId="0" xfId="0" applyFont="1" applyFill="1" applyAlignment="1" applyProtection="1">
      <alignment horizontal="right" vertical="center"/>
      <protection hidden="1"/>
    </xf>
    <xf numFmtId="9" fontId="33" fillId="9" borderId="0" xfId="0" applyNumberFormat="1" applyFont="1" applyFill="1" applyAlignment="1" applyProtection="1">
      <alignment horizontal="center" vertical="center"/>
      <protection hidden="1"/>
    </xf>
    <xf numFmtId="0" fontId="37" fillId="9" borderId="0" xfId="0" applyFont="1" applyFill="1" applyProtection="1">
      <protection hidden="1"/>
    </xf>
    <xf numFmtId="0" fontId="37" fillId="9" borderId="0" xfId="0" applyFont="1" applyFill="1" applyAlignment="1" applyProtection="1">
      <alignment horizontal="right" vertical="center"/>
      <protection hidden="1"/>
    </xf>
    <xf numFmtId="0" fontId="37" fillId="9" borderId="0" xfId="0" applyFont="1" applyFill="1" applyAlignment="1" applyProtection="1">
      <alignment vertical="center"/>
      <protection hidden="1"/>
    </xf>
    <xf numFmtId="165" fontId="53" fillId="9" borderId="0" xfId="0" applyNumberFormat="1" applyFont="1" applyFill="1" applyAlignment="1" applyProtection="1">
      <alignment horizontal="center" vertical="center"/>
      <protection hidden="1"/>
    </xf>
    <xf numFmtId="0" fontId="37" fillId="10" borderId="0" xfId="0" applyFont="1" applyFill="1" applyAlignment="1" applyProtection="1">
      <alignment vertical="center"/>
      <protection hidden="1"/>
    </xf>
    <xf numFmtId="0" fontId="37" fillId="10" borderId="0" xfId="0" applyFont="1" applyFill="1" applyAlignment="1" applyProtection="1">
      <alignment horizontal="right" vertical="center"/>
      <protection hidden="1"/>
    </xf>
    <xf numFmtId="0" fontId="50" fillId="10" borderId="0" xfId="0" applyFont="1" applyFill="1" applyProtection="1">
      <protection hidden="1"/>
    </xf>
    <xf numFmtId="0" fontId="50" fillId="10" borderId="0" xfId="0" applyFont="1" applyFill="1" applyAlignment="1" applyProtection="1">
      <alignment vertical="center"/>
      <protection hidden="1"/>
    </xf>
    <xf numFmtId="0" fontId="50" fillId="10" borderId="0" xfId="0" applyFont="1" applyFill="1" applyAlignment="1" applyProtection="1">
      <alignment horizontal="right" vertical="center"/>
      <protection hidden="1"/>
    </xf>
    <xf numFmtId="0" fontId="69" fillId="10" borderId="0" xfId="0" applyFont="1" applyFill="1" applyAlignment="1" applyProtection="1">
      <alignment vertical="center"/>
      <protection hidden="1"/>
    </xf>
    <xf numFmtId="0" fontId="53" fillId="10" borderId="0" xfId="0" applyFont="1" applyFill="1" applyProtection="1">
      <protection hidden="1"/>
    </xf>
    <xf numFmtId="0" fontId="53" fillId="10" borderId="0" xfId="0" applyFont="1" applyFill="1" applyAlignment="1" applyProtection="1">
      <alignment horizontal="right" vertical="center"/>
      <protection hidden="1"/>
    </xf>
    <xf numFmtId="165" fontId="53" fillId="10" borderId="0" xfId="0" applyNumberFormat="1" applyFont="1" applyFill="1" applyAlignment="1" applyProtection="1">
      <alignment horizontal="center" vertical="center"/>
      <protection hidden="1"/>
    </xf>
    <xf numFmtId="0" fontId="50" fillId="10" borderId="0" xfId="0" applyFont="1" applyFill="1" applyAlignment="1" applyProtection="1">
      <alignment horizontal="right"/>
      <protection hidden="1"/>
    </xf>
    <xf numFmtId="0" fontId="67" fillId="10" borderId="0" xfId="0" applyFont="1" applyFill="1" applyProtection="1">
      <protection hidden="1"/>
    </xf>
    <xf numFmtId="9" fontId="53" fillId="10" borderId="0" xfId="0" applyNumberFormat="1" applyFont="1" applyFill="1" applyAlignment="1" applyProtection="1">
      <alignment horizontal="center" vertical="center"/>
      <protection hidden="1"/>
    </xf>
    <xf numFmtId="0" fontId="73" fillId="3" borderId="1" xfId="0" applyFont="1" applyFill="1" applyBorder="1" applyProtection="1">
      <protection hidden="1"/>
    </xf>
    <xf numFmtId="0" fontId="74" fillId="3" borderId="1" xfId="0" applyFont="1" applyFill="1" applyBorder="1" applyProtection="1">
      <protection hidden="1"/>
    </xf>
    <xf numFmtId="165" fontId="37" fillId="5" borderId="0" xfId="4" applyNumberFormat="1" applyFont="1" applyFill="1" applyAlignment="1" applyProtection="1">
      <alignment horizontal="center" vertical="center"/>
      <protection hidden="1"/>
    </xf>
    <xf numFmtId="165" fontId="37" fillId="3" borderId="0" xfId="4" applyNumberFormat="1" applyFont="1" applyFill="1" applyAlignment="1" applyProtection="1">
      <alignment horizontal="center" vertical="center"/>
      <protection hidden="1"/>
    </xf>
    <xf numFmtId="0" fontId="28" fillId="9" borderId="0" xfId="0" applyFont="1" applyFill="1" applyAlignment="1" applyProtection="1">
      <alignment horizontal="right" vertical="center"/>
      <protection hidden="1"/>
    </xf>
    <xf numFmtId="2" fontId="37" fillId="5" borderId="0" xfId="0" applyNumberFormat="1" applyFont="1" applyFill="1" applyAlignment="1" applyProtection="1">
      <alignment horizontal="center" vertical="center"/>
      <protection hidden="1"/>
    </xf>
    <xf numFmtId="1" fontId="37" fillId="5" borderId="0" xfId="4" applyNumberFormat="1" applyFont="1" applyFill="1" applyAlignment="1" applyProtection="1">
      <alignment horizontal="center" vertical="center"/>
      <protection hidden="1"/>
    </xf>
    <xf numFmtId="1" fontId="37" fillId="5" borderId="0" xfId="0" applyNumberFormat="1" applyFont="1" applyFill="1" applyAlignment="1" applyProtection="1">
      <alignment horizontal="center" vertical="center"/>
      <protection hidden="1"/>
    </xf>
    <xf numFmtId="3" fontId="37" fillId="5" borderId="0" xfId="4" applyNumberFormat="1" applyFont="1" applyFill="1" applyAlignment="1" applyProtection="1">
      <alignment horizontal="center" vertical="center"/>
      <protection hidden="1"/>
    </xf>
    <xf numFmtId="2" fontId="37" fillId="3" borderId="0" xfId="0" applyNumberFormat="1" applyFont="1" applyFill="1" applyAlignment="1" applyProtection="1">
      <alignment vertical="center"/>
      <protection hidden="1"/>
    </xf>
    <xf numFmtId="2" fontId="54" fillId="5" borderId="0" xfId="0" applyNumberFormat="1" applyFont="1" applyFill="1" applyAlignment="1" applyProtection="1">
      <alignment horizontal="center" vertical="center"/>
      <protection hidden="1"/>
    </xf>
    <xf numFmtId="0" fontId="37" fillId="3" borderId="0" xfId="0" applyFont="1" applyFill="1" applyAlignment="1" applyProtection="1">
      <alignment horizontal="right"/>
      <protection hidden="1"/>
    </xf>
    <xf numFmtId="4" fontId="37" fillId="5" borderId="0" xfId="4" applyNumberFormat="1" applyFont="1" applyFill="1" applyAlignment="1" applyProtection="1">
      <alignment horizontal="center" vertical="center"/>
      <protection hidden="1"/>
    </xf>
    <xf numFmtId="164" fontId="37" fillId="5" borderId="0" xfId="0" applyNumberFormat="1" applyFont="1" applyFill="1" applyAlignment="1" applyProtection="1">
      <alignment horizontal="center" vertical="center"/>
      <protection hidden="1"/>
    </xf>
    <xf numFmtId="10" fontId="54" fillId="5" borderId="0" xfId="4" applyNumberFormat="1" applyFont="1" applyFill="1" applyAlignment="1" applyProtection="1">
      <alignment horizontal="center" vertical="center"/>
      <protection hidden="1"/>
    </xf>
    <xf numFmtId="0" fontId="54" fillId="5" borderId="0" xfId="0" applyFont="1" applyFill="1" applyAlignment="1" applyProtection="1">
      <alignment horizontal="center" vertical="center"/>
      <protection hidden="1"/>
    </xf>
    <xf numFmtId="0" fontId="52" fillId="9" borderId="0" xfId="0" applyFont="1" applyFill="1" applyAlignment="1">
      <alignment vertical="center"/>
    </xf>
    <xf numFmtId="0" fontId="71" fillId="9" borderId="0" xfId="0" applyFont="1" applyFill="1"/>
    <xf numFmtId="0" fontId="71" fillId="9" borderId="0" xfId="0" applyFont="1" applyFill="1" applyAlignment="1">
      <alignment vertical="top" wrapText="1"/>
    </xf>
    <xf numFmtId="0" fontId="27" fillId="9" borderId="0" xfId="0" applyFont="1" applyFill="1"/>
    <xf numFmtId="0" fontId="33" fillId="3" borderId="0" xfId="0" applyFont="1" applyFill="1" applyAlignment="1">
      <alignment wrapText="1"/>
    </xf>
    <xf numFmtId="0" fontId="50" fillId="9" borderId="0" xfId="0" applyFont="1" applyFill="1" applyAlignment="1">
      <alignment wrapText="1"/>
    </xf>
    <xf numFmtId="0" fontId="37" fillId="3" borderId="2" xfId="0" applyFont="1" applyFill="1" applyBorder="1" applyAlignment="1" applyProtection="1">
      <alignment horizontal="left" vertical="top"/>
      <protection locked="0"/>
    </xf>
    <xf numFmtId="0" fontId="37" fillId="3" borderId="0" xfId="0" applyFont="1" applyFill="1" applyAlignment="1" applyProtection="1">
      <alignment horizontal="right"/>
      <protection locked="0"/>
    </xf>
    <xf numFmtId="0" fontId="37" fillId="3" borderId="2" xfId="0" applyFont="1" applyFill="1" applyBorder="1" applyAlignment="1" applyProtection="1">
      <alignment vertical="top" wrapText="1"/>
      <protection locked="0"/>
    </xf>
    <xf numFmtId="0" fontId="53" fillId="9" borderId="0" xfId="0" applyFont="1" applyFill="1" applyAlignment="1">
      <alignment horizontal="right" vertical="center"/>
    </xf>
    <xf numFmtId="2" fontId="57" fillId="3" borderId="0" xfId="0" applyNumberFormat="1" applyFont="1" applyFill="1" applyProtection="1">
      <protection hidden="1"/>
    </xf>
    <xf numFmtId="2" fontId="58" fillId="3" borderId="0" xfId="0" applyNumberFormat="1" applyFont="1" applyFill="1" applyProtection="1">
      <protection hidden="1"/>
    </xf>
    <xf numFmtId="0" fontId="0" fillId="3" borderId="2" xfId="0" applyFill="1" applyBorder="1" applyAlignment="1">
      <alignment horizontal="center" vertical="center" wrapText="1"/>
    </xf>
    <xf numFmtId="0" fontId="75" fillId="3" borderId="0" xfId="0" applyFont="1" applyFill="1" applyProtection="1">
      <protection hidden="1"/>
    </xf>
    <xf numFmtId="0" fontId="76" fillId="3" borderId="0" xfId="0" applyFont="1" applyFill="1" applyProtection="1">
      <protection hidden="1"/>
    </xf>
    <xf numFmtId="0" fontId="37" fillId="3" borderId="2" xfId="0" applyFont="1" applyFill="1" applyBorder="1" applyAlignment="1" applyProtection="1">
      <alignment horizontal="center" vertical="center"/>
      <protection locked="0" hidden="1"/>
    </xf>
    <xf numFmtId="0" fontId="62" fillId="3" borderId="0" xfId="0" applyFont="1" applyFill="1" applyAlignment="1" applyProtection="1">
      <alignment horizontal="left" vertical="center" wrapText="1"/>
      <protection hidden="1"/>
    </xf>
    <xf numFmtId="0" fontId="37" fillId="3" borderId="0" xfId="0" applyFont="1" applyFill="1" applyAlignment="1" applyProtection="1">
      <alignment horizontal="center" vertical="center"/>
      <protection locked="0"/>
    </xf>
    <xf numFmtId="0" fontId="37" fillId="3" borderId="15" xfId="0" applyFont="1" applyFill="1" applyBorder="1"/>
    <xf numFmtId="0" fontId="37" fillId="3" borderId="12" xfId="0" applyFont="1" applyFill="1" applyBorder="1" applyProtection="1">
      <protection hidden="1"/>
    </xf>
    <xf numFmtId="165" fontId="37" fillId="5" borderId="2" xfId="4" applyNumberFormat="1" applyFont="1" applyFill="1" applyBorder="1" applyAlignment="1" applyProtection="1">
      <alignment horizontal="center" vertical="center"/>
      <protection hidden="1"/>
    </xf>
    <xf numFmtId="0" fontId="37" fillId="0" borderId="0" xfId="0" applyFont="1" applyAlignment="1" applyProtection="1">
      <alignment wrapText="1"/>
      <protection locked="0"/>
    </xf>
    <xf numFmtId="0" fontId="37" fillId="0" borderId="0" xfId="0" applyFont="1" applyAlignment="1" applyProtection="1">
      <alignment vertical="center" wrapText="1"/>
      <protection locked="0"/>
    </xf>
    <xf numFmtId="0" fontId="60" fillId="0" borderId="0" xfId="0" applyFont="1" applyAlignment="1" applyProtection="1">
      <alignment horizontal="center" wrapText="1"/>
      <protection hidden="1"/>
    </xf>
    <xf numFmtId="0" fontId="33" fillId="0" borderId="0" xfId="0" applyFont="1" applyAlignment="1" applyProtection="1">
      <alignment horizontal="center" vertical="center" wrapText="1"/>
      <protection hidden="1"/>
    </xf>
    <xf numFmtId="0" fontId="38" fillId="0" borderId="0" xfId="0" applyFont="1" applyAlignment="1" applyProtection="1">
      <alignment horizontal="center" wrapText="1"/>
      <protection hidden="1"/>
    </xf>
    <xf numFmtId="0" fontId="37" fillId="0" borderId="0" xfId="0" applyFont="1" applyAlignment="1" applyProtection="1">
      <alignment horizontal="center" vertical="center"/>
      <protection locked="0"/>
    </xf>
    <xf numFmtId="0" fontId="37" fillId="0" borderId="2" xfId="0" applyFont="1" applyBorder="1" applyAlignment="1" applyProtection="1">
      <alignment horizontal="center" vertical="center"/>
      <protection locked="0"/>
    </xf>
    <xf numFmtId="0" fontId="37" fillId="0" borderId="0" xfId="0" applyFont="1" applyProtection="1">
      <protection hidden="1"/>
    </xf>
    <xf numFmtId="0" fontId="37" fillId="0" borderId="0" xfId="0" applyFont="1" applyAlignment="1" applyProtection="1">
      <alignment vertical="center"/>
      <protection hidden="1"/>
    </xf>
    <xf numFmtId="0" fontId="56" fillId="0" borderId="0" xfId="0" applyFont="1" applyProtection="1">
      <protection hidden="1"/>
    </xf>
    <xf numFmtId="0" fontId="56" fillId="0" borderId="0" xfId="0" applyFont="1" applyAlignment="1" applyProtection="1">
      <alignment horizontal="left"/>
      <protection hidden="1"/>
    </xf>
    <xf numFmtId="0" fontId="54" fillId="3" borderId="0" xfId="0" applyFont="1" applyFill="1" applyAlignment="1" applyProtection="1">
      <alignment horizontal="left" vertical="top" wrapText="1"/>
      <protection locked="0"/>
    </xf>
    <xf numFmtId="0" fontId="54" fillId="0" borderId="0" xfId="0" applyFont="1" applyAlignment="1" applyProtection="1">
      <alignment horizontal="left" vertical="top" wrapText="1"/>
      <protection locked="0"/>
    </xf>
    <xf numFmtId="0" fontId="54" fillId="5" borderId="2" xfId="0" applyFont="1" applyFill="1" applyBorder="1" applyAlignment="1" applyProtection="1">
      <alignment horizontal="center" vertical="center" wrapText="1"/>
      <protection hidden="1"/>
    </xf>
    <xf numFmtId="0" fontId="50" fillId="3" borderId="12" xfId="0" applyFont="1" applyFill="1" applyBorder="1" applyProtection="1">
      <protection hidden="1"/>
    </xf>
    <xf numFmtId="0" fontId="37" fillId="0" borderId="0" xfId="0" applyFont="1" applyAlignment="1" applyProtection="1">
      <alignment horizontal="center" vertical="center"/>
      <protection hidden="1"/>
    </xf>
    <xf numFmtId="0" fontId="37" fillId="5" borderId="2" xfId="0" applyFont="1" applyFill="1" applyBorder="1" applyAlignment="1">
      <alignment horizontal="center" vertical="center"/>
    </xf>
    <xf numFmtId="0" fontId="0" fillId="7" borderId="8" xfId="0" applyFill="1" applyBorder="1" applyProtection="1">
      <protection locked="0"/>
    </xf>
    <xf numFmtId="0" fontId="28" fillId="7" borderId="8" xfId="0" applyFont="1" applyFill="1" applyBorder="1" applyProtection="1">
      <protection locked="0"/>
    </xf>
    <xf numFmtId="0" fontId="77" fillId="7" borderId="0" xfId="0" applyFont="1" applyFill="1" applyProtection="1">
      <protection locked="0"/>
    </xf>
    <xf numFmtId="0" fontId="37" fillId="0" borderId="0" xfId="0" applyFont="1" applyAlignment="1" applyProtection="1">
      <alignment horizontal="center"/>
      <protection hidden="1"/>
    </xf>
    <xf numFmtId="0" fontId="54" fillId="0" borderId="0" xfId="0" applyFont="1" applyAlignment="1" applyProtection="1">
      <alignment horizontal="center" vertical="center"/>
      <protection hidden="1"/>
    </xf>
    <xf numFmtId="0" fontId="0" fillId="7" borderId="2" xfId="0" applyFill="1" applyBorder="1"/>
    <xf numFmtId="0" fontId="54" fillId="3" borderId="11" xfId="0" applyFont="1" applyFill="1" applyBorder="1" applyAlignment="1" applyProtection="1">
      <alignment horizontal="left" vertical="top" wrapText="1"/>
      <protection locked="0"/>
    </xf>
    <xf numFmtId="0" fontId="10" fillId="2" borderId="0" xfId="0" applyFont="1" applyFill="1" applyProtection="1">
      <protection hidden="1"/>
    </xf>
    <xf numFmtId="0" fontId="11" fillId="2" borderId="0" xfId="0" applyFont="1" applyFill="1" applyAlignment="1" applyProtection="1">
      <alignment horizontal="center" wrapText="1"/>
      <protection hidden="1"/>
    </xf>
    <xf numFmtId="2" fontId="0" fillId="7" borderId="0" xfId="0" applyNumberFormat="1" applyFill="1" applyAlignment="1" applyProtection="1">
      <alignment horizontal="center" vertical="center"/>
      <protection locked="0"/>
    </xf>
    <xf numFmtId="0" fontId="31" fillId="7" borderId="0" xfId="0" applyFont="1" applyFill="1" applyAlignment="1" applyProtection="1">
      <alignment horizontal="left"/>
      <protection locked="0"/>
    </xf>
    <xf numFmtId="0" fontId="77" fillId="7" borderId="0" xfId="0" applyFont="1" applyFill="1" applyAlignment="1" applyProtection="1">
      <alignment horizontal="center"/>
      <protection locked="0"/>
    </xf>
    <xf numFmtId="2" fontId="0" fillId="7" borderId="0" xfId="0" applyNumberFormat="1" applyFill="1" applyAlignment="1" applyProtection="1">
      <alignment horizontal="center"/>
      <protection locked="0"/>
    </xf>
    <xf numFmtId="2" fontId="0" fillId="7" borderId="2" xfId="0" applyNumberFormat="1" applyFill="1" applyBorder="1" applyAlignment="1">
      <alignment horizontal="center"/>
    </xf>
    <xf numFmtId="0" fontId="0" fillId="7" borderId="0" xfId="0" applyFill="1" applyAlignment="1">
      <alignment horizontal="center"/>
    </xf>
    <xf numFmtId="10" fontId="26" fillId="7" borderId="2" xfId="4" applyNumberFormat="1" applyFill="1" applyBorder="1" applyAlignment="1">
      <alignment horizontal="center"/>
    </xf>
    <xf numFmtId="0" fontId="0" fillId="7" borderId="2" xfId="0" applyFill="1" applyBorder="1" applyAlignment="1">
      <alignment horizontal="center"/>
    </xf>
    <xf numFmtId="9" fontId="26" fillId="7" borderId="0" xfId="4" applyFill="1" applyAlignment="1" applyProtection="1">
      <alignment horizontal="center"/>
      <protection locked="0"/>
    </xf>
    <xf numFmtId="2" fontId="0" fillId="7" borderId="2" xfId="0" applyNumberFormat="1" applyFill="1" applyBorder="1" applyAlignment="1" applyProtection="1">
      <alignment horizontal="center" vertical="center"/>
      <protection locked="0"/>
    </xf>
    <xf numFmtId="0" fontId="0" fillId="7" borderId="16" xfId="0" applyFill="1" applyBorder="1" applyProtection="1">
      <protection locked="0"/>
    </xf>
    <xf numFmtId="0" fontId="0" fillId="7" borderId="4" xfId="0" applyFill="1" applyBorder="1" applyProtection="1">
      <protection locked="0"/>
    </xf>
    <xf numFmtId="0" fontId="0" fillId="7" borderId="7" xfId="0" applyFill="1" applyBorder="1" applyProtection="1">
      <protection locked="0"/>
    </xf>
    <xf numFmtId="0" fontId="32" fillId="7" borderId="4" xfId="0" applyFont="1" applyFill="1" applyBorder="1" applyProtection="1">
      <protection locked="0"/>
    </xf>
    <xf numFmtId="1" fontId="0" fillId="7" borderId="2" xfId="0" applyNumberFormat="1" applyFill="1" applyBorder="1" applyAlignment="1" applyProtection="1">
      <alignment horizontal="center"/>
      <protection locked="0"/>
    </xf>
    <xf numFmtId="0" fontId="30" fillId="7" borderId="0" xfId="0" applyFont="1" applyFill="1" applyProtection="1">
      <protection locked="0"/>
    </xf>
    <xf numFmtId="0" fontId="30" fillId="7" borderId="0" xfId="0" applyFont="1" applyFill="1" applyAlignment="1" applyProtection="1">
      <alignment horizontal="center"/>
      <protection locked="0"/>
    </xf>
    <xf numFmtId="9" fontId="26" fillId="7" borderId="2" xfId="4" applyFill="1" applyBorder="1" applyAlignment="1" applyProtection="1">
      <alignment horizontal="center"/>
      <protection locked="0"/>
    </xf>
    <xf numFmtId="9" fontId="26" fillId="7" borderId="5" xfId="4" applyFill="1" applyBorder="1" applyAlignment="1" applyProtection="1">
      <alignment horizontal="center"/>
      <protection hidden="1"/>
    </xf>
    <xf numFmtId="0" fontId="30" fillId="7" borderId="0" xfId="0" applyFont="1" applyFill="1" applyAlignment="1" applyProtection="1">
      <alignment horizontal="center" vertical="center"/>
      <protection locked="0"/>
    </xf>
    <xf numFmtId="0" fontId="30" fillId="7" borderId="4" xfId="0" applyFont="1" applyFill="1" applyBorder="1" applyProtection="1">
      <protection locked="0"/>
    </xf>
    <xf numFmtId="0" fontId="30" fillId="7" borderId="7" xfId="0" applyFont="1" applyFill="1" applyBorder="1" applyProtection="1">
      <protection locked="0"/>
    </xf>
    <xf numFmtId="166" fontId="0" fillId="7" borderId="2" xfId="0" applyNumberFormat="1" applyFill="1" applyBorder="1" applyAlignment="1" applyProtection="1">
      <alignment horizontal="center" vertical="center"/>
      <protection locked="0"/>
    </xf>
    <xf numFmtId="0" fontId="30" fillId="7" borderId="0" xfId="0" applyFont="1" applyFill="1" applyAlignment="1" applyProtection="1">
      <alignment horizontal="left"/>
      <protection locked="0"/>
    </xf>
    <xf numFmtId="10" fontId="26" fillId="7" borderId="0" xfId="4" applyNumberFormat="1" applyFill="1" applyAlignment="1" applyProtection="1">
      <alignment horizontal="center" vertical="center"/>
      <protection locked="0"/>
    </xf>
    <xf numFmtId="1" fontId="0" fillId="7" borderId="0" xfId="0" applyNumberFormat="1" applyFill="1" applyAlignment="1" applyProtection="1">
      <alignment horizontal="center"/>
      <protection locked="0"/>
    </xf>
    <xf numFmtId="166" fontId="0" fillId="7" borderId="2" xfId="0" applyNumberFormat="1" applyFill="1" applyBorder="1" applyAlignment="1" applyProtection="1">
      <alignment horizontal="center"/>
      <protection locked="0"/>
    </xf>
    <xf numFmtId="0" fontId="77" fillId="7" borderId="0" xfId="0" applyFont="1" applyFill="1" applyAlignment="1" applyProtection="1">
      <alignment horizontal="left"/>
      <protection locked="0"/>
    </xf>
    <xf numFmtId="2" fontId="26" fillId="7" borderId="2" xfId="4" applyNumberFormat="1" applyFill="1" applyBorder="1" applyAlignment="1" applyProtection="1">
      <alignment horizontal="center" vertical="center"/>
      <protection locked="0"/>
    </xf>
    <xf numFmtId="166" fontId="0" fillId="7" borderId="2" xfId="0" applyNumberFormat="1" applyFill="1" applyBorder="1" applyAlignment="1">
      <alignment horizontal="center" vertical="center"/>
    </xf>
    <xf numFmtId="1" fontId="0" fillId="7" borderId="2" xfId="0" applyNumberFormat="1" applyFill="1" applyBorder="1" applyAlignment="1">
      <alignment horizontal="center"/>
    </xf>
    <xf numFmtId="1" fontId="0" fillId="7" borderId="2" xfId="0" applyNumberFormat="1" applyFill="1" applyBorder="1" applyAlignment="1" applyProtection="1">
      <alignment horizontal="center"/>
      <protection hidden="1"/>
    </xf>
    <xf numFmtId="166" fontId="0" fillId="7" borderId="5" xfId="0" applyNumberFormat="1" applyFill="1" applyBorder="1" applyAlignment="1" applyProtection="1">
      <alignment horizontal="center"/>
      <protection locked="0"/>
    </xf>
    <xf numFmtId="1" fontId="0" fillId="7" borderId="2" xfId="0" applyNumberFormat="1" applyFill="1" applyBorder="1" applyAlignment="1" applyProtection="1">
      <alignment horizontal="center" vertical="center"/>
      <protection locked="0"/>
    </xf>
    <xf numFmtId="166" fontId="54" fillId="5" borderId="2" xfId="0" applyNumberFormat="1" applyFont="1" applyFill="1" applyBorder="1" applyAlignment="1" applyProtection="1">
      <alignment horizontal="center" vertical="center"/>
      <protection hidden="1"/>
    </xf>
    <xf numFmtId="0" fontId="30" fillId="7" borderId="0" xfId="0" applyFont="1" applyFill="1" applyAlignment="1" applyProtection="1">
      <alignment horizontal="right"/>
      <protection locked="0"/>
    </xf>
    <xf numFmtId="166" fontId="0" fillId="7" borderId="2" xfId="0" applyNumberFormat="1" applyFill="1" applyBorder="1" applyAlignment="1">
      <alignment horizontal="center"/>
    </xf>
    <xf numFmtId="0" fontId="62" fillId="3" borderId="0" xfId="0" applyFont="1" applyFill="1" applyAlignment="1" applyProtection="1">
      <alignment horizontal="left" wrapText="1"/>
      <protection hidden="1"/>
    </xf>
    <xf numFmtId="170" fontId="37" fillId="5" borderId="0" xfId="4" applyNumberFormat="1" applyFont="1" applyFill="1" applyAlignment="1" applyProtection="1">
      <alignment horizontal="center" vertical="center"/>
      <protection hidden="1"/>
    </xf>
    <xf numFmtId="0" fontId="54" fillId="5" borderId="2" xfId="0" applyFont="1" applyFill="1" applyBorder="1" applyAlignment="1">
      <alignment horizontal="center" vertical="center"/>
    </xf>
    <xf numFmtId="0" fontId="54" fillId="5" borderId="2" xfId="0" applyFont="1" applyFill="1" applyBorder="1" applyAlignment="1" applyProtection="1">
      <alignment horizontal="center" vertical="center" wrapText="1"/>
      <protection locked="0"/>
    </xf>
    <xf numFmtId="0" fontId="37" fillId="3" borderId="3" xfId="0" applyFont="1" applyFill="1" applyBorder="1" applyAlignment="1" applyProtection="1">
      <alignment horizontal="center" vertical="center"/>
      <protection locked="0"/>
    </xf>
    <xf numFmtId="165" fontId="50" fillId="3" borderId="0" xfId="4" applyNumberFormat="1" applyFont="1" applyFill="1" applyAlignment="1" applyProtection="1">
      <alignment horizontal="center" vertical="center"/>
      <protection hidden="1"/>
    </xf>
    <xf numFmtId="0" fontId="62" fillId="3" borderId="0" xfId="0" applyFont="1" applyFill="1" applyAlignment="1" applyProtection="1">
      <alignment wrapText="1"/>
      <protection hidden="1"/>
    </xf>
    <xf numFmtId="164" fontId="32" fillId="7" borderId="0" xfId="0" applyNumberFormat="1" applyFont="1" applyFill="1" applyProtection="1">
      <protection locked="0"/>
    </xf>
    <xf numFmtId="10" fontId="37" fillId="3" borderId="0" xfId="4" applyNumberFormat="1" applyFont="1" applyFill="1" applyAlignment="1" applyProtection="1">
      <alignment vertical="center"/>
      <protection hidden="1"/>
    </xf>
    <xf numFmtId="0" fontId="50" fillId="10" borderId="0" xfId="0" applyFont="1" applyFill="1" applyAlignment="1" applyProtection="1">
      <alignment vertical="center" wrapText="1"/>
      <protection hidden="1"/>
    </xf>
    <xf numFmtId="10" fontId="0" fillId="3" borderId="0" xfId="0" applyNumberFormat="1" applyFill="1" applyProtection="1">
      <protection hidden="1"/>
    </xf>
    <xf numFmtId="165" fontId="37" fillId="3" borderId="1" xfId="0" applyNumberFormat="1" applyFont="1" applyFill="1" applyBorder="1" applyProtection="1">
      <protection hidden="1"/>
    </xf>
    <xf numFmtId="1" fontId="37" fillId="3" borderId="1" xfId="0" applyNumberFormat="1" applyFont="1" applyFill="1" applyBorder="1" applyAlignment="1" applyProtection="1">
      <alignment vertical="center"/>
      <protection hidden="1"/>
    </xf>
    <xf numFmtId="0" fontId="0" fillId="3" borderId="11" xfId="0" applyFill="1" applyBorder="1" applyAlignment="1">
      <alignment vertical="top" wrapText="1"/>
    </xf>
    <xf numFmtId="0" fontId="50" fillId="3" borderId="0" xfId="0" applyFont="1" applyFill="1" applyAlignment="1" applyProtection="1">
      <alignment horizontal="left"/>
      <protection hidden="1"/>
    </xf>
    <xf numFmtId="0" fontId="37" fillId="3" borderId="0" xfId="0" applyFont="1" applyFill="1" applyAlignment="1" applyProtection="1">
      <alignment horizontal="right" vertical="top" wrapText="1"/>
      <protection locked="0"/>
    </xf>
    <xf numFmtId="0" fontId="37" fillId="3" borderId="2" xfId="0" applyFont="1" applyFill="1" applyBorder="1" applyAlignment="1" applyProtection="1">
      <alignment horizontal="center" vertical="top" wrapText="1"/>
      <protection locked="0"/>
    </xf>
    <xf numFmtId="0" fontId="37" fillId="3" borderId="2" xfId="0" applyFont="1" applyFill="1" applyBorder="1" applyAlignment="1" applyProtection="1">
      <alignment horizontal="left" vertical="top" wrapText="1"/>
      <protection locked="0"/>
    </xf>
    <xf numFmtId="0" fontId="37" fillId="3" borderId="0" xfId="0" applyFont="1" applyFill="1" applyAlignment="1" applyProtection="1">
      <alignment wrapText="1"/>
      <protection locked="0"/>
    </xf>
    <xf numFmtId="0" fontId="0" fillId="3" borderId="0" xfId="0" applyFill="1" applyAlignment="1" applyProtection="1">
      <alignment horizontal="right" vertical="top" wrapText="1"/>
      <protection locked="0"/>
    </xf>
    <xf numFmtId="0" fontId="0" fillId="3" borderId="2" xfId="0" applyFill="1" applyBorder="1" applyAlignment="1" applyProtection="1">
      <alignment horizontal="center" vertical="top" wrapText="1"/>
      <protection locked="0"/>
    </xf>
    <xf numFmtId="0" fontId="0" fillId="3" borderId="2" xfId="0" applyFill="1" applyBorder="1" applyAlignment="1" applyProtection="1">
      <alignment horizontal="left" vertical="top" wrapText="1"/>
      <protection locked="0"/>
    </xf>
    <xf numFmtId="0" fontId="0" fillId="3" borderId="0" xfId="0" applyFill="1" applyAlignment="1" applyProtection="1">
      <alignment wrapText="1"/>
      <protection locked="0"/>
    </xf>
    <xf numFmtId="2" fontId="0" fillId="7" borderId="0" xfId="0" applyNumberFormat="1" applyFill="1" applyProtection="1">
      <protection locked="0"/>
    </xf>
    <xf numFmtId="0" fontId="77" fillId="7" borderId="0" xfId="0" applyFont="1" applyFill="1" applyAlignment="1" applyProtection="1">
      <alignment horizontal="right"/>
      <protection locked="0"/>
    </xf>
    <xf numFmtId="164" fontId="32" fillId="7" borderId="2" xfId="0" applyNumberFormat="1" applyFont="1" applyFill="1" applyBorder="1" applyProtection="1">
      <protection locked="0"/>
    </xf>
    <xf numFmtId="2" fontId="32" fillId="7" borderId="2" xfId="0" applyNumberFormat="1" applyFont="1" applyFill="1" applyBorder="1" applyAlignment="1" applyProtection="1">
      <alignment horizontal="center"/>
      <protection locked="0"/>
    </xf>
    <xf numFmtId="0" fontId="38" fillId="3" borderId="0" xfId="0" applyFont="1" applyFill="1" applyAlignment="1" applyProtection="1">
      <alignment horizontal="right"/>
      <protection hidden="1"/>
    </xf>
    <xf numFmtId="0" fontId="38" fillId="3" borderId="0" xfId="0" applyFont="1" applyFill="1" applyAlignment="1" applyProtection="1">
      <alignment horizontal="left" wrapText="1"/>
      <protection hidden="1"/>
    </xf>
    <xf numFmtId="10" fontId="37" fillId="3" borderId="2" xfId="0" applyNumberFormat="1" applyFont="1" applyFill="1" applyBorder="1" applyAlignment="1" applyProtection="1">
      <alignment horizontal="center" vertical="center"/>
      <protection locked="0"/>
    </xf>
    <xf numFmtId="14" fontId="54" fillId="3" borderId="2" xfId="0" applyNumberFormat="1" applyFont="1" applyFill="1" applyBorder="1" applyAlignment="1">
      <alignment horizontal="center" vertical="center"/>
    </xf>
    <xf numFmtId="2" fontId="64" fillId="5" borderId="2" xfId="4" applyNumberFormat="1" applyFont="1" applyFill="1" applyBorder="1" applyAlignment="1" applyProtection="1">
      <alignment horizontal="center" vertical="center"/>
      <protection locked="0"/>
    </xf>
    <xf numFmtId="0" fontId="37" fillId="0" borderId="0" xfId="0" applyFont="1" applyProtection="1">
      <protection locked="0"/>
    </xf>
    <xf numFmtId="0" fontId="78" fillId="2" borderId="0" xfId="0" applyFont="1" applyFill="1" applyAlignment="1" applyProtection="1">
      <alignment horizontal="center" wrapText="1"/>
      <protection hidden="1"/>
    </xf>
    <xf numFmtId="0" fontId="0" fillId="0" borderId="0" xfId="0" applyProtection="1">
      <protection locked="0"/>
    </xf>
    <xf numFmtId="0" fontId="0" fillId="0" borderId="0" xfId="0" applyAlignment="1" applyProtection="1">
      <alignment horizontal="center"/>
      <protection locked="0"/>
    </xf>
    <xf numFmtId="0" fontId="32" fillId="0" borderId="0" xfId="0" applyFont="1" applyProtection="1">
      <protection hidden="1"/>
    </xf>
    <xf numFmtId="0" fontId="28" fillId="0" borderId="0" xfId="0" applyFont="1" applyProtection="1">
      <protection hidden="1"/>
    </xf>
    <xf numFmtId="0" fontId="28" fillId="0" borderId="0" xfId="0" applyFont="1" applyProtection="1">
      <protection locked="0"/>
    </xf>
    <xf numFmtId="0" fontId="32" fillId="0" borderId="0" xfId="0" applyFont="1" applyProtection="1">
      <protection locked="0"/>
    </xf>
    <xf numFmtId="0" fontId="32" fillId="0" borderId="0" xfId="0" applyFont="1" applyAlignment="1" applyProtection="1">
      <alignment horizontal="center"/>
      <protection locked="0"/>
    </xf>
    <xf numFmtId="0" fontId="34" fillId="0" borderId="0" xfId="0" applyFont="1" applyProtection="1">
      <protection locked="0"/>
    </xf>
    <xf numFmtId="0" fontId="31" fillId="0" borderId="0" xfId="0" applyFont="1" applyProtection="1">
      <protection locked="0"/>
    </xf>
    <xf numFmtId="0" fontId="0" fillId="0" borderId="0" xfId="0" applyAlignment="1" applyProtection="1">
      <alignment vertical="top"/>
      <protection locked="0"/>
    </xf>
    <xf numFmtId="0" fontId="35" fillId="0" borderId="0" xfId="0" applyFont="1"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protection locked="0"/>
    </xf>
    <xf numFmtId="0" fontId="79" fillId="0" borderId="0" xfId="0" applyFont="1" applyProtection="1">
      <protection locked="0"/>
    </xf>
    <xf numFmtId="0" fontId="37" fillId="0" borderId="0" xfId="0" applyFont="1" applyAlignment="1" applyProtection="1">
      <alignment horizontal="center"/>
      <protection locked="0"/>
    </xf>
    <xf numFmtId="0" fontId="54" fillId="0" borderId="0" xfId="0" applyFont="1" applyProtection="1">
      <protection hidden="1"/>
    </xf>
    <xf numFmtId="0" fontId="0" fillId="0" borderId="0" xfId="0" applyAlignment="1" applyProtection="1">
      <alignment horizontal="right"/>
      <protection locked="0"/>
    </xf>
    <xf numFmtId="0" fontId="0" fillId="0" borderId="0" xfId="0" applyAlignment="1" applyProtection="1">
      <alignment horizontal="left" vertical="top"/>
      <protection locked="0"/>
    </xf>
    <xf numFmtId="9" fontId="0" fillId="0" borderId="0" xfId="0" applyNumberFormat="1" applyAlignment="1" applyProtection="1">
      <alignment horizontal="center" vertical="top" wrapText="1"/>
      <protection locked="0"/>
    </xf>
    <xf numFmtId="0" fontId="32" fillId="0" borderId="0" xfId="0" applyFont="1"/>
    <xf numFmtId="0" fontId="28" fillId="0" borderId="0" xfId="0" applyFont="1" applyAlignment="1" applyProtection="1">
      <alignment horizontal="center"/>
      <protection locked="0"/>
    </xf>
    <xf numFmtId="0" fontId="27" fillId="0" borderId="0" xfId="0" applyFont="1" applyAlignment="1" applyProtection="1">
      <alignment horizontal="center"/>
      <protection locked="0"/>
    </xf>
    <xf numFmtId="0" fontId="0" fillId="7" borderId="2" xfId="0" applyFill="1" applyBorder="1" applyAlignment="1">
      <alignment horizontal="center" vertical="center"/>
    </xf>
    <xf numFmtId="0" fontId="37" fillId="7" borderId="2" xfId="0" applyFont="1" applyFill="1" applyBorder="1" applyAlignment="1" applyProtection="1">
      <alignment horizontal="center" vertical="center"/>
      <protection hidden="1"/>
    </xf>
    <xf numFmtId="0" fontId="27" fillId="7" borderId="8" xfId="0" applyFont="1" applyFill="1" applyBorder="1" applyProtection="1">
      <protection locked="0"/>
    </xf>
    <xf numFmtId="0" fontId="77" fillId="7" borderId="2" xfId="0" applyFont="1" applyFill="1" applyBorder="1" applyProtection="1">
      <protection locked="0"/>
    </xf>
    <xf numFmtId="167" fontId="32" fillId="7" borderId="2" xfId="0" applyNumberFormat="1" applyFont="1" applyFill="1" applyBorder="1" applyProtection="1">
      <protection locked="0"/>
    </xf>
    <xf numFmtId="167" fontId="77" fillId="7" borderId="2" xfId="0" applyNumberFormat="1" applyFont="1" applyFill="1" applyBorder="1" applyProtection="1">
      <protection locked="0"/>
    </xf>
    <xf numFmtId="0" fontId="0" fillId="7" borderId="2" xfId="0" applyFill="1" applyBorder="1" applyProtection="1">
      <protection hidden="1"/>
    </xf>
    <xf numFmtId="0" fontId="32" fillId="7" borderId="2" xfId="0" applyFont="1" applyFill="1" applyBorder="1" applyProtection="1">
      <protection hidden="1"/>
    </xf>
    <xf numFmtId="0" fontId="37" fillId="7" borderId="0" xfId="0" applyFont="1" applyFill="1" applyProtection="1">
      <protection hidden="1"/>
    </xf>
    <xf numFmtId="0" fontId="0" fillId="7" borderId="0" xfId="0" applyFill="1"/>
    <xf numFmtId="0" fontId="54" fillId="7" borderId="0" xfId="0" applyFont="1" applyFill="1" applyAlignment="1">
      <alignment vertical="top" wrapText="1"/>
    </xf>
    <xf numFmtId="10" fontId="0" fillId="7" borderId="0" xfId="0" applyNumberFormat="1" applyFill="1" applyProtection="1">
      <protection hidden="1"/>
    </xf>
    <xf numFmtId="10" fontId="0" fillId="7" borderId="0" xfId="0" applyNumberFormat="1" applyFill="1" applyAlignment="1" applyProtection="1">
      <alignment horizontal="right"/>
      <protection hidden="1"/>
    </xf>
    <xf numFmtId="0" fontId="42" fillId="7" borderId="0" xfId="0" applyFont="1" applyFill="1" applyAlignment="1" applyProtection="1">
      <alignment vertical="top" wrapText="1"/>
      <protection hidden="1"/>
    </xf>
    <xf numFmtId="0" fontId="46" fillId="7" borderId="0" xfId="0" applyFont="1" applyFill="1" applyProtection="1">
      <protection hidden="1"/>
    </xf>
    <xf numFmtId="165" fontId="37" fillId="7" borderId="0" xfId="4" applyNumberFormat="1" applyFont="1" applyFill="1" applyAlignment="1" applyProtection="1">
      <alignment horizontal="center" vertical="center"/>
      <protection hidden="1"/>
    </xf>
    <xf numFmtId="0" fontId="37" fillId="7" borderId="2" xfId="4" applyNumberFormat="1" applyFont="1" applyFill="1" applyBorder="1" applyAlignment="1" applyProtection="1">
      <alignment horizontal="center" vertical="center"/>
      <protection hidden="1"/>
    </xf>
    <xf numFmtId="169" fontId="32" fillId="7" borderId="2" xfId="0" applyNumberFormat="1" applyFont="1" applyFill="1" applyBorder="1" applyProtection="1">
      <protection hidden="1"/>
    </xf>
    <xf numFmtId="167" fontId="32" fillId="7" borderId="2" xfId="0" applyNumberFormat="1" applyFont="1" applyFill="1" applyBorder="1" applyAlignment="1" applyProtection="1">
      <alignment horizontal="center"/>
      <protection locked="0"/>
    </xf>
    <xf numFmtId="168" fontId="32" fillId="7" borderId="2" xfId="0" applyNumberFormat="1" applyFont="1" applyFill="1" applyBorder="1" applyAlignment="1" applyProtection="1">
      <alignment horizontal="center"/>
      <protection locked="0"/>
    </xf>
    <xf numFmtId="2" fontId="32" fillId="7" borderId="2" xfId="0" applyNumberFormat="1" applyFont="1" applyFill="1" applyBorder="1" applyProtection="1">
      <protection locked="0"/>
    </xf>
    <xf numFmtId="2" fontId="32" fillId="7" borderId="2" xfId="0" applyNumberFormat="1" applyFont="1" applyFill="1" applyBorder="1" applyAlignment="1" applyProtection="1">
      <alignment horizontal="right"/>
      <protection locked="0"/>
    </xf>
    <xf numFmtId="169" fontId="54" fillId="3" borderId="0" xfId="0" applyNumberFormat="1" applyFont="1" applyFill="1" applyProtection="1">
      <protection hidden="1"/>
    </xf>
    <xf numFmtId="2" fontId="50" fillId="3" borderId="0" xfId="0" applyNumberFormat="1" applyFont="1" applyFill="1" applyAlignment="1" applyProtection="1">
      <alignment horizontal="center" vertical="center"/>
      <protection locked="0"/>
    </xf>
    <xf numFmtId="0" fontId="30" fillId="7" borderId="2" xfId="0" applyFont="1" applyFill="1" applyBorder="1" applyProtection="1">
      <protection locked="0"/>
    </xf>
    <xf numFmtId="170" fontId="37" fillId="3" borderId="2" xfId="0" applyNumberFormat="1" applyFont="1" applyFill="1" applyBorder="1" applyAlignment="1">
      <alignment horizontal="center" vertical="center"/>
    </xf>
    <xf numFmtId="0" fontId="32" fillId="3" borderId="0" xfId="0" applyFont="1" applyFill="1" applyAlignment="1" applyProtection="1">
      <alignment horizontal="left" vertical="center" wrapText="1"/>
      <protection locked="0"/>
    </xf>
    <xf numFmtId="0" fontId="27" fillId="9" borderId="0" xfId="0" applyFont="1" applyFill="1" applyAlignment="1" applyProtection="1">
      <alignment horizontal="right" vertical="center"/>
      <protection locked="0"/>
    </xf>
    <xf numFmtId="0" fontId="50" fillId="9" borderId="0" xfId="0" applyFont="1" applyFill="1" applyAlignment="1" applyProtection="1">
      <alignment horizontal="right" vertical="center"/>
      <protection locked="0"/>
    </xf>
    <xf numFmtId="0" fontId="0" fillId="3" borderId="1" xfId="0" applyFill="1" applyBorder="1" applyProtection="1">
      <protection locked="0"/>
    </xf>
    <xf numFmtId="0" fontId="50" fillId="9" borderId="0" xfId="0" applyFont="1" applyFill="1" applyAlignment="1" applyProtection="1">
      <alignment horizontal="center" vertical="center"/>
      <protection locked="0"/>
    </xf>
    <xf numFmtId="0" fontId="28" fillId="4" borderId="0" xfId="0" applyFont="1" applyFill="1" applyAlignment="1" applyProtection="1">
      <alignment horizontal="center"/>
      <protection locked="0"/>
    </xf>
    <xf numFmtId="0" fontId="80" fillId="3" borderId="0" xfId="0" applyFont="1" applyFill="1" applyAlignment="1" applyProtection="1">
      <alignment horizontal="center" wrapText="1"/>
      <protection hidden="1"/>
    </xf>
    <xf numFmtId="10" fontId="44" fillId="3" borderId="2" xfId="0" applyNumberFormat="1" applyFont="1" applyFill="1" applyBorder="1" applyAlignment="1">
      <alignment horizontal="center" vertical="center" wrapText="1"/>
    </xf>
    <xf numFmtId="0" fontId="48" fillId="8" borderId="4" xfId="0" applyFont="1" applyFill="1" applyBorder="1" applyAlignment="1">
      <alignment vertical="center"/>
    </xf>
    <xf numFmtId="0" fontId="48" fillId="8" borderId="6" xfId="0" applyFont="1" applyFill="1" applyBorder="1" applyAlignment="1">
      <alignment vertical="center"/>
    </xf>
    <xf numFmtId="0" fontId="0" fillId="11" borderId="2" xfId="0" applyFill="1" applyBorder="1" applyProtection="1">
      <protection hidden="1"/>
    </xf>
    <xf numFmtId="165" fontId="50" fillId="3" borderId="0" xfId="0" applyNumberFormat="1" applyFont="1" applyFill="1" applyAlignment="1" applyProtection="1">
      <alignment horizontal="center" vertical="center"/>
      <protection locked="0"/>
    </xf>
    <xf numFmtId="9" fontId="54" fillId="3" borderId="2" xfId="4" applyFont="1" applyFill="1" applyBorder="1" applyAlignment="1" applyProtection="1">
      <alignment horizontal="center" vertical="center"/>
      <protection locked="0"/>
    </xf>
    <xf numFmtId="0" fontId="80" fillId="3" borderId="0" xfId="0" applyFont="1" applyFill="1" applyAlignment="1" applyProtection="1">
      <alignment horizontal="center" vertical="center" wrapText="1"/>
      <protection hidden="1"/>
    </xf>
    <xf numFmtId="0" fontId="83" fillId="7" borderId="0" xfId="0" applyFont="1" applyFill="1" applyProtection="1">
      <protection locked="0"/>
    </xf>
    <xf numFmtId="0" fontId="83" fillId="7" borderId="2" xfId="0" applyFont="1" applyFill="1" applyBorder="1" applyProtection="1">
      <protection locked="0"/>
    </xf>
    <xf numFmtId="0" fontId="83" fillId="7" borderId="2" xfId="0" applyFont="1" applyFill="1" applyBorder="1" applyAlignment="1" applyProtection="1">
      <alignment horizontal="left"/>
      <protection locked="0"/>
    </xf>
    <xf numFmtId="2" fontId="83" fillId="7" borderId="2" xfId="4" applyNumberFormat="1" applyFont="1" applyFill="1" applyBorder="1" applyAlignment="1" applyProtection="1">
      <alignment horizontal="left"/>
      <protection locked="0"/>
    </xf>
    <xf numFmtId="165" fontId="54" fillId="5" borderId="2" xfId="4" applyNumberFormat="1" applyFont="1" applyFill="1" applyBorder="1" applyAlignment="1">
      <alignment horizontal="center" vertical="center"/>
    </xf>
    <xf numFmtId="0" fontId="54" fillId="3" borderId="3" xfId="0" applyFont="1" applyFill="1" applyBorder="1" applyAlignment="1" applyProtection="1">
      <alignment horizontal="center" vertical="center"/>
      <protection locked="0"/>
    </xf>
    <xf numFmtId="0" fontId="54" fillId="5" borderId="16" xfId="0" applyFont="1" applyFill="1" applyBorder="1" applyAlignment="1" applyProtection="1">
      <alignment horizontal="center" vertical="center"/>
      <protection hidden="1"/>
    </xf>
    <xf numFmtId="0" fontId="54" fillId="0" borderId="0" xfId="0" applyFont="1" applyAlignment="1" applyProtection="1">
      <alignment horizontal="left" vertical="top" wrapText="1"/>
      <protection locked="0" hidden="1"/>
    </xf>
    <xf numFmtId="0" fontId="10" fillId="2" borderId="0" xfId="0" applyFont="1" applyFill="1" applyAlignment="1" applyProtection="1">
      <alignment horizontal="center" vertical="center"/>
      <protection locked="0"/>
    </xf>
    <xf numFmtId="0" fontId="54" fillId="3" borderId="0" xfId="0" applyFont="1" applyFill="1" applyAlignment="1" applyProtection="1">
      <alignment horizontal="center" vertical="center" wrapText="1"/>
      <protection locked="0"/>
    </xf>
    <xf numFmtId="0" fontId="37" fillId="3" borderId="0" xfId="0" applyFont="1" applyFill="1" applyAlignment="1" applyProtection="1">
      <alignment horizontal="left" wrapText="1"/>
      <protection locked="0"/>
    </xf>
    <xf numFmtId="0" fontId="37" fillId="0" borderId="0" xfId="0" applyFont="1" applyAlignment="1" applyProtection="1">
      <alignment horizontal="left" vertical="center" wrapText="1"/>
      <protection locked="0"/>
    </xf>
    <xf numFmtId="0" fontId="37" fillId="0" borderId="0" xfId="0" applyFont="1" applyAlignment="1" applyProtection="1">
      <alignment horizontal="left" wrapText="1"/>
      <protection hidden="1"/>
    </xf>
    <xf numFmtId="0" fontId="54" fillId="3" borderId="0" xfId="0" applyFont="1" applyFill="1" applyAlignment="1" applyProtection="1">
      <alignment vertical="center" wrapText="1"/>
      <protection locked="0"/>
    </xf>
    <xf numFmtId="0" fontId="54" fillId="0" borderId="0" xfId="0" applyFont="1" applyAlignment="1">
      <alignment horizontal="center" vertical="center"/>
    </xf>
    <xf numFmtId="0" fontId="80" fillId="3" borderId="0" xfId="0" applyFont="1" applyFill="1" applyAlignment="1" applyProtection="1">
      <alignment horizontal="center" vertical="center"/>
      <protection hidden="1"/>
    </xf>
    <xf numFmtId="9" fontId="83" fillId="7" borderId="2" xfId="4" applyFont="1" applyFill="1" applyBorder="1" applyAlignment="1" applyProtection="1">
      <alignment horizontal="center"/>
      <protection locked="0"/>
    </xf>
    <xf numFmtId="0" fontId="83" fillId="7" borderId="2" xfId="0" applyFont="1" applyFill="1" applyBorder="1" applyAlignment="1" applyProtection="1">
      <alignment horizontal="center" vertical="center"/>
      <protection locked="0"/>
    </xf>
    <xf numFmtId="1" fontId="54" fillId="5" borderId="2" xfId="0" applyNumberFormat="1" applyFont="1" applyFill="1" applyBorder="1" applyAlignment="1">
      <alignment horizontal="center" vertical="center"/>
    </xf>
    <xf numFmtId="1" fontId="37" fillId="3" borderId="0" xfId="0" applyNumberFormat="1" applyFont="1" applyFill="1" applyProtection="1">
      <protection hidden="1"/>
    </xf>
    <xf numFmtId="1" fontId="54" fillId="5" borderId="3" xfId="0" applyNumberFormat="1" applyFont="1" applyFill="1" applyBorder="1" applyAlignment="1">
      <alignment horizontal="center" vertical="center"/>
    </xf>
    <xf numFmtId="1" fontId="54" fillId="5" borderId="16" xfId="0" applyNumberFormat="1" applyFont="1" applyFill="1" applyBorder="1" applyAlignment="1" applyProtection="1">
      <alignment horizontal="center" vertical="center"/>
      <protection hidden="1"/>
    </xf>
    <xf numFmtId="0" fontId="0" fillId="12" borderId="0" xfId="0" applyFill="1" applyProtection="1">
      <protection locked="0"/>
    </xf>
    <xf numFmtId="0" fontId="0" fillId="7" borderId="4" xfId="0" applyFill="1" applyBorder="1" applyAlignment="1" applyProtection="1">
      <alignment horizontal="center"/>
      <protection locked="0"/>
    </xf>
    <xf numFmtId="0" fontId="0" fillId="7" borderId="4" xfId="0" applyFill="1" applyBorder="1" applyAlignment="1" applyProtection="1">
      <alignment horizontal="right"/>
      <protection locked="0"/>
    </xf>
    <xf numFmtId="0" fontId="0" fillId="7" borderId="16" xfId="0" applyFill="1" applyBorder="1" applyAlignment="1" applyProtection="1">
      <alignment horizontal="center" vertical="center"/>
      <protection locked="0"/>
    </xf>
    <xf numFmtId="2" fontId="54" fillId="3" borderId="0" xfId="0" applyNumberFormat="1" applyFont="1" applyFill="1" applyAlignment="1" applyProtection="1">
      <alignment horizontal="left" vertical="center"/>
      <protection hidden="1"/>
    </xf>
    <xf numFmtId="2" fontId="50" fillId="3" borderId="0" xfId="0" applyNumberFormat="1" applyFont="1" applyFill="1" applyAlignment="1" applyProtection="1">
      <alignment horizontal="center" vertical="center"/>
      <protection hidden="1"/>
    </xf>
    <xf numFmtId="166" fontId="50" fillId="3" borderId="0" xfId="0" applyNumberFormat="1" applyFont="1" applyFill="1" applyAlignment="1">
      <alignment horizontal="center" vertical="center"/>
    </xf>
    <xf numFmtId="2" fontId="50" fillId="3" borderId="0" xfId="0" applyNumberFormat="1" applyFont="1" applyFill="1" applyAlignment="1">
      <alignment horizontal="center" vertical="center"/>
    </xf>
    <xf numFmtId="0" fontId="54" fillId="3" borderId="0" xfId="0" applyFont="1" applyFill="1" applyAlignment="1" applyProtection="1">
      <alignment horizontal="center" vertical="center"/>
      <protection locked="0"/>
    </xf>
    <xf numFmtId="0" fontId="54" fillId="3" borderId="0" xfId="0" applyFont="1" applyFill="1" applyAlignment="1">
      <alignment vertical="top" wrapText="1"/>
    </xf>
    <xf numFmtId="0" fontId="38" fillId="3" borderId="0" xfId="0" applyFont="1" applyFill="1" applyAlignment="1" applyProtection="1">
      <alignment wrapText="1"/>
      <protection hidden="1"/>
    </xf>
    <xf numFmtId="0" fontId="37" fillId="3" borderId="0" xfId="0" applyFont="1" applyFill="1" applyAlignment="1" applyProtection="1">
      <alignment horizontal="left" vertical="center" wrapText="1"/>
      <protection locked="0"/>
    </xf>
    <xf numFmtId="0" fontId="55" fillId="3" borderId="0" xfId="0" applyFont="1" applyFill="1" applyAlignment="1" applyProtection="1">
      <alignment horizontal="center" vertical="center"/>
      <protection hidden="1"/>
    </xf>
    <xf numFmtId="43" fontId="38" fillId="3" borderId="0" xfId="1" applyFont="1" applyFill="1" applyAlignment="1" applyProtection="1">
      <alignment horizontal="center" wrapText="1"/>
      <protection hidden="1"/>
    </xf>
    <xf numFmtId="43" fontId="33" fillId="3" borderId="0" xfId="1" applyFont="1" applyFill="1" applyAlignment="1" applyProtection="1">
      <alignment horizontal="center" vertical="center" wrapText="1"/>
      <protection hidden="1"/>
    </xf>
    <xf numFmtId="9" fontId="60" fillId="3" borderId="0" xfId="4" applyFont="1" applyFill="1" applyAlignment="1" applyProtection="1">
      <alignment horizontal="center" wrapText="1"/>
      <protection hidden="1"/>
    </xf>
    <xf numFmtId="9" fontId="33" fillId="3" borderId="0" xfId="4" applyFont="1" applyFill="1" applyAlignment="1" applyProtection="1">
      <alignment horizontal="center" vertical="center" wrapText="1"/>
      <protection hidden="1"/>
    </xf>
    <xf numFmtId="9" fontId="37" fillId="3" borderId="0" xfId="4" applyFont="1" applyFill="1" applyAlignment="1" applyProtection="1">
      <alignment horizontal="center" vertical="center"/>
      <protection hidden="1"/>
    </xf>
    <xf numFmtId="0" fontId="50" fillId="3" borderId="0" xfId="0" applyFont="1" applyFill="1" applyAlignment="1" applyProtection="1">
      <alignment horizontal="center" vertical="center"/>
      <protection locked="0"/>
    </xf>
    <xf numFmtId="0" fontId="37" fillId="3" borderId="2" xfId="0" applyFont="1" applyFill="1" applyBorder="1" applyAlignment="1" applyProtection="1">
      <alignment horizontal="center" vertical="center" wrapText="1"/>
      <protection locked="0"/>
    </xf>
    <xf numFmtId="10" fontId="64" fillId="3" borderId="0" xfId="4" applyNumberFormat="1" applyFont="1" applyFill="1" applyAlignment="1" applyProtection="1">
      <alignment horizontal="center" vertical="center"/>
      <protection locked="0"/>
    </xf>
    <xf numFmtId="9" fontId="64" fillId="3" borderId="8" xfId="4" applyFont="1" applyFill="1" applyBorder="1" applyAlignment="1" applyProtection="1">
      <alignment horizontal="center" vertical="center"/>
      <protection locked="0"/>
    </xf>
    <xf numFmtId="1" fontId="64" fillId="3" borderId="0" xfId="4" applyNumberFormat="1" applyFont="1" applyFill="1" applyAlignment="1" applyProtection="1">
      <alignment horizontal="center" vertical="center"/>
      <protection locked="0"/>
    </xf>
    <xf numFmtId="1" fontId="54" fillId="3" borderId="2" xfId="4" applyNumberFormat="1" applyFont="1" applyFill="1" applyBorder="1" applyAlignment="1" applyProtection="1">
      <alignment horizontal="center" vertical="center"/>
      <protection locked="0"/>
    </xf>
    <xf numFmtId="165" fontId="54" fillId="5" borderId="2" xfId="0" applyNumberFormat="1" applyFont="1" applyFill="1" applyBorder="1" applyAlignment="1" applyProtection="1">
      <alignment horizontal="center"/>
      <protection hidden="1"/>
    </xf>
    <xf numFmtId="0" fontId="50" fillId="0" borderId="0" xfId="0" applyFont="1" applyProtection="1">
      <protection hidden="1"/>
    </xf>
    <xf numFmtId="0" fontId="50" fillId="3" borderId="0" xfId="0" applyFont="1" applyFill="1" applyAlignment="1" applyProtection="1">
      <alignment horizontal="left" vertical="center"/>
      <protection hidden="1"/>
    </xf>
    <xf numFmtId="0" fontId="31" fillId="7" borderId="0" xfId="0" applyFont="1" applyFill="1" applyProtection="1">
      <protection hidden="1"/>
    </xf>
    <xf numFmtId="0" fontId="55" fillId="7" borderId="0" xfId="0" applyFont="1" applyFill="1" applyAlignment="1">
      <alignment vertical="top" wrapText="1"/>
    </xf>
    <xf numFmtId="0" fontId="66" fillId="3" borderId="0" xfId="0" applyFont="1" applyFill="1" applyAlignment="1" applyProtection="1">
      <alignment horizontal="right"/>
      <protection hidden="1"/>
    </xf>
    <xf numFmtId="0" fontId="27" fillId="0" borderId="0" xfId="0" applyFont="1" applyProtection="1">
      <protection hidden="1"/>
    </xf>
    <xf numFmtId="0" fontId="84" fillId="3" borderId="1" xfId="0" applyFont="1" applyFill="1" applyBorder="1" applyProtection="1">
      <protection hidden="1"/>
    </xf>
    <xf numFmtId="0" fontId="50" fillId="3" borderId="0" xfId="0" applyFont="1" applyFill="1" applyAlignment="1" applyProtection="1">
      <alignment horizontal="right"/>
      <protection hidden="1"/>
    </xf>
    <xf numFmtId="0" fontId="0" fillId="5" borderId="2" xfId="0" applyFill="1" applyBorder="1" applyAlignment="1" applyProtection="1">
      <alignment horizontal="center"/>
      <protection locked="0"/>
    </xf>
    <xf numFmtId="0" fontId="0" fillId="13" borderId="2" xfId="0" applyFill="1" applyBorder="1" applyAlignment="1" applyProtection="1">
      <alignment horizontal="center"/>
      <protection locked="0"/>
    </xf>
    <xf numFmtId="0" fontId="18" fillId="9" borderId="0" xfId="0" applyFont="1" applyFill="1" applyAlignment="1" applyProtection="1">
      <alignment horizontal="right" vertical="center"/>
      <protection hidden="1"/>
    </xf>
    <xf numFmtId="0" fontId="0" fillId="14" borderId="2" xfId="0" applyFill="1" applyBorder="1" applyProtection="1">
      <protection hidden="1"/>
    </xf>
    <xf numFmtId="0" fontId="0" fillId="15" borderId="2" xfId="0" applyFill="1" applyBorder="1" applyAlignment="1" applyProtection="1">
      <alignment horizontal="center" vertical="center"/>
      <protection locked="0"/>
    </xf>
    <xf numFmtId="0" fontId="0" fillId="15" borderId="2" xfId="0" applyFill="1" applyBorder="1" applyAlignment="1" applyProtection="1">
      <alignment horizontal="center" vertical="center"/>
      <protection hidden="1"/>
    </xf>
    <xf numFmtId="0" fontId="0" fillId="15" borderId="2" xfId="0" applyFill="1" applyBorder="1" applyAlignment="1" applyProtection="1">
      <alignment horizontal="right"/>
      <protection hidden="1"/>
    </xf>
    <xf numFmtId="0" fontId="0" fillId="15" borderId="2" xfId="0" applyFill="1" applyBorder="1" applyAlignment="1" applyProtection="1">
      <alignment horizontal="center"/>
      <protection hidden="1"/>
    </xf>
    <xf numFmtId="0" fontId="0" fillId="0" borderId="0" xfId="0" applyAlignment="1">
      <alignment wrapText="1"/>
    </xf>
    <xf numFmtId="0" fontId="0" fillId="0" borderId="1" xfId="0" applyBorder="1" applyAlignment="1">
      <alignment wrapText="1"/>
    </xf>
    <xf numFmtId="0" fontId="50" fillId="9" borderId="2" xfId="0" applyFont="1" applyFill="1" applyBorder="1" applyAlignment="1" applyProtection="1">
      <alignment vertical="center"/>
      <protection hidden="1"/>
    </xf>
    <xf numFmtId="2" fontId="32" fillId="5" borderId="2" xfId="0" applyNumberFormat="1" applyFont="1" applyFill="1" applyBorder="1" applyAlignment="1" applyProtection="1">
      <alignment horizontal="center" vertical="center" wrapText="1"/>
      <protection hidden="1"/>
    </xf>
    <xf numFmtId="0" fontId="77" fillId="7" borderId="2" xfId="0" applyFont="1" applyFill="1" applyBorder="1" applyProtection="1">
      <protection hidden="1"/>
    </xf>
    <xf numFmtId="0" fontId="77" fillId="7" borderId="2" xfId="0" applyFont="1" applyFill="1" applyBorder="1" applyAlignment="1" applyProtection="1">
      <alignment horizontal="right"/>
      <protection locked="0"/>
    </xf>
    <xf numFmtId="0" fontId="32" fillId="3" borderId="2" xfId="0" applyFont="1" applyFill="1" applyBorder="1" applyAlignment="1" applyProtection="1">
      <alignment horizontal="center" vertical="center" wrapText="1"/>
      <protection locked="0"/>
    </xf>
    <xf numFmtId="0" fontId="32" fillId="5" borderId="0" xfId="0" applyFont="1" applyFill="1" applyAlignment="1" applyProtection="1">
      <alignment horizontal="center" vertical="center"/>
      <protection hidden="1"/>
    </xf>
    <xf numFmtId="10" fontId="37" fillId="7" borderId="2" xfId="4" applyNumberFormat="1" applyFont="1" applyFill="1" applyBorder="1" applyAlignment="1" applyProtection="1">
      <alignment horizontal="center" vertical="center"/>
      <protection hidden="1"/>
    </xf>
    <xf numFmtId="0" fontId="37" fillId="3" borderId="0" xfId="0" applyFont="1" applyFill="1" applyAlignment="1" applyProtection="1">
      <alignment vertical="center" wrapText="1"/>
      <protection locked="0"/>
    </xf>
    <xf numFmtId="0" fontId="87" fillId="7" borderId="0" xfId="0" applyFont="1" applyFill="1" applyProtection="1">
      <protection locked="0"/>
    </xf>
    <xf numFmtId="1" fontId="37" fillId="3" borderId="2" xfId="4" applyNumberFormat="1" applyFont="1" applyFill="1" applyBorder="1" applyAlignment="1" applyProtection="1">
      <alignment horizontal="center" vertical="center" wrapText="1"/>
      <protection locked="0"/>
    </xf>
    <xf numFmtId="0" fontId="84" fillId="3" borderId="1" xfId="0" applyFont="1" applyFill="1" applyBorder="1" applyAlignment="1" applyProtection="1">
      <alignment horizontal="right"/>
      <protection hidden="1"/>
    </xf>
    <xf numFmtId="0" fontId="0" fillId="6" borderId="2" xfId="0" applyFill="1" applyBorder="1" applyAlignment="1" applyProtection="1">
      <alignment horizontal="center"/>
      <protection locked="0"/>
    </xf>
    <xf numFmtId="0" fontId="0" fillId="16" borderId="2" xfId="0" applyFill="1" applyBorder="1" applyAlignment="1" applyProtection="1">
      <alignment horizontal="center"/>
      <protection locked="0"/>
    </xf>
    <xf numFmtId="0" fontId="0" fillId="17" borderId="2" xfId="0" applyFill="1" applyBorder="1" applyAlignment="1" applyProtection="1">
      <alignment horizontal="center"/>
      <protection locked="0"/>
    </xf>
    <xf numFmtId="0" fontId="30" fillId="18" borderId="0" xfId="0" applyFont="1" applyFill="1" applyAlignment="1" applyProtection="1">
      <alignment horizontal="right"/>
      <protection locked="0"/>
    </xf>
    <xf numFmtId="0" fontId="77" fillId="18" borderId="0" xfId="0" applyFont="1" applyFill="1" applyAlignment="1" applyProtection="1">
      <alignment horizontal="right"/>
      <protection locked="0"/>
    </xf>
    <xf numFmtId="0" fontId="32" fillId="18" borderId="0" xfId="0" applyFont="1" applyFill="1" applyAlignment="1" applyProtection="1">
      <alignment horizontal="center" vertical="center"/>
      <protection locked="0"/>
    </xf>
    <xf numFmtId="0" fontId="0" fillId="18" borderId="0" xfId="0" applyFill="1" applyAlignment="1" applyProtection="1">
      <alignment horizontal="center" vertical="center"/>
      <protection locked="0"/>
    </xf>
    <xf numFmtId="0" fontId="0" fillId="7" borderId="7" xfId="0" applyFill="1" applyBorder="1" applyAlignment="1" applyProtection="1">
      <alignment horizontal="center"/>
      <protection locked="0"/>
    </xf>
    <xf numFmtId="0" fontId="0" fillId="19" borderId="2" xfId="0" applyFill="1" applyBorder="1" applyProtection="1">
      <protection locked="0"/>
    </xf>
    <xf numFmtId="0" fontId="0" fillId="19" borderId="2" xfId="0" applyFill="1" applyBorder="1"/>
    <xf numFmtId="0" fontId="88" fillId="7" borderId="0" xfId="0" applyFont="1" applyFill="1" applyProtection="1">
      <protection locked="0"/>
    </xf>
    <xf numFmtId="10" fontId="37" fillId="5" borderId="0" xfId="0" applyNumberFormat="1" applyFont="1" applyFill="1" applyAlignment="1" applyProtection="1">
      <alignment horizontal="center" vertical="center"/>
      <protection hidden="1"/>
    </xf>
    <xf numFmtId="0" fontId="0" fillId="7" borderId="0" xfId="0" applyFill="1" applyAlignment="1" applyProtection="1">
      <alignment horizontal="left" vertical="center"/>
      <protection locked="0"/>
    </xf>
    <xf numFmtId="0" fontId="37" fillId="3" borderId="0" xfId="0" applyFont="1" applyFill="1" applyAlignment="1" applyProtection="1">
      <alignment horizontal="left" vertical="top"/>
      <protection hidden="1"/>
    </xf>
    <xf numFmtId="0" fontId="55" fillId="3" borderId="0" xfId="0" applyFont="1" applyFill="1" applyAlignment="1" applyProtection="1">
      <alignment horizontal="right"/>
      <protection hidden="1"/>
    </xf>
    <xf numFmtId="0" fontId="37" fillId="3" borderId="0" xfId="0" applyFont="1" applyFill="1" applyAlignment="1">
      <alignment horizontal="left" vertical="center"/>
    </xf>
    <xf numFmtId="0" fontId="0" fillId="2" borderId="0" xfId="0" applyFill="1" applyProtection="1">
      <protection hidden="1"/>
    </xf>
    <xf numFmtId="0" fontId="89" fillId="2" borderId="0" xfId="0" applyFont="1" applyFill="1" applyProtection="1">
      <protection hidden="1"/>
    </xf>
    <xf numFmtId="0" fontId="90" fillId="2" borderId="0" xfId="0" applyFont="1" applyFill="1" applyProtection="1">
      <protection hidden="1"/>
    </xf>
    <xf numFmtId="0" fontId="90" fillId="2" borderId="0" xfId="0" applyFont="1" applyFill="1" applyAlignment="1" applyProtection="1">
      <alignment horizontal="center"/>
      <protection hidden="1"/>
    </xf>
    <xf numFmtId="0" fontId="10" fillId="2" borderId="0" xfId="0" applyFont="1" applyFill="1" applyAlignment="1" applyProtection="1">
      <alignment vertical="center"/>
      <protection hidden="1"/>
    </xf>
    <xf numFmtId="0" fontId="90" fillId="2" borderId="0" xfId="0" applyFont="1" applyFill="1" applyAlignment="1" applyProtection="1">
      <alignment horizontal="center" wrapText="1"/>
      <protection hidden="1"/>
    </xf>
    <xf numFmtId="0" fontId="11" fillId="2" borderId="0" xfId="0" applyFont="1" applyFill="1" applyProtection="1">
      <protection hidden="1"/>
    </xf>
    <xf numFmtId="0" fontId="91" fillId="9" borderId="0" xfId="0" applyFont="1" applyFill="1" applyProtection="1">
      <protection hidden="1"/>
    </xf>
    <xf numFmtId="0" fontId="18" fillId="9" borderId="0" xfId="0" applyFont="1" applyFill="1" applyAlignment="1" applyProtection="1">
      <alignment horizontal="right"/>
      <protection hidden="1"/>
    </xf>
    <xf numFmtId="0" fontId="12" fillId="2" borderId="0" xfId="0" applyFont="1" applyFill="1" applyAlignment="1" applyProtection="1">
      <alignment horizontal="left" vertical="center"/>
      <protection hidden="1"/>
    </xf>
    <xf numFmtId="0" fontId="10" fillId="5" borderId="2" xfId="0" applyFont="1" applyFill="1" applyBorder="1" applyAlignment="1" applyProtection="1">
      <alignment horizontal="center" vertical="center"/>
      <protection hidden="1"/>
    </xf>
    <xf numFmtId="0" fontId="91" fillId="9" borderId="0" xfId="0" applyFont="1" applyFill="1" applyAlignment="1" applyProtection="1">
      <alignment vertical="center"/>
      <protection hidden="1"/>
    </xf>
    <xf numFmtId="0" fontId="91" fillId="9" borderId="0" xfId="0" applyFont="1" applyFill="1" applyAlignment="1" applyProtection="1">
      <alignment horizontal="right" vertical="center"/>
      <protection hidden="1"/>
    </xf>
    <xf numFmtId="0" fontId="12" fillId="2" borderId="0" xfId="0" applyFont="1" applyFill="1" applyProtection="1">
      <protection hidden="1"/>
    </xf>
    <xf numFmtId="0" fontId="12" fillId="2" borderId="0" xfId="0" applyFont="1" applyFill="1" applyAlignment="1" applyProtection="1">
      <alignment horizontal="left"/>
      <protection hidden="1"/>
    </xf>
    <xf numFmtId="0" fontId="92" fillId="0" borderId="0" xfId="0" applyFont="1"/>
    <xf numFmtId="0" fontId="91" fillId="2" borderId="0" xfId="0" applyFont="1" applyFill="1" applyAlignment="1" applyProtection="1">
      <alignment vertical="center"/>
      <protection hidden="1"/>
    </xf>
    <xf numFmtId="0" fontId="91" fillId="2" borderId="0" xfId="0" applyFont="1" applyFill="1" applyAlignment="1" applyProtection="1">
      <alignment horizontal="right" vertical="center"/>
      <protection hidden="1"/>
    </xf>
    <xf numFmtId="0" fontId="18" fillId="2" borderId="0" xfId="0" applyFont="1" applyFill="1" applyAlignment="1" applyProtection="1">
      <alignment horizontal="right" vertical="center"/>
      <protection hidden="1"/>
    </xf>
    <xf numFmtId="0" fontId="12" fillId="2" borderId="0" xfId="0" applyFont="1" applyFill="1" applyProtection="1">
      <protection locked="0" hidden="1"/>
    </xf>
    <xf numFmtId="0" fontId="10" fillId="2" borderId="2" xfId="0" applyFont="1" applyFill="1" applyBorder="1" applyProtection="1">
      <protection locked="0"/>
    </xf>
    <xf numFmtId="0" fontId="18" fillId="9" borderId="0" xfId="0" applyFont="1" applyFill="1" applyAlignment="1" applyProtection="1">
      <alignment vertical="center"/>
      <protection hidden="1"/>
    </xf>
    <xf numFmtId="2" fontId="12" fillId="5" borderId="2" xfId="0" applyNumberFormat="1" applyFont="1" applyFill="1" applyBorder="1" applyAlignment="1">
      <alignment horizontal="center" vertical="center"/>
    </xf>
    <xf numFmtId="0" fontId="90" fillId="0" borderId="0" xfId="0" applyFont="1" applyAlignment="1" applyProtection="1">
      <alignment vertical="center"/>
      <protection hidden="1"/>
    </xf>
    <xf numFmtId="0" fontId="10" fillId="2" borderId="0" xfId="0" applyFont="1" applyFill="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0" fillId="0" borderId="2" xfId="0" applyBorder="1" applyAlignment="1" applyProtection="1">
      <alignment wrapText="1"/>
      <protection locked="0"/>
    </xf>
    <xf numFmtId="0" fontId="95" fillId="7" borderId="0" xfId="0" applyFont="1" applyFill="1" applyProtection="1">
      <protection locked="0"/>
    </xf>
    <xf numFmtId="0" fontId="96" fillId="7" borderId="0" xfId="0" applyFont="1" applyFill="1" applyProtection="1">
      <protection locked="0"/>
    </xf>
    <xf numFmtId="0" fontId="96" fillId="7" borderId="2" xfId="0" applyFont="1" applyFill="1" applyBorder="1" applyProtection="1">
      <protection locked="0"/>
    </xf>
    <xf numFmtId="0" fontId="60" fillId="0" borderId="0" xfId="0" applyFont="1" applyProtection="1">
      <protection hidden="1"/>
    </xf>
    <xf numFmtId="9" fontId="37" fillId="3" borderId="2" xfId="0" applyNumberFormat="1" applyFont="1" applyFill="1" applyBorder="1" applyAlignment="1" applyProtection="1">
      <alignment horizontal="center" vertical="center"/>
      <protection locked="0"/>
    </xf>
    <xf numFmtId="0" fontId="53" fillId="3" borderId="0" xfId="0" applyFont="1" applyFill="1" applyAlignment="1" applyProtection="1">
      <alignment horizontal="center" vertical="center" wrapText="1"/>
      <protection hidden="1"/>
    </xf>
    <xf numFmtId="0" fontId="37" fillId="5" borderId="0" xfId="4" applyNumberFormat="1" applyFont="1" applyFill="1" applyAlignment="1" applyProtection="1">
      <alignment horizontal="center" vertical="center"/>
      <protection hidden="1"/>
    </xf>
    <xf numFmtId="0" fontId="0" fillId="6" borderId="2" xfId="0" quotePrefix="1" applyFill="1" applyBorder="1" applyProtection="1">
      <protection hidden="1"/>
    </xf>
    <xf numFmtId="165" fontId="54" fillId="5" borderId="0" xfId="4" applyNumberFormat="1" applyFont="1" applyFill="1" applyAlignment="1" applyProtection="1">
      <alignment horizontal="left" vertical="center"/>
      <protection hidden="1"/>
    </xf>
    <xf numFmtId="10" fontId="10" fillId="2" borderId="2" xfId="0" applyNumberFormat="1" applyFont="1" applyFill="1" applyBorder="1" applyAlignment="1" applyProtection="1">
      <alignment vertical="center"/>
      <protection locked="0"/>
    </xf>
    <xf numFmtId="0" fontId="12" fillId="2" borderId="2" xfId="0" applyFont="1" applyFill="1" applyBorder="1" applyProtection="1">
      <protection locked="0"/>
    </xf>
    <xf numFmtId="9" fontId="54" fillId="3" borderId="2" xfId="0" applyNumberFormat="1" applyFont="1" applyFill="1" applyBorder="1" applyAlignment="1" applyProtection="1">
      <alignment horizontal="center" vertical="center"/>
      <protection locked="0" hidden="1"/>
    </xf>
    <xf numFmtId="1" fontId="37" fillId="3" borderId="0" xfId="4" applyNumberFormat="1" applyFont="1" applyFill="1" applyBorder="1" applyAlignment="1" applyProtection="1">
      <alignment horizontal="center" vertical="center" wrapText="1"/>
      <protection locked="0"/>
    </xf>
    <xf numFmtId="0" fontId="64" fillId="5" borderId="2" xfId="0" applyFont="1" applyFill="1" applyBorder="1" applyAlignment="1" applyProtection="1">
      <alignment horizontal="center" vertical="center"/>
      <protection locked="0"/>
    </xf>
    <xf numFmtId="2" fontId="37" fillId="3" borderId="2" xfId="0" applyNumberFormat="1" applyFont="1" applyFill="1" applyBorder="1" applyAlignment="1">
      <alignment horizontal="center" vertical="center"/>
    </xf>
    <xf numFmtId="2" fontId="54" fillId="3" borderId="0" xfId="0" applyNumberFormat="1" applyFont="1" applyFill="1" applyAlignment="1" applyProtection="1">
      <alignment horizontal="left" vertical="top"/>
      <protection hidden="1"/>
    </xf>
    <xf numFmtId="0" fontId="27" fillId="3" borderId="0" xfId="0" applyFont="1" applyFill="1" applyAlignment="1" applyProtection="1">
      <alignment horizontal="right" vertical="top"/>
      <protection hidden="1"/>
    </xf>
    <xf numFmtId="10" fontId="54" fillId="3" borderId="0" xfId="0" applyNumberFormat="1" applyFont="1" applyFill="1" applyAlignment="1" applyProtection="1">
      <alignment horizontal="left" vertical="top" wrapText="1"/>
      <protection locked="0"/>
    </xf>
    <xf numFmtId="0" fontId="37" fillId="3" borderId="4" xfId="0" applyFont="1" applyFill="1" applyBorder="1" applyAlignment="1" applyProtection="1">
      <alignment horizontal="left" vertical="center" wrapText="1"/>
      <protection locked="0"/>
    </xf>
    <xf numFmtId="0" fontId="37" fillId="3" borderId="6" xfId="0" applyFont="1" applyFill="1" applyBorder="1" applyAlignment="1" applyProtection="1">
      <alignment horizontal="left" vertical="center" wrapText="1"/>
      <protection locked="0"/>
    </xf>
    <xf numFmtId="0" fontId="37" fillId="3" borderId="7" xfId="0" applyFont="1" applyFill="1" applyBorder="1" applyAlignment="1" applyProtection="1">
      <alignment horizontal="left" vertical="center" wrapText="1"/>
      <protection locked="0"/>
    </xf>
    <xf numFmtId="0" fontId="54" fillId="3" borderId="2" xfId="0" applyFont="1" applyFill="1" applyBorder="1" applyAlignment="1" applyProtection="1">
      <alignment horizontal="left" vertical="center" wrapText="1"/>
      <protection locked="0"/>
    </xf>
    <xf numFmtId="0" fontId="54" fillId="3" borderId="4" xfId="0" applyFont="1" applyFill="1" applyBorder="1" applyAlignment="1" applyProtection="1">
      <alignment horizontal="left" vertical="center" wrapText="1"/>
      <protection locked="0"/>
    </xf>
    <xf numFmtId="0" fontId="54" fillId="3" borderId="6" xfId="0" applyFont="1" applyFill="1" applyBorder="1" applyAlignment="1" applyProtection="1">
      <alignment horizontal="left" vertical="center" wrapText="1"/>
      <protection locked="0"/>
    </xf>
    <xf numFmtId="0" fontId="54" fillId="3" borderId="7" xfId="0" applyFont="1" applyFill="1" applyBorder="1" applyAlignment="1" applyProtection="1">
      <alignment horizontal="left" vertical="center" wrapText="1"/>
      <protection locked="0"/>
    </xf>
    <xf numFmtId="0" fontId="37" fillId="3" borderId="2" xfId="0" applyFont="1" applyFill="1" applyBorder="1" applyAlignment="1" applyProtection="1">
      <alignment horizontal="left" vertical="center" wrapText="1"/>
      <protection locked="0"/>
    </xf>
    <xf numFmtId="0" fontId="54" fillId="3" borderId="0" xfId="0" applyFont="1" applyFill="1" applyAlignment="1" applyProtection="1">
      <alignment horizontal="left" vertical="top" wrapText="1"/>
      <protection hidden="1"/>
    </xf>
    <xf numFmtId="0" fontId="37" fillId="3" borderId="0" xfId="0" applyFont="1" applyFill="1" applyAlignment="1" applyProtection="1">
      <alignment horizontal="left" vertical="top" wrapText="1"/>
      <protection hidden="1"/>
    </xf>
    <xf numFmtId="0" fontId="0" fillId="0" borderId="0" xfId="0" applyAlignment="1">
      <alignment horizontal="left" vertical="top" wrapText="1"/>
    </xf>
    <xf numFmtId="0" fontId="32" fillId="3" borderId="0" xfId="0" applyFont="1" applyFill="1" applyAlignment="1" applyProtection="1">
      <alignment horizontal="center" vertical="center" wrapText="1"/>
      <protection locked="0"/>
    </xf>
    <xf numFmtId="0" fontId="43" fillId="3" borderId="0" xfId="0" applyFont="1" applyFill="1" applyAlignment="1" applyProtection="1">
      <alignment horizontal="left" vertical="center" wrapText="1"/>
      <protection hidden="1"/>
    </xf>
    <xf numFmtId="0" fontId="37" fillId="5" borderId="4" xfId="0" applyFont="1" applyFill="1" applyBorder="1" applyAlignment="1" applyProtection="1">
      <alignment horizontal="left" vertical="center" wrapText="1"/>
      <protection locked="0"/>
    </xf>
    <xf numFmtId="0" fontId="37" fillId="5" borderId="6" xfId="0" applyFont="1" applyFill="1" applyBorder="1" applyAlignment="1" applyProtection="1">
      <alignment horizontal="left" vertical="center" wrapText="1"/>
      <protection locked="0"/>
    </xf>
    <xf numFmtId="0" fontId="37" fillId="5" borderId="7" xfId="0" applyFont="1" applyFill="1" applyBorder="1" applyAlignment="1" applyProtection="1">
      <alignment horizontal="left" vertical="center" wrapText="1"/>
      <protection locked="0"/>
    </xf>
    <xf numFmtId="0" fontId="43" fillId="3" borderId="0" xfId="0" applyFont="1" applyFill="1" applyAlignment="1" applyProtection="1">
      <alignment vertical="center" wrapText="1"/>
      <protection hidden="1"/>
    </xf>
    <xf numFmtId="0" fontId="0" fillId="0" borderId="0" xfId="0"/>
    <xf numFmtId="0" fontId="54" fillId="5" borderId="4" xfId="0" applyFont="1" applyFill="1" applyBorder="1" applyAlignment="1" applyProtection="1">
      <alignment horizontal="left" vertical="center" wrapText="1"/>
      <protection locked="0"/>
    </xf>
    <xf numFmtId="0" fontId="54" fillId="5" borderId="6" xfId="0" applyFont="1" applyFill="1" applyBorder="1" applyAlignment="1" applyProtection="1">
      <alignment horizontal="left" vertical="center" wrapText="1"/>
      <protection locked="0"/>
    </xf>
    <xf numFmtId="0" fontId="54" fillId="5" borderId="7" xfId="0" applyFont="1" applyFill="1" applyBorder="1" applyAlignment="1" applyProtection="1">
      <alignment horizontal="left" vertical="center" wrapText="1"/>
      <protection locked="0"/>
    </xf>
    <xf numFmtId="0" fontId="54" fillId="5" borderId="4" xfId="0" applyFont="1" applyFill="1" applyBorder="1" applyAlignment="1">
      <alignment horizontal="left" vertical="center" wrapText="1"/>
    </xf>
    <xf numFmtId="0" fontId="54" fillId="5" borderId="6" xfId="0" applyFont="1" applyFill="1" applyBorder="1" applyAlignment="1">
      <alignment horizontal="left" vertical="center" wrapText="1"/>
    </xf>
    <xf numFmtId="0" fontId="54" fillId="5" borderId="7" xfId="0" applyFont="1" applyFill="1" applyBorder="1" applyAlignment="1">
      <alignment horizontal="left" vertical="center" wrapText="1"/>
    </xf>
    <xf numFmtId="10" fontId="54" fillId="3" borderId="4" xfId="0" applyNumberFormat="1" applyFont="1" applyFill="1" applyBorder="1" applyAlignment="1" applyProtection="1">
      <alignment horizontal="left" vertical="top" wrapText="1"/>
      <protection locked="0"/>
    </xf>
    <xf numFmtId="10" fontId="54" fillId="3" borderId="6" xfId="0" applyNumberFormat="1" applyFont="1" applyFill="1" applyBorder="1" applyAlignment="1" applyProtection="1">
      <alignment horizontal="left" vertical="top" wrapText="1"/>
      <protection locked="0"/>
    </xf>
    <xf numFmtId="10" fontId="54" fillId="3" borderId="7" xfId="0" applyNumberFormat="1" applyFont="1" applyFill="1" applyBorder="1" applyAlignment="1" applyProtection="1">
      <alignment horizontal="left" vertical="top" wrapText="1"/>
      <protection locked="0"/>
    </xf>
    <xf numFmtId="0" fontId="46" fillId="3" borderId="0" xfId="0" applyFont="1" applyFill="1" applyAlignment="1" applyProtection="1">
      <alignment horizontal="left" vertical="top" wrapText="1"/>
      <protection hidden="1"/>
    </xf>
    <xf numFmtId="0" fontId="46" fillId="3" borderId="0" xfId="0" applyFont="1" applyFill="1" applyAlignment="1">
      <alignment horizontal="left" vertical="top" wrapText="1"/>
    </xf>
    <xf numFmtId="0" fontId="0" fillId="3" borderId="11" xfId="0" applyFill="1" applyBorder="1" applyAlignment="1" applyProtection="1">
      <alignment horizontal="center"/>
      <protection hidden="1"/>
    </xf>
    <xf numFmtId="0" fontId="0" fillId="3" borderId="0" xfId="0" applyFill="1" applyAlignment="1" applyProtection="1">
      <alignment horizontal="left" vertical="center" wrapText="1"/>
      <protection hidden="1"/>
    </xf>
    <xf numFmtId="0" fontId="54" fillId="3" borderId="0" xfId="0" applyFont="1" applyFill="1" applyAlignment="1" applyProtection="1">
      <alignment vertical="top" wrapText="1"/>
      <protection hidden="1"/>
    </xf>
    <xf numFmtId="0" fontId="54" fillId="3" borderId="0" xfId="0" applyFont="1" applyFill="1" applyAlignment="1">
      <alignment horizontal="left" vertical="top" wrapText="1"/>
    </xf>
    <xf numFmtId="0" fontId="37" fillId="3" borderId="0" xfId="0" applyFont="1" applyFill="1" applyAlignment="1" applyProtection="1">
      <alignment horizontal="center" vertical="center"/>
      <protection hidden="1"/>
    </xf>
    <xf numFmtId="0" fontId="50" fillId="9" borderId="0" xfId="0" applyFont="1" applyFill="1" applyAlignment="1" applyProtection="1">
      <alignment horizontal="right"/>
      <protection hidden="1"/>
    </xf>
    <xf numFmtId="0" fontId="54" fillId="3" borderId="4" xfId="0" applyFont="1" applyFill="1" applyBorder="1" applyAlignment="1" applyProtection="1">
      <alignment horizontal="left" vertical="top" wrapText="1"/>
      <protection locked="0"/>
    </xf>
    <xf numFmtId="0" fontId="54" fillId="0" borderId="6" xfId="0" applyFont="1" applyBorder="1" applyAlignment="1" applyProtection="1">
      <alignment horizontal="left" vertical="top" wrapText="1"/>
      <protection locked="0"/>
    </xf>
    <xf numFmtId="0" fontId="54" fillId="0" borderId="7" xfId="0" applyFont="1" applyBorder="1" applyAlignment="1" applyProtection="1">
      <alignment horizontal="left" vertical="top" wrapText="1"/>
      <protection locked="0"/>
    </xf>
    <xf numFmtId="0" fontId="37" fillId="0" borderId="2" xfId="0" applyFont="1" applyBorder="1" applyAlignment="1" applyProtection="1">
      <alignment wrapText="1"/>
      <protection locked="0"/>
    </xf>
    <xf numFmtId="0" fontId="54" fillId="0" borderId="0" xfId="0" applyFont="1" applyAlignment="1">
      <alignment vertical="top" wrapText="1"/>
    </xf>
    <xf numFmtId="0" fontId="32" fillId="3" borderId="0" xfId="0" applyFont="1" applyFill="1" applyAlignment="1" applyProtection="1">
      <alignment horizontal="left" vertical="top" wrapText="1"/>
      <protection hidden="1"/>
    </xf>
    <xf numFmtId="0" fontId="50" fillId="3" borderId="0" xfId="0" applyFont="1" applyFill="1" applyAlignment="1" applyProtection="1">
      <alignment horizontal="left" vertical="top" wrapText="1"/>
      <protection hidden="1"/>
    </xf>
    <xf numFmtId="0" fontId="27" fillId="0" borderId="0" xfId="0" applyFont="1" applyAlignment="1">
      <alignment horizontal="left" vertical="top" wrapText="1"/>
    </xf>
    <xf numFmtId="0" fontId="54" fillId="3" borderId="0" xfId="0" applyFont="1" applyFill="1" applyAlignment="1" applyProtection="1">
      <alignment horizontal="left" wrapText="1"/>
      <protection hidden="1"/>
    </xf>
    <xf numFmtId="0" fontId="50" fillId="3" borderId="0" xfId="0" applyFont="1" applyFill="1" applyAlignment="1" applyProtection="1">
      <alignment horizontal="left" wrapText="1"/>
      <protection hidden="1"/>
    </xf>
    <xf numFmtId="0" fontId="54" fillId="0" borderId="0" xfId="0" applyFont="1" applyAlignment="1" applyProtection="1">
      <alignment vertical="top" wrapText="1"/>
      <protection hidden="1"/>
    </xf>
    <xf numFmtId="0" fontId="37" fillId="3" borderId="2" xfId="0" applyFont="1" applyFill="1" applyBorder="1" applyAlignment="1" applyProtection="1">
      <alignment horizontal="left" wrapText="1"/>
      <protection locked="0"/>
    </xf>
    <xf numFmtId="0" fontId="50" fillId="3" borderId="11" xfId="0" applyFont="1" applyFill="1" applyBorder="1" applyAlignment="1" applyProtection="1">
      <alignment horizontal="center" vertical="center" wrapText="1"/>
      <protection hidden="1"/>
    </xf>
    <xf numFmtId="0" fontId="54" fillId="3" borderId="6" xfId="0" applyFont="1" applyFill="1" applyBorder="1" applyAlignment="1" applyProtection="1">
      <alignment horizontal="left" vertical="top" wrapText="1"/>
      <protection locked="0"/>
    </xf>
    <xf numFmtId="0" fontId="54" fillId="3" borderId="7" xfId="0" applyFont="1" applyFill="1" applyBorder="1" applyAlignment="1" applyProtection="1">
      <alignment horizontal="left" vertical="top" wrapText="1"/>
      <protection locked="0"/>
    </xf>
    <xf numFmtId="0" fontId="54" fillId="5" borderId="3" xfId="0" applyFont="1" applyFill="1" applyBorder="1" applyAlignment="1" applyProtection="1">
      <alignment horizontal="center" vertical="center"/>
      <protection hidden="1"/>
    </xf>
    <xf numFmtId="0" fontId="54" fillId="5" borderId="5" xfId="0" applyFont="1" applyFill="1" applyBorder="1" applyAlignment="1" applyProtection="1">
      <alignment horizontal="center" vertical="center"/>
      <protection hidden="1"/>
    </xf>
    <xf numFmtId="0" fontId="54" fillId="3" borderId="2" xfId="0" applyFont="1" applyFill="1" applyBorder="1" applyAlignment="1" applyProtection="1">
      <alignment vertical="center" wrapText="1"/>
      <protection locked="0"/>
    </xf>
    <xf numFmtId="0" fontId="37" fillId="3" borderId="11" xfId="0" applyFont="1" applyFill="1" applyBorder="1" applyAlignment="1" applyProtection="1">
      <alignment horizontal="center"/>
      <protection hidden="1"/>
    </xf>
    <xf numFmtId="0" fontId="37" fillId="3" borderId="0" xfId="0" applyFont="1" applyFill="1" applyAlignment="1" applyProtection="1">
      <alignment horizontal="center"/>
      <protection hidden="1"/>
    </xf>
    <xf numFmtId="0" fontId="37" fillId="5" borderId="0" xfId="0" applyFont="1" applyFill="1" applyAlignment="1" applyProtection="1">
      <alignment horizontal="center" vertical="center"/>
      <protection hidden="1"/>
    </xf>
    <xf numFmtId="0" fontId="80" fillId="3" borderId="11" xfId="0" applyFont="1" applyFill="1" applyBorder="1" applyAlignment="1" applyProtection="1">
      <alignment horizontal="center" vertical="center" wrapText="1"/>
      <protection hidden="1"/>
    </xf>
    <xf numFmtId="0" fontId="80" fillId="3" borderId="0" xfId="0" applyFont="1" applyFill="1" applyAlignment="1" applyProtection="1">
      <alignment horizontal="center" vertical="center" wrapText="1"/>
      <protection hidden="1"/>
    </xf>
    <xf numFmtId="0" fontId="80" fillId="3" borderId="1" xfId="0" applyFont="1" applyFill="1" applyBorder="1" applyAlignment="1" applyProtection="1">
      <alignment horizontal="center" vertical="center" wrapText="1"/>
      <protection hidden="1"/>
    </xf>
    <xf numFmtId="0" fontId="50" fillId="9" borderId="0" xfId="0" applyFont="1" applyFill="1" applyAlignment="1" applyProtection="1">
      <alignment horizontal="right" vertical="center" wrapText="1"/>
      <protection hidden="1"/>
    </xf>
    <xf numFmtId="0" fontId="0" fillId="0" borderId="0" xfId="0" applyAlignment="1">
      <alignment horizontal="right" vertical="center" wrapText="1"/>
    </xf>
    <xf numFmtId="0" fontId="50" fillId="3" borderId="0" xfId="0" applyFont="1" applyFill="1" applyAlignment="1" applyProtection="1">
      <alignment horizontal="left" vertical="center" wrapText="1"/>
      <protection locked="0"/>
    </xf>
    <xf numFmtId="0" fontId="37" fillId="3" borderId="6" xfId="0" applyFont="1" applyFill="1" applyBorder="1" applyAlignment="1" applyProtection="1">
      <alignment horizontal="left" wrapText="1"/>
      <protection locked="0"/>
    </xf>
    <xf numFmtId="0" fontId="37" fillId="3" borderId="7" xfId="0" applyFont="1" applyFill="1" applyBorder="1" applyAlignment="1" applyProtection="1">
      <alignment horizontal="left" wrapText="1"/>
      <protection locked="0"/>
    </xf>
    <xf numFmtId="0" fontId="54" fillId="3" borderId="0" xfId="0" applyFont="1" applyFill="1" applyAlignment="1" applyProtection="1">
      <alignment wrapText="1"/>
      <protection hidden="1"/>
    </xf>
    <xf numFmtId="0" fontId="0" fillId="0" borderId="0" xfId="0" applyAlignment="1">
      <alignment wrapText="1"/>
    </xf>
    <xf numFmtId="0" fontId="32" fillId="3" borderId="0" xfId="0" applyFont="1" applyFill="1" applyAlignment="1" applyProtection="1">
      <alignment horizontal="left" wrapText="1"/>
      <protection hidden="1"/>
    </xf>
    <xf numFmtId="0" fontId="37" fillId="5" borderId="0" xfId="0" applyFont="1" applyFill="1" applyAlignment="1" applyProtection="1">
      <alignment horizontal="left" vertical="center"/>
      <protection hidden="1"/>
    </xf>
    <xf numFmtId="0" fontId="27" fillId="9" borderId="0" xfId="0" applyFont="1" applyFill="1" applyAlignment="1" applyProtection="1">
      <alignment horizontal="right" vertical="center" wrapText="1"/>
      <protection hidden="1"/>
    </xf>
    <xf numFmtId="0" fontId="54" fillId="5" borderId="0" xfId="0" applyFont="1" applyFill="1" applyAlignment="1" applyProtection="1">
      <alignment horizontal="left" vertical="center"/>
      <protection hidden="1"/>
    </xf>
    <xf numFmtId="0" fontId="54" fillId="3" borderId="9" xfId="0" applyFont="1" applyFill="1" applyBorder="1" applyAlignment="1" applyProtection="1">
      <alignment horizontal="left" vertical="top" wrapText="1"/>
      <protection locked="0"/>
    </xf>
    <xf numFmtId="0" fontId="54" fillId="0" borderId="11" xfId="0" applyFont="1" applyBorder="1" applyAlignment="1" applyProtection="1">
      <alignment horizontal="left" vertical="top" wrapText="1"/>
      <protection locked="0"/>
    </xf>
    <xf numFmtId="0" fontId="54" fillId="0" borderId="10" xfId="0" applyFont="1" applyBorder="1" applyAlignment="1" applyProtection="1">
      <alignment horizontal="left" vertical="top" wrapText="1"/>
      <protection locked="0"/>
    </xf>
    <xf numFmtId="0" fontId="54" fillId="3" borderId="0" xfId="0" applyFont="1" applyFill="1" applyAlignment="1" applyProtection="1">
      <alignment horizontal="right" vertical="center" wrapText="1"/>
      <protection locked="0"/>
    </xf>
    <xf numFmtId="0" fontId="37" fillId="3" borderId="0" xfId="0" applyFont="1" applyFill="1" applyProtection="1">
      <protection locked="0"/>
    </xf>
    <xf numFmtId="0" fontId="54" fillId="3" borderId="0" xfId="0" applyFont="1" applyFill="1" applyProtection="1">
      <protection hidden="1"/>
    </xf>
    <xf numFmtId="0" fontId="18" fillId="9" borderId="0" xfId="0" applyFont="1" applyFill="1" applyAlignment="1" applyProtection="1">
      <alignment horizontal="right" vertical="center" wrapText="1"/>
      <protection hidden="1"/>
    </xf>
    <xf numFmtId="0" fontId="0" fillId="3" borderId="0" xfId="0" applyFill="1" applyAlignment="1" applyProtection="1">
      <alignment horizontal="left" vertical="top" wrapText="1"/>
      <protection hidden="1"/>
    </xf>
    <xf numFmtId="0" fontId="37" fillId="3" borderId="4" xfId="0" applyFont="1" applyFill="1" applyBorder="1" applyAlignment="1" applyProtection="1">
      <alignment horizontal="left" vertical="top" wrapText="1"/>
      <protection locked="0" hidden="1"/>
    </xf>
    <xf numFmtId="0" fontId="37" fillId="3" borderId="6" xfId="0" applyFont="1" applyFill="1" applyBorder="1" applyAlignment="1" applyProtection="1">
      <alignment horizontal="left" vertical="top" wrapText="1"/>
      <protection locked="0" hidden="1"/>
    </xf>
    <xf numFmtId="0" fontId="37" fillId="3" borderId="7" xfId="0" applyFont="1" applyFill="1" applyBorder="1" applyAlignment="1" applyProtection="1">
      <alignment horizontal="left" vertical="top" wrapText="1"/>
      <protection locked="0" hidden="1"/>
    </xf>
    <xf numFmtId="0" fontId="50" fillId="10" borderId="0" xfId="0" applyFont="1" applyFill="1" applyAlignment="1" applyProtection="1">
      <alignment horizontal="right" wrapText="1"/>
      <protection hidden="1"/>
    </xf>
    <xf numFmtId="0" fontId="37" fillId="5" borderId="4" xfId="0" applyFont="1" applyFill="1" applyBorder="1" applyAlignment="1" applyProtection="1">
      <alignment horizontal="left" vertical="center" wrapText="1"/>
      <protection hidden="1"/>
    </xf>
    <xf numFmtId="0" fontId="37" fillId="5" borderId="6" xfId="0" applyFont="1" applyFill="1" applyBorder="1" applyAlignment="1" applyProtection="1">
      <alignment horizontal="left" wrapText="1"/>
      <protection hidden="1"/>
    </xf>
    <xf numFmtId="0" fontId="37" fillId="5" borderId="7" xfId="0" applyFont="1" applyFill="1" applyBorder="1" applyAlignment="1" applyProtection="1">
      <alignment horizontal="left" wrapText="1"/>
      <protection hidden="1"/>
    </xf>
    <xf numFmtId="0" fontId="62" fillId="3" borderId="0" xfId="0" applyFont="1" applyFill="1" applyAlignment="1" applyProtection="1">
      <alignment horizontal="left" vertical="center" wrapText="1"/>
      <protection hidden="1"/>
    </xf>
    <xf numFmtId="0" fontId="0" fillId="0" borderId="0" xfId="0" applyAlignment="1">
      <alignment horizontal="right"/>
    </xf>
    <xf numFmtId="0" fontId="37" fillId="5" borderId="3" xfId="0" applyFont="1" applyFill="1" applyBorder="1" applyAlignment="1" applyProtection="1">
      <alignment horizontal="center" vertical="center" wrapText="1"/>
      <protection hidden="1"/>
    </xf>
    <xf numFmtId="0" fontId="37" fillId="5" borderId="5" xfId="0" applyFont="1" applyFill="1" applyBorder="1" applyAlignment="1" applyProtection="1">
      <alignment horizontal="center" vertical="center" wrapText="1"/>
      <protection hidden="1"/>
    </xf>
    <xf numFmtId="0" fontId="54" fillId="5" borderId="4" xfId="0" applyFont="1" applyFill="1" applyBorder="1" applyAlignment="1" applyProtection="1">
      <alignment horizontal="left" vertical="top" wrapText="1"/>
      <protection locked="0"/>
    </xf>
    <xf numFmtId="0" fontId="54" fillId="5" borderId="6" xfId="0" applyFont="1" applyFill="1" applyBorder="1" applyAlignment="1" applyProtection="1">
      <alignment horizontal="left" vertical="top" wrapText="1"/>
      <protection locked="0"/>
    </xf>
    <xf numFmtId="0" fontId="54" fillId="5" borderId="7" xfId="0" applyFont="1" applyFill="1" applyBorder="1" applyAlignment="1" applyProtection="1">
      <alignment horizontal="left" vertical="top" wrapText="1"/>
      <protection locked="0"/>
    </xf>
    <xf numFmtId="0" fontId="32" fillId="3" borderId="0" xfId="0" applyFont="1" applyFill="1" applyAlignment="1" applyProtection="1">
      <alignment wrapText="1"/>
      <protection hidden="1"/>
    </xf>
    <xf numFmtId="0" fontId="37" fillId="5" borderId="3" xfId="0" applyFont="1" applyFill="1" applyBorder="1" applyAlignment="1" applyProtection="1">
      <alignment horizontal="center" vertical="center"/>
      <protection hidden="1"/>
    </xf>
    <xf numFmtId="0" fontId="37" fillId="5" borderId="5" xfId="0" applyFont="1" applyFill="1" applyBorder="1" applyAlignment="1" applyProtection="1">
      <alignment horizontal="center" vertical="center"/>
      <protection hidden="1"/>
    </xf>
    <xf numFmtId="0" fontId="38" fillId="3" borderId="0" xfId="0" applyFont="1" applyFill="1" applyAlignment="1" applyProtection="1">
      <alignment horizontal="center" wrapText="1"/>
      <protection hidden="1"/>
    </xf>
    <xf numFmtId="0" fontId="0" fillId="0" borderId="0" xfId="0" applyAlignment="1">
      <alignment horizontal="left"/>
    </xf>
    <xf numFmtId="0" fontId="37" fillId="5" borderId="2" xfId="0" applyFont="1" applyFill="1" applyBorder="1" applyAlignment="1" applyProtection="1">
      <alignment horizontal="center" vertical="center"/>
      <protection hidden="1"/>
    </xf>
    <xf numFmtId="0" fontId="54" fillId="3" borderId="2" xfId="0" applyFont="1" applyFill="1" applyBorder="1" applyAlignment="1" applyProtection="1">
      <alignment horizontal="left" vertical="top" wrapText="1"/>
      <protection locked="0"/>
    </xf>
    <xf numFmtId="0" fontId="54" fillId="0" borderId="2" xfId="0" applyFont="1" applyBorder="1" applyAlignment="1" applyProtection="1">
      <alignment horizontal="left" vertical="top" wrapText="1"/>
      <protection locked="0"/>
    </xf>
    <xf numFmtId="0" fontId="37" fillId="3" borderId="4" xfId="0" applyFont="1" applyFill="1" applyBorder="1" applyAlignment="1" applyProtection="1">
      <alignment horizontal="right" wrapText="1"/>
      <protection locked="0"/>
    </xf>
    <xf numFmtId="0" fontId="37" fillId="3" borderId="6" xfId="0" applyFont="1" applyFill="1" applyBorder="1" applyAlignment="1" applyProtection="1">
      <alignment horizontal="right" wrapText="1"/>
      <protection locked="0"/>
    </xf>
    <xf numFmtId="0" fontId="37" fillId="3" borderId="7" xfId="0" applyFont="1" applyFill="1" applyBorder="1" applyAlignment="1" applyProtection="1">
      <alignment horizontal="right" wrapText="1"/>
      <protection locked="0"/>
    </xf>
    <xf numFmtId="0" fontId="10" fillId="2" borderId="4"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37" fillId="3" borderId="4" xfId="0" applyFont="1" applyFill="1" applyBorder="1" applyAlignment="1" applyProtection="1">
      <alignment horizontal="left" vertical="center"/>
      <protection locked="0"/>
    </xf>
    <xf numFmtId="0" fontId="37" fillId="0" borderId="6" xfId="0" applyFont="1" applyBorder="1" applyAlignment="1" applyProtection="1">
      <alignment horizontal="left"/>
      <protection locked="0"/>
    </xf>
    <xf numFmtId="0" fontId="37" fillId="0" borderId="7" xfId="0" applyFont="1" applyBorder="1" applyAlignment="1" applyProtection="1">
      <alignment horizontal="left"/>
      <protection locked="0"/>
    </xf>
    <xf numFmtId="0" fontId="37" fillId="0" borderId="6" xfId="0" applyFont="1" applyBorder="1" applyAlignment="1" applyProtection="1">
      <alignment horizontal="left" wrapText="1"/>
      <protection hidden="1"/>
    </xf>
    <xf numFmtId="0" fontId="37" fillId="0" borderId="7" xfId="0" applyFont="1" applyBorder="1" applyAlignment="1" applyProtection="1">
      <alignment horizontal="left" wrapText="1"/>
      <protection hidden="1"/>
    </xf>
    <xf numFmtId="0" fontId="50" fillId="9" borderId="0" xfId="0" applyFont="1" applyFill="1" applyAlignment="1" applyProtection="1">
      <alignment horizontal="right" vertical="center"/>
      <protection hidden="1"/>
    </xf>
    <xf numFmtId="0" fontId="50" fillId="9" borderId="0" xfId="0" applyFont="1" applyFill="1" applyAlignment="1" applyProtection="1">
      <alignment wrapText="1"/>
      <protection hidden="1"/>
    </xf>
    <xf numFmtId="0" fontId="50" fillId="9" borderId="0" xfId="0" applyFont="1" applyFill="1" applyProtection="1">
      <protection hidden="1"/>
    </xf>
    <xf numFmtId="0" fontId="77" fillId="7" borderId="1" xfId="0" applyFont="1" applyFill="1" applyBorder="1" applyAlignment="1" applyProtection="1">
      <alignment horizontal="center"/>
      <protection hidden="1"/>
    </xf>
    <xf numFmtId="0" fontId="77" fillId="7" borderId="1" xfId="0" applyFont="1" applyFill="1" applyBorder="1" applyAlignment="1" applyProtection="1">
      <alignment horizontal="center"/>
      <protection locked="0"/>
    </xf>
    <xf numFmtId="0" fontId="54" fillId="3" borderId="0" xfId="0" applyFont="1" applyFill="1" applyAlignment="1" applyProtection="1">
      <alignment horizontal="left" vertical="center" wrapText="1"/>
      <protection hidden="1"/>
    </xf>
    <xf numFmtId="0" fontId="60" fillId="0" borderId="0" xfId="0" applyFont="1" applyAlignment="1" applyProtection="1">
      <alignment horizontal="left"/>
      <protection hidden="1"/>
    </xf>
    <xf numFmtId="0" fontId="37" fillId="0" borderId="0" xfId="0" applyFont="1" applyAlignment="1" applyProtection="1">
      <alignment horizontal="left"/>
      <protection hidden="1"/>
    </xf>
    <xf numFmtId="0" fontId="0" fillId="0" borderId="5" xfId="0" applyBorder="1" applyAlignment="1">
      <alignment horizontal="center" vertical="center"/>
    </xf>
    <xf numFmtId="0" fontId="37" fillId="3" borderId="4" xfId="0" applyFont="1" applyFill="1" applyBorder="1" applyAlignment="1" applyProtection="1">
      <alignment vertical="center" wrapText="1"/>
      <protection locked="0"/>
    </xf>
    <xf numFmtId="0" fontId="37" fillId="0" borderId="6" xfId="0" applyFont="1" applyBorder="1" applyAlignment="1" applyProtection="1">
      <alignment vertical="center" wrapText="1"/>
      <protection locked="0"/>
    </xf>
    <xf numFmtId="0" fontId="37" fillId="0" borderId="7" xfId="0" applyFont="1" applyBorder="1" applyAlignment="1" applyProtection="1">
      <alignment vertical="center" wrapText="1"/>
      <protection locked="0"/>
    </xf>
    <xf numFmtId="0" fontId="11" fillId="2" borderId="0" xfId="0" applyFont="1" applyFill="1" applyAlignment="1" applyProtection="1">
      <alignment horizontal="left"/>
      <protection hidden="1"/>
    </xf>
    <xf numFmtId="0" fontId="10" fillId="0" borderId="0" xfId="0" applyFont="1" applyAlignment="1" applyProtection="1">
      <alignment horizontal="left"/>
      <protection hidden="1"/>
    </xf>
    <xf numFmtId="0" fontId="0" fillId="7" borderId="0" xfId="0" applyFill="1" applyAlignment="1" applyProtection="1">
      <alignment horizontal="right"/>
      <protection locked="0"/>
    </xf>
    <xf numFmtId="0" fontId="12" fillId="2" borderId="0" xfId="0" applyFont="1" applyFill="1" applyAlignment="1" applyProtection="1">
      <alignment vertical="top" wrapText="1"/>
      <protection hidden="1"/>
    </xf>
    <xf numFmtId="0" fontId="10" fillId="2" borderId="4" xfId="0" applyFont="1" applyFill="1" applyBorder="1" applyAlignment="1" applyProtection="1">
      <alignment horizontal="center" vertical="center"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54" fillId="3" borderId="9" xfId="0" applyFont="1" applyFill="1" applyBorder="1" applyAlignment="1" applyProtection="1">
      <alignment horizontal="center" vertical="center"/>
      <protection hidden="1"/>
    </xf>
    <xf numFmtId="0" fontId="54" fillId="3" borderId="11" xfId="0" applyFont="1" applyFill="1" applyBorder="1" applyAlignment="1" applyProtection="1">
      <alignment horizontal="center" vertical="center"/>
      <protection hidden="1"/>
    </xf>
    <xf numFmtId="0" fontId="54" fillId="3" borderId="10" xfId="0" applyFont="1" applyFill="1" applyBorder="1" applyAlignment="1" applyProtection="1">
      <alignment horizontal="center" vertical="center"/>
      <protection hidden="1"/>
    </xf>
    <xf numFmtId="10" fontId="37" fillId="3" borderId="4" xfId="4" applyNumberFormat="1" applyFont="1" applyFill="1" applyBorder="1" applyAlignment="1" applyProtection="1">
      <alignment horizontal="left" vertical="center"/>
      <protection locked="0"/>
    </xf>
    <xf numFmtId="10" fontId="37" fillId="3" borderId="6" xfId="4" applyNumberFormat="1" applyFont="1" applyFill="1" applyBorder="1" applyAlignment="1" applyProtection="1">
      <alignment horizontal="left" vertical="center"/>
      <protection locked="0"/>
    </xf>
    <xf numFmtId="10" fontId="37" fillId="3" borderId="7" xfId="4" applyNumberFormat="1" applyFont="1" applyFill="1" applyBorder="1" applyAlignment="1" applyProtection="1">
      <alignment horizontal="left" vertical="center"/>
      <protection locked="0"/>
    </xf>
    <xf numFmtId="0" fontId="54" fillId="0" borderId="0" xfId="0" applyFont="1" applyAlignment="1">
      <alignment horizontal="left" wrapText="1"/>
    </xf>
    <xf numFmtId="0" fontId="50" fillId="3" borderId="0" xfId="0" applyFont="1" applyFill="1" applyAlignment="1" applyProtection="1">
      <alignment horizontal="right" wrapText="1" indent="1"/>
      <protection hidden="1"/>
    </xf>
    <xf numFmtId="0" fontId="54" fillId="3" borderId="0" xfId="0" applyFont="1" applyFill="1" applyAlignment="1" applyProtection="1">
      <alignment horizontal="center" vertical="center" wrapText="1"/>
      <protection hidden="1"/>
    </xf>
    <xf numFmtId="0" fontId="48" fillId="8" borderId="4" xfId="0" applyFont="1" applyFill="1" applyBorder="1" applyAlignment="1">
      <alignment horizontal="left" vertical="center"/>
    </xf>
    <xf numFmtId="0" fontId="48" fillId="8" borderId="6" xfId="0" applyFont="1" applyFill="1" applyBorder="1" applyAlignment="1">
      <alignment horizontal="left" vertical="center"/>
    </xf>
    <xf numFmtId="0" fontId="48" fillId="8" borderId="7" xfId="0" applyFont="1" applyFill="1" applyBorder="1" applyAlignment="1">
      <alignment horizontal="left" vertical="center"/>
    </xf>
    <xf numFmtId="0" fontId="37" fillId="3" borderId="4" xfId="0" applyFont="1" applyFill="1" applyBorder="1" applyAlignment="1" applyProtection="1">
      <alignment horizontal="center" vertical="top" wrapText="1"/>
      <protection locked="0"/>
    </xf>
    <xf numFmtId="0" fontId="37" fillId="3" borderId="6" xfId="0" applyFont="1" applyFill="1" applyBorder="1" applyAlignment="1" applyProtection="1">
      <alignment horizontal="center" vertical="top" wrapText="1"/>
      <protection locked="0"/>
    </xf>
    <xf numFmtId="0" fontId="37" fillId="3" borderId="7" xfId="0" applyFont="1" applyFill="1" applyBorder="1" applyAlignment="1" applyProtection="1">
      <alignment horizontal="center" vertical="top" wrapText="1"/>
      <protection locked="0"/>
    </xf>
    <xf numFmtId="0" fontId="37" fillId="3" borderId="4" xfId="0" applyFont="1" applyFill="1" applyBorder="1" applyAlignment="1" applyProtection="1">
      <alignment vertical="top" wrapText="1"/>
      <protection locked="0"/>
    </xf>
    <xf numFmtId="0" fontId="37" fillId="3" borderId="6" xfId="0" applyFont="1" applyFill="1" applyBorder="1" applyAlignment="1" applyProtection="1">
      <alignment vertical="top" wrapText="1"/>
      <protection locked="0"/>
    </xf>
    <xf numFmtId="0" fontId="37" fillId="3" borderId="7" xfId="0" applyFont="1" applyFill="1" applyBorder="1" applyAlignment="1" applyProtection="1">
      <alignment vertical="top" wrapText="1"/>
      <protection locked="0"/>
    </xf>
    <xf numFmtId="0" fontId="37" fillId="0" borderId="6" xfId="0" applyFont="1" applyBorder="1" applyAlignment="1" applyProtection="1">
      <alignment vertical="top" wrapText="1"/>
      <protection locked="0"/>
    </xf>
    <xf numFmtId="0" fontId="37" fillId="0" borderId="7" xfId="0" applyFont="1" applyBorder="1" applyAlignment="1" applyProtection="1">
      <alignment vertical="top" wrapText="1"/>
      <protection locked="0"/>
    </xf>
    <xf numFmtId="0" fontId="0" fillId="3" borderId="4" xfId="0"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0" fillId="3" borderId="7" xfId="0" applyFill="1" applyBorder="1" applyAlignment="1" applyProtection="1">
      <alignment vertical="top" wrapText="1"/>
      <protection locked="0"/>
    </xf>
    <xf numFmtId="49" fontId="22" fillId="3" borderId="4" xfId="0" applyNumberFormat="1" applyFont="1" applyFill="1" applyBorder="1" applyAlignment="1">
      <alignment horizontal="left" vertical="center" wrapText="1"/>
    </xf>
    <xf numFmtId="49" fontId="32" fillId="3" borderId="6" xfId="0" applyNumberFormat="1" applyFont="1" applyFill="1" applyBorder="1" applyAlignment="1">
      <alignment horizontal="left" vertical="center" wrapText="1"/>
    </xf>
    <xf numFmtId="49" fontId="32" fillId="3" borderId="7" xfId="0" applyNumberFormat="1" applyFont="1" applyFill="1" applyBorder="1" applyAlignment="1">
      <alignment horizontal="left" vertical="center" wrapText="1"/>
    </xf>
    <xf numFmtId="49" fontId="22" fillId="3" borderId="4" xfId="0" applyNumberFormat="1" applyFont="1" applyFill="1" applyBorder="1" applyAlignment="1">
      <alignment horizontal="left" vertical="top" wrapText="1"/>
    </xf>
    <xf numFmtId="49" fontId="32" fillId="3" borderId="6" xfId="0" applyNumberFormat="1" applyFont="1" applyFill="1" applyBorder="1" applyAlignment="1">
      <alignment horizontal="left" vertical="top" wrapText="1"/>
    </xf>
    <xf numFmtId="49" fontId="32" fillId="3" borderId="7" xfId="0" applyNumberFormat="1" applyFont="1" applyFill="1" applyBorder="1" applyAlignment="1">
      <alignment horizontal="left" vertical="top" wrapText="1"/>
    </xf>
    <xf numFmtId="49" fontId="22" fillId="3" borderId="6" xfId="0" applyNumberFormat="1" applyFont="1" applyFill="1" applyBorder="1" applyAlignment="1">
      <alignment horizontal="left" vertical="center" wrapText="1"/>
    </xf>
    <xf numFmtId="49" fontId="22" fillId="3" borderId="7" xfId="0" applyNumberFormat="1" applyFont="1" applyFill="1" applyBorder="1" applyAlignment="1">
      <alignment horizontal="left" vertical="center" wrapText="1"/>
    </xf>
    <xf numFmtId="0" fontId="43" fillId="0" borderId="0" xfId="0" applyFont="1" applyAlignment="1" applyProtection="1">
      <alignment vertical="center" wrapText="1"/>
      <protection hidden="1"/>
    </xf>
    <xf numFmtId="0" fontId="0" fillId="3" borderId="0" xfId="0" applyFill="1" applyProtection="1">
      <protection locked="0" hidden="1"/>
    </xf>
  </cellXfs>
  <cellStyles count="5">
    <cellStyle name="Comma 2" xfId="2" xr:uid="{00000000-0005-0000-0000-000001000000}"/>
    <cellStyle name="Hyperlänk" xfId="3" builtinId="8"/>
    <cellStyle name="Normal" xfId="0" builtinId="0"/>
    <cellStyle name="Procent" xfId="4" builtinId="5"/>
    <cellStyle name="Tusental" xfId="1" builtinId="3"/>
  </cellStyles>
  <dxfs count="254">
    <dxf>
      <font>
        <color rgb="FF9AB599"/>
      </font>
      <fill>
        <patternFill>
          <bgColor rgb="FF9AB599"/>
        </patternFill>
      </fill>
      <border>
        <left/>
        <right/>
        <top/>
        <bottom/>
      </border>
    </dxf>
    <dxf>
      <font>
        <color rgb="FF9AB599"/>
      </font>
      <fill>
        <patternFill>
          <bgColor rgb="FF9AB599"/>
        </patternFill>
      </fill>
      <border>
        <left/>
        <right/>
        <top/>
        <bottom/>
      </border>
    </dxf>
    <dxf>
      <font>
        <color rgb="FF9AB599"/>
      </font>
      <fill>
        <patternFill>
          <bgColor rgb="FF9AB599"/>
        </patternFill>
      </fill>
      <border>
        <left/>
        <right/>
        <top/>
        <bottom/>
      </border>
    </dxf>
    <dxf>
      <font>
        <color rgb="FF9AB599"/>
      </font>
      <fill>
        <patternFill>
          <bgColor rgb="FF9AB599"/>
        </patternFill>
      </fill>
      <border>
        <left/>
        <right/>
        <top/>
        <bottom/>
      </border>
    </dxf>
    <dxf>
      <font>
        <color theme="1"/>
      </font>
    </dxf>
    <dxf>
      <font>
        <strike val="0"/>
        <color auto="1"/>
        <name val="Cambria"/>
        <scheme val="none"/>
      </font>
    </dxf>
    <dxf>
      <font>
        <strike val="0"/>
        <color auto="1"/>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border>
        <left/>
        <right/>
        <top/>
        <bottom/>
      </border>
    </dxf>
    <dxf>
      <font>
        <color auto="1"/>
      </font>
      <fill>
        <patternFill>
          <bgColor theme="0"/>
        </patternFill>
      </fill>
      <border>
        <left/>
        <right/>
        <top/>
        <bottom/>
      </border>
    </dxf>
    <dxf>
      <font>
        <color rgb="FFFF0000"/>
      </font>
    </dxf>
    <dxf>
      <font>
        <color rgb="FFFF0000"/>
      </font>
      <fill>
        <patternFill>
          <bgColor theme="0"/>
        </patternFill>
      </fill>
    </dxf>
    <dxf>
      <font>
        <color theme="0"/>
      </font>
      <fill>
        <patternFill>
          <bgColor theme="0"/>
        </patternFill>
      </fill>
    </dxf>
    <dxf>
      <font>
        <color theme="0"/>
      </font>
      <fill>
        <patternFill>
          <bgColor theme="0"/>
        </patternFill>
      </fill>
      <border>
        <left/>
        <right/>
        <top/>
        <bottom/>
      </border>
    </dxf>
    <dxf>
      <font>
        <color theme="0" tint="-0.14996795556505021"/>
      </font>
      <fill>
        <patternFill>
          <bgColor theme="0" tint="-0.14996795556505021"/>
        </patternFill>
      </fill>
    </dxf>
    <dxf>
      <font>
        <color theme="0"/>
      </font>
      <fill>
        <patternFill>
          <bgColor theme="0"/>
        </patternFill>
      </fill>
      <border>
        <left/>
        <right/>
        <top/>
        <bottom/>
      </border>
    </dxf>
    <dxf>
      <font>
        <color theme="0" tint="-0.14996795556505021"/>
      </font>
      <fill>
        <patternFill>
          <bgColor theme="0" tint="-0.14996795556505021"/>
        </patternFill>
      </fill>
    </dxf>
    <dxf>
      <font>
        <color theme="0"/>
      </font>
      <fill>
        <patternFill>
          <bgColor theme="0"/>
        </patternFill>
      </fill>
      <border>
        <left/>
        <right/>
        <top/>
        <bottom/>
      </border>
    </dxf>
    <dxf>
      <font>
        <color theme="0"/>
      </font>
      <fill>
        <patternFill>
          <bgColor theme="0"/>
        </patternFill>
      </fill>
      <border>
        <left/>
        <right/>
        <top/>
        <bottom/>
      </border>
    </dxf>
    <dxf>
      <font>
        <color theme="0" tint="-0.14996795556505021"/>
      </font>
      <fill>
        <patternFill>
          <bgColor theme="0" tint="-0.14996795556505021"/>
        </patternFill>
      </fill>
    </dxf>
    <dxf>
      <font>
        <color auto="1"/>
      </font>
      <fill>
        <patternFill>
          <bgColor theme="0"/>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auto="1"/>
      </font>
      <fill>
        <patternFill>
          <bgColor theme="0"/>
        </patternFill>
      </fill>
    </dxf>
    <dxf>
      <font>
        <color theme="0"/>
      </font>
      <fill>
        <patternFill>
          <bgColor theme="0"/>
        </patternFill>
      </fill>
      <border>
        <left/>
        <right/>
        <bottom/>
        <vertical/>
        <horizontal/>
      </border>
    </dxf>
    <dxf>
      <font>
        <color theme="0"/>
      </font>
      <fill>
        <patternFill>
          <bgColor theme="0"/>
        </patternFill>
      </fill>
      <border>
        <left/>
        <right/>
        <top/>
        <bottom/>
      </border>
    </dxf>
    <dxf>
      <font>
        <color theme="0"/>
      </font>
    </dxf>
    <dxf>
      <font>
        <color auto="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rgb="FFFF0000"/>
      </font>
    </dxf>
    <dxf>
      <font>
        <color theme="0"/>
      </font>
      <fill>
        <patternFill>
          <bgColor rgb="FFFF0000"/>
        </patternFill>
      </fill>
    </dxf>
    <dxf>
      <font>
        <color theme="0" tint="-0.14996795556505021"/>
      </font>
      <fill>
        <patternFill>
          <bgColor theme="0" tint="-0.14996795556505021"/>
        </patternFill>
      </fill>
    </dxf>
    <dxf>
      <font>
        <color rgb="FFFF0000"/>
      </font>
      <fill>
        <patternFill>
          <bgColor theme="0"/>
        </patternFill>
      </fill>
    </dxf>
    <dxf>
      <font>
        <color theme="0"/>
      </font>
      <fill>
        <patternFill>
          <bgColor rgb="FFFF0000"/>
        </patternFill>
      </fill>
    </dxf>
    <dxf>
      <font>
        <color theme="0" tint="-0.14996795556505021"/>
      </font>
      <fill>
        <patternFill>
          <bgColor theme="0" tint="-0.14996795556505021"/>
        </patternFill>
      </fill>
    </dxf>
    <dxf>
      <font>
        <color rgb="FFFF0000"/>
      </font>
    </dxf>
    <dxf>
      <font>
        <color auto="1"/>
      </font>
      <fill>
        <patternFill>
          <bgColor theme="0"/>
        </patternFill>
      </fill>
      <border>
        <left style="thin">
          <color indexed="64"/>
        </left>
        <right style="thin">
          <color indexed="64"/>
        </right>
        <top style="thin">
          <color indexed="64"/>
        </top>
        <bottom style="thin">
          <color indexed="64"/>
        </bottom>
      </border>
    </dxf>
    <dxf>
      <font>
        <color auto="1"/>
      </font>
      <fill>
        <patternFill>
          <bgColor theme="0"/>
        </patternFill>
      </fill>
    </dxf>
    <dxf>
      <font>
        <color theme="0" tint="-0.14996795556505021"/>
      </font>
      <fill>
        <patternFill>
          <bgColor theme="0" tint="-0.14996795556505021"/>
        </patternFill>
      </fill>
    </dxf>
    <dxf>
      <font>
        <color theme="0" tint="-0.14996795556505021"/>
      </font>
    </dxf>
    <dxf>
      <font>
        <color theme="0" tint="-0.14996795556505021"/>
      </font>
      <fill>
        <patternFill>
          <bgColor theme="0" tint="-0.14996795556505021"/>
        </patternFill>
      </fill>
    </dxf>
    <dxf>
      <font>
        <color theme="0" tint="-0.14996795556505021"/>
      </font>
    </dxf>
    <dxf>
      <font>
        <color theme="0" tint="-0.14996795556505021"/>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b val="0"/>
        <i val="0"/>
        <color auto="1"/>
        <name val="Cambria"/>
        <scheme val="none"/>
      </font>
    </dxf>
    <dxf>
      <font>
        <b val="0"/>
        <i val="0"/>
        <color auto="1"/>
        <name val="Cambria"/>
        <scheme val="none"/>
      </font>
    </dxf>
    <dxf>
      <font>
        <color theme="0"/>
      </font>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dxf>
    <dxf>
      <font>
        <color theme="0" tint="-0.14996795556505021"/>
      </font>
    </dxf>
    <dxf>
      <font>
        <color theme="0" tint="-0.14996795556505021"/>
      </font>
      <fill>
        <patternFill>
          <bgColor theme="0" tint="-0.14996795556505021"/>
        </patternFill>
      </fill>
    </dxf>
    <dxf>
      <font>
        <color theme="0" tint="-0.14996795556505021"/>
      </font>
    </dxf>
    <dxf>
      <font>
        <color theme="0" tint="-0.14996795556505021"/>
      </font>
      <fill>
        <patternFill>
          <bgColor theme="0" tint="-0.14996795556505021"/>
        </patternFill>
      </fill>
    </dxf>
    <dxf>
      <fill>
        <patternFill>
          <bgColor theme="0" tint="-0.14996795556505021"/>
        </patternFill>
      </fill>
      <border>
        <left style="thin">
          <color auto="1"/>
        </left>
        <right style="thin">
          <color auto="1"/>
        </right>
        <top style="thin">
          <color auto="1"/>
        </top>
        <bottom style="thin">
          <color auto="1"/>
        </bottom>
      </border>
    </dxf>
    <dxf>
      <font>
        <color auto="1"/>
      </font>
      <fill>
        <patternFill>
          <bgColor theme="0" tint="-0.14996795556505021"/>
        </patternFill>
      </fill>
      <border>
        <left style="thin">
          <color indexed="64"/>
        </left>
        <right style="thin">
          <color indexed="64"/>
        </right>
        <top style="thin">
          <color indexed="64"/>
        </top>
        <bottom style="thin">
          <color indexed="64"/>
        </bottom>
      </border>
    </dxf>
    <dxf>
      <font>
        <color auto="1"/>
      </font>
      <fill>
        <patternFill>
          <bgColor theme="0" tint="-0.14996795556505021"/>
        </patternFill>
      </fill>
      <border>
        <left style="thin">
          <color indexed="64"/>
        </left>
        <right style="thin">
          <color indexed="64"/>
        </right>
        <top style="thin">
          <color indexed="64"/>
        </top>
        <bottom style="thin">
          <color indexed="64"/>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auto="1"/>
      </font>
      <border>
        <left style="thin">
          <color auto="1"/>
        </left>
        <right style="thin">
          <color auto="1"/>
        </right>
        <top style="thin">
          <color auto="1"/>
        </top>
        <bottom style="thin">
          <color auto="1"/>
        </bottom>
      </border>
    </dxf>
    <dxf>
      <font>
        <color auto="1"/>
      </font>
      <border>
        <left style="thin">
          <color indexed="64"/>
        </left>
        <right style="thin">
          <color indexed="64"/>
        </right>
        <top style="thin">
          <color indexed="64"/>
        </top>
        <bottom style="thin">
          <color indexed="64"/>
        </bottom>
      </border>
    </dxf>
    <dxf>
      <font>
        <color theme="0" tint="-0.14996795556505021"/>
      </font>
    </dxf>
    <dxf>
      <font>
        <color theme="0" tint="-0.14996795556505021"/>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right/>
        <top/>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name val="Cambria"/>
        <scheme val="none"/>
      </font>
      <fill>
        <patternFill>
          <bgColor theme="0" tint="-0.14996795556505021"/>
        </patternFill>
      </fill>
    </dxf>
    <dxf>
      <font>
        <color theme="0"/>
      </font>
      <fill>
        <patternFill>
          <bgColor theme="0"/>
        </patternFill>
      </fill>
      <border>
        <left/>
        <right/>
        <top/>
        <bottom/>
      </border>
    </dxf>
    <dxf>
      <font>
        <color theme="0" tint="-0.14996795556505021"/>
      </font>
      <fill>
        <patternFill>
          <bgColor theme="0" tint="-0.14996795556505021"/>
        </patternFill>
      </fill>
    </dxf>
    <dxf>
      <font>
        <color theme="0"/>
      </font>
      <fill>
        <patternFill>
          <bgColor theme="0"/>
        </patternFill>
      </fill>
      <border>
        <left/>
        <right/>
        <top/>
        <bottom/>
      </border>
    </dxf>
    <dxf>
      <font>
        <color auto="1"/>
      </font>
      <fill>
        <patternFill patternType="solid">
          <bgColor theme="0"/>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dxf>
    <dxf>
      <font>
        <color theme="0"/>
      </font>
      <fill>
        <patternFill>
          <bgColor theme="0"/>
        </patternFill>
      </fill>
      <border>
        <left/>
        <right/>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font>
      <fill>
        <patternFill>
          <bgColor theme="0"/>
        </patternFill>
      </fill>
      <border>
        <left/>
        <right/>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rgb="FFFF0000"/>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font>
      <fill>
        <patternFill>
          <bgColor theme="0"/>
        </patternFill>
      </fill>
      <border>
        <left/>
        <right/>
        <top/>
        <bottom/>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rgb="FFFF0000"/>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dxf>
    <dxf>
      <font>
        <color theme="0" tint="-4.9989318521683403E-2"/>
      </font>
      <fill>
        <patternFill>
          <bgColor theme="0"/>
        </patternFill>
      </fill>
      <border>
        <left/>
        <right/>
        <top/>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name val="Cambria"/>
        <scheme val="none"/>
      </font>
      <fill>
        <patternFill>
          <bgColor theme="0" tint="-0.14996795556505021"/>
        </patternFill>
      </fill>
      <border>
        <left style="thin">
          <color indexed="64"/>
        </left>
        <right style="thin">
          <color indexed="64"/>
        </right>
        <top style="thin">
          <color indexed="64"/>
        </top>
        <bottom style="thin">
          <color indexed="64"/>
        </bottom>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font>
    </dxf>
    <dxf>
      <fill>
        <patternFill patternType="none">
          <bgColor indexed="65"/>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1"/>
      </font>
      <fill>
        <patternFill>
          <bgColor theme="0"/>
        </patternFill>
      </fill>
      <border>
        <left style="thin">
          <color indexed="64"/>
        </left>
        <right style="thin">
          <color indexed="64"/>
        </right>
        <top style="thin">
          <color indexed="64"/>
        </top>
        <bottom style="thin">
          <color indexed="64"/>
        </bottom>
      </border>
    </dxf>
    <dxf>
      <font>
        <color theme="0"/>
      </font>
      <fill>
        <patternFill>
          <bgColor theme="0" tint="-4.9989318521683403E-2"/>
        </patternFill>
      </fill>
      <border>
        <left/>
        <right/>
        <top/>
        <vertical/>
        <horizontal/>
      </border>
    </dxf>
    <dxf>
      <font>
        <color auto="1"/>
      </font>
      <fill>
        <patternFill>
          <bgColor theme="0"/>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theme="0"/>
        <name val="Cambria"/>
        <scheme val="none"/>
      </font>
      <fill>
        <patternFill>
          <bgColor theme="0"/>
        </patternFill>
      </fill>
      <border>
        <left/>
        <right/>
        <top/>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border>
        <top style="thin">
          <color indexed="64"/>
        </top>
        <bottom style="thin">
          <color indexed="64"/>
        </bottom>
      </border>
    </dxf>
    <dxf>
      <font>
        <color theme="0"/>
        <name val="Cambria"/>
        <scheme val="none"/>
      </font>
      <fill>
        <patternFill>
          <bgColor theme="0"/>
        </patternFill>
      </fill>
      <border>
        <left/>
        <right/>
        <top/>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font>
      <fill>
        <patternFill>
          <fgColor indexed="64"/>
          <bgColor rgb="FF3D6864"/>
        </patternFill>
      </fill>
    </dxf>
    <dxf>
      <font>
        <color theme="0"/>
      </font>
      <fill>
        <patternFill>
          <bgColor theme="0"/>
        </patternFill>
      </fill>
      <border>
        <left/>
        <right/>
        <top/>
        <bottom/>
      </border>
    </dxf>
    <dxf>
      <font>
        <color theme="0"/>
      </font>
      <fill>
        <patternFill>
          <bgColor theme="0"/>
        </patternFill>
      </fill>
      <border>
        <left/>
        <right/>
        <top/>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font>
      <fill>
        <patternFill>
          <bgColor theme="0"/>
        </patternFill>
      </fill>
      <border>
        <left/>
        <right/>
        <bottom/>
        <vertical/>
        <horizontal/>
      </border>
    </dxf>
    <dxf>
      <font>
        <color theme="0"/>
      </font>
      <fill>
        <patternFill patternType="solid">
          <bgColor theme="0"/>
        </patternFill>
      </fill>
      <border>
        <left/>
        <right/>
        <top/>
        <bottom/>
      </border>
    </dxf>
    <dxf>
      <font>
        <color theme="0"/>
      </font>
      <fill>
        <patternFill>
          <bgColor theme="0" tint="-4.9989318521683403E-2"/>
        </patternFill>
      </fill>
      <border>
        <left/>
        <right/>
        <top style="thin">
          <color auto="1"/>
        </top>
        <bottom style="thin">
          <color auto="1"/>
        </bottom>
        <vertical/>
        <horizontal/>
      </border>
    </dxf>
    <dxf>
      <font>
        <color theme="0"/>
      </font>
      <fill>
        <patternFill>
          <bgColor theme="0"/>
        </patternFill>
      </fill>
      <border>
        <left/>
        <right/>
      </border>
    </dxf>
    <dxf>
      <font>
        <color theme="0"/>
      </font>
      <fill>
        <patternFill>
          <bgColor theme="0"/>
        </patternFill>
      </fill>
      <border>
        <left/>
        <right/>
        <top/>
        <bottom/>
      </border>
    </dxf>
    <dxf>
      <font>
        <color theme="0"/>
      </font>
      <fill>
        <patternFill>
          <bgColor rgb="FF3D6864"/>
        </patternFill>
      </fill>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bgColor theme="0" tint="-4.9989318521683403E-2"/>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rgb="FF3D6864"/>
        <name val="Cambria"/>
        <scheme val="none"/>
      </font>
      <fill>
        <patternFill>
          <bgColor rgb="FF3D6468"/>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rgb="FF3D6864"/>
        </patternFill>
      </fill>
      <border>
        <left/>
        <right/>
        <top/>
        <bottom/>
        <vertical/>
        <horizontal/>
      </border>
    </dxf>
    <dxf>
      <font>
        <color theme="0"/>
      </font>
      <fill>
        <patternFill>
          <bgColor theme="0"/>
        </patternFill>
      </fill>
      <border>
        <left/>
        <right/>
        <top/>
        <bottom/>
      </border>
    </dxf>
    <dxf>
      <font>
        <color theme="0"/>
      </font>
      <fill>
        <patternFill>
          <bgColor rgb="FF3D6864"/>
        </patternFill>
      </fill>
      <border>
        <left/>
        <right/>
        <top/>
        <bottom/>
        <vertical/>
        <horizontal/>
      </border>
    </dxf>
    <dxf>
      <font>
        <color theme="0"/>
      </font>
      <fill>
        <patternFill>
          <bgColor rgb="FF3D6864"/>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style="thin">
          <color indexed="64"/>
        </top>
        <bottom/>
      </border>
    </dxf>
    <dxf>
      <font>
        <color theme="0"/>
      </font>
      <fill>
        <patternFill>
          <bgColor rgb="FF3D6864"/>
        </patternFill>
      </fill>
    </dxf>
    <dxf>
      <font>
        <color theme="0"/>
      </font>
      <fill>
        <patternFill>
          <bgColor rgb="FF3D6864"/>
        </patternFill>
      </fill>
    </dxf>
    <dxf>
      <font>
        <strike val="0"/>
        <color auto="1"/>
        <name val="Cambria"/>
        <scheme val="none"/>
      </font>
      <fill>
        <patternFill>
          <bgColor theme="0"/>
        </patternFill>
      </fill>
    </dxf>
    <dxf>
      <font>
        <color theme="0" tint="-0.14996795556505021"/>
      </font>
      <fill>
        <patternFill>
          <bgColor theme="0" tint="-0.14996795556505021"/>
        </patternFill>
      </fill>
    </dxf>
    <dxf>
      <font>
        <color theme="0"/>
      </font>
      <fill>
        <patternFill>
          <bgColor rgb="FF3D6864"/>
        </patternFill>
      </fill>
    </dxf>
    <dxf>
      <font>
        <color theme="0"/>
      </font>
    </dxf>
    <dxf>
      <font>
        <color rgb="FFFF0000"/>
      </font>
    </dxf>
    <dxf>
      <fill>
        <patternFill>
          <bgColor theme="0" tint="-0.14996795556505021"/>
        </patternFill>
      </fill>
    </dxf>
  </dxfs>
  <tableStyles count="0" defaultTableStyle="TableStyleMedium9" defaultPivotStyle="PivotStyleLight16"/>
  <colors>
    <mruColors>
      <color rgb="FF3D6864"/>
      <color rgb="FF3D6468"/>
      <color rgb="FF0066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50114010694507E-2"/>
          <c:y val="4.5840032000175363E-2"/>
          <c:w val="0.934495047415562"/>
          <c:h val="0.76574746826175355"/>
        </c:manualLayout>
      </c:layout>
      <c:barChart>
        <c:barDir val="col"/>
        <c:grouping val="clustered"/>
        <c:varyColors val="0"/>
        <c:ser>
          <c:idx val="0"/>
          <c:order val="0"/>
          <c:tx>
            <c:v>Section score available</c:v>
          </c:tx>
          <c:spPr>
            <a:solidFill>
              <a:srgbClr val="406864"/>
            </a:solidFill>
          </c:spPr>
          <c:invertIfNegative val="0"/>
          <c:cat>
            <c:strRef>
              <c:f>('Assessment Rating &amp; KPIs'!$H$17,'Assessment Rating &amp; KPIs'!$H$19,'Assessment Rating &amp; KPIs'!$H$21,'Assessment Rating &amp; KPIs'!$H$23,'Assessment Rating &amp; KPIs'!$H$25,'Assessment Rating &amp; KPIs'!$H$27,'Assessment Rating &amp; KPIs'!$H$29,'Assessment Rating &amp; KPIs'!$H$31,'Assessment Rating &amp; KPIs'!$H$33,'Assessment Rating &amp; KPIs'!$H$35)</c:f>
              <c:strCache>
                <c:ptCount val="10"/>
                <c:pt idx="0">
                  <c:v>Management</c:v>
                </c:pt>
                <c:pt idx="1">
                  <c:v>Health &amp; Wellbeing</c:v>
                </c:pt>
                <c:pt idx="2">
                  <c:v>Energy</c:v>
                </c:pt>
                <c:pt idx="3">
                  <c:v>Transport</c:v>
                </c:pt>
                <c:pt idx="4">
                  <c:v>Water</c:v>
                </c:pt>
                <c:pt idx="5">
                  <c:v>Materials</c:v>
                </c:pt>
                <c:pt idx="6">
                  <c:v>Waste</c:v>
                </c:pt>
                <c:pt idx="7">
                  <c:v>Land Use &amp; Ecology</c:v>
                </c:pt>
                <c:pt idx="8">
                  <c:v>Pollution</c:v>
                </c:pt>
                <c:pt idx="9">
                  <c:v>Innovation</c:v>
                </c:pt>
              </c:strCache>
            </c:strRef>
          </c:cat>
          <c:val>
            <c:numRef>
              <c:f>('Assessment Rating &amp; KPIs'!$P$17,'Assessment Rating &amp; KPIs'!$P$19,'Assessment Rating &amp; KPIs'!$P$21,'Assessment Rating &amp; KPIs'!$P$23,'Assessment Rating &amp; KPIs'!$P$25,'Assessment Rating &amp; KPIs'!$P$27,'Assessment Rating &amp; KPIs'!$P$29,'Assessment Rating &amp; KPIs'!$P$31,'Assessment Rating &amp; KPIs'!$P$33,'Assessment Rating &amp; KPIs'!$P$35)</c:f>
              <c:numCache>
                <c:formatCode>0.00%</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4FB-4F1A-BEE3-8A1B13810A0F}"/>
            </c:ext>
          </c:extLst>
        </c:ser>
        <c:ser>
          <c:idx val="1"/>
          <c:order val="1"/>
          <c:tx>
            <c:v>Section score achieved</c:v>
          </c:tx>
          <c:spPr>
            <a:solidFill>
              <a:srgbClr val="56B146"/>
            </a:solidFill>
          </c:spPr>
          <c:invertIfNegative val="0"/>
          <c:cat>
            <c:strRef>
              <c:f>('Assessment Rating &amp; KPIs'!$H$17,'Assessment Rating &amp; KPIs'!$H$19,'Assessment Rating &amp; KPIs'!$H$21,'Assessment Rating &amp; KPIs'!$H$23,'Assessment Rating &amp; KPIs'!$H$25,'Assessment Rating &amp; KPIs'!$H$27,'Assessment Rating &amp; KPIs'!$H$29,'Assessment Rating &amp; KPIs'!$H$31,'Assessment Rating &amp; KPIs'!$H$33,'Assessment Rating &amp; KPIs'!$H$35)</c:f>
              <c:strCache>
                <c:ptCount val="10"/>
                <c:pt idx="0">
                  <c:v>Management</c:v>
                </c:pt>
                <c:pt idx="1">
                  <c:v>Health &amp; Wellbeing</c:v>
                </c:pt>
                <c:pt idx="2">
                  <c:v>Energy</c:v>
                </c:pt>
                <c:pt idx="3">
                  <c:v>Transport</c:v>
                </c:pt>
                <c:pt idx="4">
                  <c:v>Water</c:v>
                </c:pt>
                <c:pt idx="5">
                  <c:v>Materials</c:v>
                </c:pt>
                <c:pt idx="6">
                  <c:v>Waste</c:v>
                </c:pt>
                <c:pt idx="7">
                  <c:v>Land Use &amp; Ecology</c:v>
                </c:pt>
                <c:pt idx="8">
                  <c:v>Pollution</c:v>
                </c:pt>
                <c:pt idx="9">
                  <c:v>Innovation</c:v>
                </c:pt>
              </c:strCache>
            </c:strRef>
          </c:cat>
          <c:val>
            <c:numRef>
              <c:f>('Assessment Rating &amp; KPIs'!$R$17,'Assessment Rating &amp; KPIs'!$R$19,'Assessment Rating &amp; KPIs'!$R$21,'Assessment Rating &amp; KPIs'!$R$23,'Assessment Rating &amp; KPIs'!$R$25,'Assessment Rating &amp; KPIs'!$R$27,'Assessment Rating &amp; KPIs'!$R$29,'Assessment Rating &amp; KPIs'!$R$31,'Assessment Rating &amp; KPIs'!$R$33,'Assessment Rating &amp; KPIs'!$R$35)</c:f>
              <c:numCache>
                <c:formatCode>0.00%</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FB-4F1A-BEE3-8A1B13810A0F}"/>
            </c:ext>
          </c:extLst>
        </c:ser>
        <c:dLbls>
          <c:showLegendKey val="0"/>
          <c:showVal val="0"/>
          <c:showCatName val="0"/>
          <c:showSerName val="0"/>
          <c:showPercent val="0"/>
          <c:showBubbleSize val="0"/>
        </c:dLbls>
        <c:gapWidth val="75"/>
        <c:axId val="218730864"/>
        <c:axId val="218731256"/>
      </c:barChart>
      <c:catAx>
        <c:axId val="2187308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sv-SE"/>
          </a:p>
        </c:txPr>
        <c:crossAx val="218731256"/>
        <c:crosses val="autoZero"/>
        <c:auto val="1"/>
        <c:lblAlgn val="ctr"/>
        <c:lblOffset val="100"/>
        <c:noMultiLvlLbl val="0"/>
      </c:catAx>
      <c:valAx>
        <c:axId val="218731256"/>
        <c:scaling>
          <c:orientation val="minMax"/>
        </c:scaling>
        <c:delete val="0"/>
        <c:axPos val="l"/>
        <c:numFmt formatCode="0%" sourceLinked="0"/>
        <c:majorTickMark val="none"/>
        <c:minorTickMark val="none"/>
        <c:tickLblPos val="nextTo"/>
        <c:spPr>
          <a:ln>
            <a:solidFill>
              <a:srgbClr val="406864"/>
            </a:solidFill>
          </a:ln>
        </c:spPr>
        <c:txPr>
          <a:bodyPr rot="0" vert="horz"/>
          <a:lstStyle/>
          <a:p>
            <a:pPr>
              <a:defRPr sz="1000" b="0" i="0" u="none" strike="noStrike" baseline="0">
                <a:solidFill>
                  <a:srgbClr val="000000"/>
                </a:solidFill>
                <a:latin typeface="Calibri"/>
                <a:ea typeface="Calibri"/>
                <a:cs typeface="Calibri"/>
              </a:defRPr>
            </a:pPr>
            <a:endParaRPr lang="sv-SE"/>
          </a:p>
        </c:txPr>
        <c:crossAx val="218730864"/>
        <c:crosses val="autoZero"/>
        <c:crossBetween val="between"/>
      </c:valAx>
      <c:spPr>
        <a:noFill/>
        <a:ln w="25400">
          <a:noFill/>
        </a:ln>
      </c:spPr>
    </c:plotArea>
    <c:legend>
      <c:legendPos val="r"/>
      <c:layout>
        <c:manualLayout>
          <c:xMode val="edge"/>
          <c:yMode val="edge"/>
          <c:x val="0.19997387675145434"/>
          <c:y val="0.90338703287252797"/>
          <c:w val="0.59502704993856848"/>
          <c:h val="8.5877513277044557E-2"/>
        </c:manualLayout>
      </c:layout>
      <c:overlay val="0"/>
      <c:txPr>
        <a:bodyPr/>
        <a:lstStyle/>
        <a:p>
          <a:pPr>
            <a:defRPr sz="1600" b="0" i="0" u="none" strike="noStrike" baseline="0">
              <a:solidFill>
                <a:srgbClr val="000000"/>
              </a:solidFill>
              <a:latin typeface="Calibri"/>
              <a:ea typeface="Calibri"/>
              <a:cs typeface="Calibri"/>
            </a:defRPr>
          </a:pPr>
          <a:endParaRPr lang="sv-SE"/>
        </a:p>
      </c:txPr>
    </c:legend>
    <c:plotVisOnly val="0"/>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sv-SE"/>
    </a:p>
  </c:txPr>
  <c:printSettings>
    <c:headerFooter/>
    <c:pageMargins b="0.75000000000000733" l="0.70000000000000062" r="0.70000000000000062" t="0.750000000000007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hyperlink" Target="#AIS_Innovation"/><Relationship Id="rId3" Type="http://schemas.openxmlformats.org/officeDocument/2006/relationships/hyperlink" Target="#AIS_water"/><Relationship Id="rId7" Type="http://schemas.openxmlformats.org/officeDocument/2006/relationships/hyperlink" Target="#AIS_Pollution"/><Relationship Id="rId2" Type="http://schemas.openxmlformats.org/officeDocument/2006/relationships/hyperlink" Target="#AIS_transport"/><Relationship Id="rId1" Type="http://schemas.openxmlformats.org/officeDocument/2006/relationships/hyperlink" Target="#AIS_Energy"/><Relationship Id="rId6" Type="http://schemas.openxmlformats.org/officeDocument/2006/relationships/hyperlink" Target="#AIS_LUE"/><Relationship Id="rId11" Type="http://schemas.openxmlformats.org/officeDocument/2006/relationships/image" Target="../media/image1.jpeg"/><Relationship Id="rId5" Type="http://schemas.openxmlformats.org/officeDocument/2006/relationships/hyperlink" Target="#AIS_Waste"/><Relationship Id="rId10" Type="http://schemas.openxmlformats.org/officeDocument/2006/relationships/hyperlink" Target="#AIS_Management"/><Relationship Id="rId4" Type="http://schemas.openxmlformats.org/officeDocument/2006/relationships/hyperlink" Target="#AIS_materials"/><Relationship Id="rId9" Type="http://schemas.openxmlformats.org/officeDocument/2006/relationships/hyperlink" Target="#AIS_Health"/></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12</xdr:col>
      <xdr:colOff>609600</xdr:colOff>
      <xdr:row>1</xdr:row>
      <xdr:rowOff>1</xdr:rowOff>
    </xdr:from>
    <xdr:to>
      <xdr:col>17</xdr:col>
      <xdr:colOff>25422</xdr:colOff>
      <xdr:row>2</xdr:row>
      <xdr:rowOff>11676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28314" y="402772"/>
          <a:ext cx="2291556" cy="4778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13</xdr:row>
      <xdr:rowOff>104775</xdr:rowOff>
    </xdr:from>
    <xdr:to>
      <xdr:col>17</xdr:col>
      <xdr:colOff>923925</xdr:colOff>
      <xdr:row>14</xdr:row>
      <xdr:rowOff>1123950</xdr:rowOff>
    </xdr:to>
    <xdr:graphicFrame macro="">
      <xdr:nvGraphicFramePr>
        <xdr:cNvPr id="2150950" name="Chart 4">
          <a:extLst>
            <a:ext uri="{FF2B5EF4-FFF2-40B4-BE49-F238E27FC236}">
              <a16:creationId xmlns:a16="http://schemas.microsoft.com/office/drawing/2014/main" id="{00000000-0008-0000-0100-000026D2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1003300</xdr:colOff>
      <xdr:row>0</xdr:row>
      <xdr:rowOff>177800</xdr:rowOff>
    </xdr:from>
    <xdr:to>
      <xdr:col>18</xdr:col>
      <xdr:colOff>18256</xdr:colOff>
      <xdr:row>2</xdr:row>
      <xdr:rowOff>2513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76540" y="177800"/>
          <a:ext cx="2268696" cy="4724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924983</xdr:colOff>
      <xdr:row>5</xdr:row>
      <xdr:rowOff>45193</xdr:rowOff>
    </xdr:from>
    <xdr:to>
      <xdr:col>3</xdr:col>
      <xdr:colOff>811099</xdr:colOff>
      <xdr:row>5</xdr:row>
      <xdr:rowOff>333193</xdr:rowOff>
    </xdr:to>
    <xdr:sp macro="" textlink="">
      <xdr:nvSpPr>
        <xdr:cNvPr id="20" name="TextBox 19">
          <a:hlinkClick xmlns:r="http://schemas.openxmlformats.org/officeDocument/2006/relationships" r:id="rId1"/>
          <a:extLst>
            <a:ext uri="{FF2B5EF4-FFF2-40B4-BE49-F238E27FC236}">
              <a16:creationId xmlns:a16="http://schemas.microsoft.com/office/drawing/2014/main" id="{00000000-0008-0000-0200-000014000000}"/>
            </a:ext>
          </a:extLst>
        </xdr:cNvPr>
        <xdr:cNvSpPr txBox="1">
          <a:spLocks noChangeAspect="1"/>
        </xdr:cNvSpPr>
      </xdr:nvSpPr>
      <xdr:spPr>
        <a:xfrm>
          <a:off x="2181376" y="894279"/>
          <a:ext cx="893952"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Energy</a:t>
          </a:r>
        </a:p>
      </xdr:txBody>
    </xdr:sp>
    <xdr:clientData fPrintsWithSheet="0"/>
  </xdr:twoCellAnchor>
  <xdr:twoCellAnchor editAs="absolute">
    <xdr:from>
      <xdr:col>3</xdr:col>
      <xdr:colOff>866720</xdr:colOff>
      <xdr:row>5</xdr:row>
      <xdr:rowOff>48059</xdr:rowOff>
    </xdr:from>
    <xdr:to>
      <xdr:col>5</xdr:col>
      <xdr:colOff>723204</xdr:colOff>
      <xdr:row>5</xdr:row>
      <xdr:rowOff>336059</xdr:rowOff>
    </xdr:to>
    <xdr:sp macro="" textlink="">
      <xdr:nvSpPr>
        <xdr:cNvPr id="21" name="TextBox 20">
          <a:hlinkClick xmlns:r="http://schemas.openxmlformats.org/officeDocument/2006/relationships" r:id="rId2"/>
          <a:extLst>
            <a:ext uri="{FF2B5EF4-FFF2-40B4-BE49-F238E27FC236}">
              <a16:creationId xmlns:a16="http://schemas.microsoft.com/office/drawing/2014/main" id="{00000000-0008-0000-0200-000015000000}"/>
            </a:ext>
          </a:extLst>
        </xdr:cNvPr>
        <xdr:cNvSpPr txBox="1">
          <a:spLocks noChangeAspect="1"/>
        </xdr:cNvSpPr>
      </xdr:nvSpPr>
      <xdr:spPr>
        <a:xfrm>
          <a:off x="3137299" y="897145"/>
          <a:ext cx="895162"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Transport</a:t>
          </a:r>
          <a:endParaRPr lang="en-GB" sz="1200" b="0" u="none" cap="none" spc="0" baseline="0">
            <a:ln>
              <a:noFill/>
            </a:ln>
            <a:solidFill>
              <a:schemeClr val="tx1"/>
            </a:solidFill>
            <a:effectLst/>
          </a:endParaRPr>
        </a:p>
      </xdr:txBody>
    </xdr:sp>
    <xdr:clientData fPrintsWithSheet="0"/>
  </xdr:twoCellAnchor>
  <xdr:twoCellAnchor editAs="absolute">
    <xdr:from>
      <xdr:col>5</xdr:col>
      <xdr:colOff>780083</xdr:colOff>
      <xdr:row>5</xdr:row>
      <xdr:rowOff>48059</xdr:rowOff>
    </xdr:from>
    <xdr:to>
      <xdr:col>7</xdr:col>
      <xdr:colOff>238633</xdr:colOff>
      <xdr:row>5</xdr:row>
      <xdr:rowOff>336059</xdr:rowOff>
    </xdr:to>
    <xdr:sp macro="" textlink="">
      <xdr:nvSpPr>
        <xdr:cNvPr id="24" name="TextBox 23">
          <a:hlinkClick xmlns:r="http://schemas.openxmlformats.org/officeDocument/2006/relationships" r:id="rId3"/>
          <a:extLst>
            <a:ext uri="{FF2B5EF4-FFF2-40B4-BE49-F238E27FC236}">
              <a16:creationId xmlns:a16="http://schemas.microsoft.com/office/drawing/2014/main" id="{00000000-0008-0000-0200-000018000000}"/>
            </a:ext>
          </a:extLst>
        </xdr:cNvPr>
        <xdr:cNvSpPr txBox="1">
          <a:spLocks noChangeAspect="1"/>
        </xdr:cNvSpPr>
      </xdr:nvSpPr>
      <xdr:spPr>
        <a:xfrm>
          <a:off x="4089340" y="897145"/>
          <a:ext cx="900000" cy="288000"/>
        </a:xfrm>
        <a:prstGeom prst="rect">
          <a:avLst/>
        </a:prstGeom>
        <a:solidFill>
          <a:sysClr val="window" lastClr="FFFFFF"/>
        </a:solidFill>
        <a:ln w="12700" cap="rnd">
          <a:solidFill>
            <a:srgbClr val="3D6864"/>
          </a:solidFill>
          <a:bevel/>
        </a:ln>
        <a:effectLst>
          <a:outerShdw blurRad="50800" dist="38100" dir="8100000" algn="tr" rotWithShape="0">
            <a:schemeClr val="tx1">
              <a:alpha val="40000"/>
            </a:scheme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Water</a:t>
          </a:r>
          <a:endParaRPr lang="en-GB" sz="1200" b="0" u="none" cap="none" spc="0" baseline="0">
            <a:ln>
              <a:noFill/>
            </a:ln>
            <a:solidFill>
              <a:schemeClr val="tx1"/>
            </a:solidFill>
            <a:effectLst/>
          </a:endParaRPr>
        </a:p>
      </xdr:txBody>
    </xdr:sp>
    <xdr:clientData fPrintsWithSheet="0"/>
  </xdr:twoCellAnchor>
  <xdr:twoCellAnchor editAs="absolute">
    <xdr:from>
      <xdr:col>7</xdr:col>
      <xdr:colOff>298419</xdr:colOff>
      <xdr:row>5</xdr:row>
      <xdr:rowOff>44574</xdr:rowOff>
    </xdr:from>
    <xdr:to>
      <xdr:col>9</xdr:col>
      <xdr:colOff>1732</xdr:colOff>
      <xdr:row>5</xdr:row>
      <xdr:rowOff>332574</xdr:rowOff>
    </xdr:to>
    <xdr:sp macro="" textlink="">
      <xdr:nvSpPr>
        <xdr:cNvPr id="25" name="TextBox 24">
          <a:hlinkClick xmlns:r="http://schemas.openxmlformats.org/officeDocument/2006/relationships" r:id="rId4"/>
          <a:extLst>
            <a:ext uri="{FF2B5EF4-FFF2-40B4-BE49-F238E27FC236}">
              <a16:creationId xmlns:a16="http://schemas.microsoft.com/office/drawing/2014/main" id="{00000000-0008-0000-0200-000019000000}"/>
            </a:ext>
          </a:extLst>
        </xdr:cNvPr>
        <xdr:cNvSpPr txBox="1">
          <a:spLocks noChangeAspect="1"/>
        </xdr:cNvSpPr>
      </xdr:nvSpPr>
      <xdr:spPr>
        <a:xfrm>
          <a:off x="5049126" y="900010"/>
          <a:ext cx="903629"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Materials</a:t>
          </a:r>
        </a:p>
      </xdr:txBody>
    </xdr:sp>
    <xdr:clientData fPrintsWithSheet="0"/>
  </xdr:twoCellAnchor>
  <xdr:twoCellAnchor editAs="absolute">
    <xdr:from>
      <xdr:col>9</xdr:col>
      <xdr:colOff>144137</xdr:colOff>
      <xdr:row>5</xdr:row>
      <xdr:rowOff>55407</xdr:rowOff>
    </xdr:from>
    <xdr:to>
      <xdr:col>9</xdr:col>
      <xdr:colOff>1031676</xdr:colOff>
      <xdr:row>5</xdr:row>
      <xdr:rowOff>343407</xdr:rowOff>
    </xdr:to>
    <xdr:sp macro="" textlink="">
      <xdr:nvSpPr>
        <xdr:cNvPr id="26" name="TextBox 25">
          <a:hlinkClick xmlns:r="http://schemas.openxmlformats.org/officeDocument/2006/relationships" r:id="rId5"/>
          <a:extLst>
            <a:ext uri="{FF2B5EF4-FFF2-40B4-BE49-F238E27FC236}">
              <a16:creationId xmlns:a16="http://schemas.microsoft.com/office/drawing/2014/main" id="{00000000-0008-0000-0200-00001A000000}"/>
            </a:ext>
          </a:extLst>
        </xdr:cNvPr>
        <xdr:cNvSpPr txBox="1">
          <a:spLocks noChangeAspect="1"/>
        </xdr:cNvSpPr>
      </xdr:nvSpPr>
      <xdr:spPr>
        <a:xfrm>
          <a:off x="6016073" y="904493"/>
          <a:ext cx="893889"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Waste</a:t>
          </a:r>
          <a:endParaRPr lang="en-GB" sz="1200" b="0" u="none" cap="none" spc="0" baseline="0">
            <a:ln>
              <a:noFill/>
            </a:ln>
            <a:solidFill>
              <a:schemeClr val="tx1"/>
            </a:solidFill>
            <a:effectLst/>
          </a:endParaRPr>
        </a:p>
      </xdr:txBody>
    </xdr:sp>
    <xdr:clientData fPrintsWithSheet="0"/>
  </xdr:twoCellAnchor>
  <xdr:twoCellAnchor editAs="absolute">
    <xdr:from>
      <xdr:col>10</xdr:col>
      <xdr:colOff>6399</xdr:colOff>
      <xdr:row>5</xdr:row>
      <xdr:rowOff>58271</xdr:rowOff>
    </xdr:from>
    <xdr:to>
      <xdr:col>11</xdr:col>
      <xdr:colOff>869159</xdr:colOff>
      <xdr:row>5</xdr:row>
      <xdr:rowOff>352621</xdr:rowOff>
    </xdr:to>
    <xdr:sp macro="" textlink="">
      <xdr:nvSpPr>
        <xdr:cNvPr id="27" name="TextBox 26">
          <a:hlinkClick xmlns:r="http://schemas.openxmlformats.org/officeDocument/2006/relationships" r:id="rId6"/>
          <a:extLst>
            <a:ext uri="{FF2B5EF4-FFF2-40B4-BE49-F238E27FC236}">
              <a16:creationId xmlns:a16="http://schemas.microsoft.com/office/drawing/2014/main" id="{00000000-0008-0000-0200-00001B000000}"/>
            </a:ext>
          </a:extLst>
        </xdr:cNvPr>
        <xdr:cNvSpPr txBox="1">
          <a:spLocks noChangeAspect="1"/>
        </xdr:cNvSpPr>
      </xdr:nvSpPr>
      <xdr:spPr>
        <a:xfrm>
          <a:off x="6975070" y="907357"/>
          <a:ext cx="906303"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LU&amp;E</a:t>
          </a:r>
          <a:endParaRPr lang="en-GB" sz="1200" b="0" u="none" cap="none" spc="0" baseline="0">
            <a:ln>
              <a:noFill/>
            </a:ln>
            <a:solidFill>
              <a:schemeClr val="tx1"/>
            </a:solidFill>
            <a:effectLst/>
          </a:endParaRPr>
        </a:p>
      </xdr:txBody>
    </xdr:sp>
    <xdr:clientData fPrintsWithSheet="0"/>
  </xdr:twoCellAnchor>
  <xdr:twoCellAnchor editAs="absolute">
    <xdr:from>
      <xdr:col>11</xdr:col>
      <xdr:colOff>925501</xdr:colOff>
      <xdr:row>5</xdr:row>
      <xdr:rowOff>54428</xdr:rowOff>
    </xdr:from>
    <xdr:to>
      <xdr:col>13</xdr:col>
      <xdr:colOff>646215</xdr:colOff>
      <xdr:row>5</xdr:row>
      <xdr:rowOff>354239</xdr:rowOff>
    </xdr:to>
    <xdr:sp macro="" textlink="">
      <xdr:nvSpPr>
        <xdr:cNvPr id="33" name="TextBox 32">
          <a:hlinkClick xmlns:r="http://schemas.openxmlformats.org/officeDocument/2006/relationships" r:id="rId7"/>
          <a:extLst>
            <a:ext uri="{FF2B5EF4-FFF2-40B4-BE49-F238E27FC236}">
              <a16:creationId xmlns:a16="http://schemas.microsoft.com/office/drawing/2014/main" id="{00000000-0008-0000-0200-000021000000}"/>
            </a:ext>
          </a:extLst>
        </xdr:cNvPr>
        <xdr:cNvSpPr txBox="1">
          <a:spLocks noChangeAspect="1"/>
        </xdr:cNvSpPr>
      </xdr:nvSpPr>
      <xdr:spPr>
        <a:xfrm>
          <a:off x="7937715" y="903514"/>
          <a:ext cx="907257" cy="293461"/>
        </a:xfrm>
        <a:prstGeom prst="rect">
          <a:avLst/>
        </a:prstGeom>
        <a:solidFill>
          <a:sysClr val="window" lastClr="FFFFFF"/>
        </a:solidFill>
        <a:ln w="12700" cap="rnd">
          <a:solidFill>
            <a:srgbClr val="3D6864"/>
          </a:solidFill>
          <a:bevel/>
        </a:ln>
        <a:effectLst>
          <a:outerShdw blurRad="50800" dist="38100" dir="8100000" algn="tr" rotWithShape="0">
            <a:schemeClr val="tx1">
              <a:alpha val="40000"/>
            </a:scheme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Pollution</a:t>
          </a:r>
          <a:endParaRPr lang="en-GB" sz="1200" b="0" u="none" cap="none" spc="0" baseline="0">
            <a:ln>
              <a:noFill/>
            </a:ln>
            <a:solidFill>
              <a:schemeClr val="tx1"/>
            </a:solidFill>
            <a:effectLst/>
          </a:endParaRPr>
        </a:p>
      </xdr:txBody>
    </xdr:sp>
    <xdr:clientData fPrintsWithSheet="0"/>
  </xdr:twoCellAnchor>
  <xdr:twoCellAnchor editAs="absolute">
    <xdr:from>
      <xdr:col>13</xdr:col>
      <xdr:colOff>697770</xdr:colOff>
      <xdr:row>5</xdr:row>
      <xdr:rowOff>54428</xdr:rowOff>
    </xdr:from>
    <xdr:to>
      <xdr:col>15</xdr:col>
      <xdr:colOff>410018</xdr:colOff>
      <xdr:row>5</xdr:row>
      <xdr:rowOff>352370</xdr:rowOff>
    </xdr:to>
    <xdr:sp macro="" textlink="">
      <xdr:nvSpPr>
        <xdr:cNvPr id="34" name="TextBox 33">
          <a:hlinkClick xmlns:r="http://schemas.openxmlformats.org/officeDocument/2006/relationships" r:id="rId8"/>
          <a:extLst>
            <a:ext uri="{FF2B5EF4-FFF2-40B4-BE49-F238E27FC236}">
              <a16:creationId xmlns:a16="http://schemas.microsoft.com/office/drawing/2014/main" id="{00000000-0008-0000-0200-000022000000}"/>
            </a:ext>
          </a:extLst>
        </xdr:cNvPr>
        <xdr:cNvSpPr txBox="1">
          <a:spLocks noChangeAspect="1"/>
        </xdr:cNvSpPr>
      </xdr:nvSpPr>
      <xdr:spPr>
        <a:xfrm>
          <a:off x="8896527" y="903514"/>
          <a:ext cx="898791" cy="297942"/>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Innovation</a:t>
          </a:r>
        </a:p>
      </xdr:txBody>
    </xdr:sp>
    <xdr:clientData fPrintsWithSheet="0"/>
  </xdr:twoCellAnchor>
  <xdr:twoCellAnchor>
    <xdr:from>
      <xdr:col>17</xdr:col>
      <xdr:colOff>178226</xdr:colOff>
      <xdr:row>3</xdr:row>
      <xdr:rowOff>1108</xdr:rowOff>
    </xdr:from>
    <xdr:to>
      <xdr:col>23</xdr:col>
      <xdr:colOff>811124</xdr:colOff>
      <xdr:row>5</xdr:row>
      <xdr:rowOff>264585</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bwMode="auto">
        <a:xfrm>
          <a:off x="10715597" y="197051"/>
          <a:ext cx="7164327" cy="916620"/>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clientData/>
  </xdr:twoCellAnchor>
  <xdr:twoCellAnchor>
    <xdr:from>
      <xdr:col>17</xdr:col>
      <xdr:colOff>245945</xdr:colOff>
      <xdr:row>3</xdr:row>
      <xdr:rowOff>188198</xdr:rowOff>
    </xdr:from>
    <xdr:to>
      <xdr:col>18</xdr:col>
      <xdr:colOff>824101</xdr:colOff>
      <xdr:row>3</xdr:row>
      <xdr:rowOff>388835</xdr:rowOff>
    </xdr:to>
    <xdr:sp macro="" textlink="">
      <xdr:nvSpPr>
        <xdr:cNvPr id="28" name="Rectangle 27">
          <a:extLst>
            <a:ext uri="{FF2B5EF4-FFF2-40B4-BE49-F238E27FC236}">
              <a16:creationId xmlns:a16="http://schemas.microsoft.com/office/drawing/2014/main" id="{00000000-0008-0000-0200-00001C000000}"/>
            </a:ext>
          </a:extLst>
        </xdr:cNvPr>
        <xdr:cNvSpPr/>
      </xdr:nvSpPr>
      <xdr:spPr bwMode="auto">
        <a:xfrm>
          <a:off x="10783316" y="384141"/>
          <a:ext cx="1231299" cy="20063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17</xdr:col>
      <xdr:colOff>245945</xdr:colOff>
      <xdr:row>4</xdr:row>
      <xdr:rowOff>74374</xdr:rowOff>
    </xdr:from>
    <xdr:to>
      <xdr:col>18</xdr:col>
      <xdr:colOff>824101</xdr:colOff>
      <xdr:row>5</xdr:row>
      <xdr:rowOff>99373</xdr:rowOff>
    </xdr:to>
    <xdr:sp macro="" textlink="">
      <xdr:nvSpPr>
        <xdr:cNvPr id="31" name="Rectangle 30">
          <a:extLst>
            <a:ext uri="{FF2B5EF4-FFF2-40B4-BE49-F238E27FC236}">
              <a16:creationId xmlns:a16="http://schemas.microsoft.com/office/drawing/2014/main" id="{00000000-0008-0000-0200-00001F000000}"/>
            </a:ext>
          </a:extLst>
        </xdr:cNvPr>
        <xdr:cNvSpPr/>
      </xdr:nvSpPr>
      <xdr:spPr bwMode="auto">
        <a:xfrm>
          <a:off x="10783316" y="727517"/>
          <a:ext cx="1231299" cy="220942"/>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18</xdr:col>
      <xdr:colOff>850148</xdr:colOff>
      <xdr:row>3</xdr:row>
      <xdr:rowOff>433253</xdr:rowOff>
    </xdr:from>
    <xdr:to>
      <xdr:col>23</xdr:col>
      <xdr:colOff>805178</xdr:colOff>
      <xdr:row>5</xdr:row>
      <xdr:rowOff>267663</xdr:rowOff>
    </xdr:to>
    <xdr:sp macro="" textlink="">
      <xdr:nvSpPr>
        <xdr:cNvPr id="47" name="TextBox 46">
          <a:extLst>
            <a:ext uri="{FF2B5EF4-FFF2-40B4-BE49-F238E27FC236}">
              <a16:creationId xmlns:a16="http://schemas.microsoft.com/office/drawing/2014/main" id="{00000000-0008-0000-0200-00002F000000}"/>
            </a:ext>
          </a:extLst>
        </xdr:cNvPr>
        <xdr:cNvSpPr txBox="1"/>
      </xdr:nvSpPr>
      <xdr:spPr bwMode="auto">
        <a:xfrm>
          <a:off x="12040662" y="629196"/>
          <a:ext cx="5833316" cy="48755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clientData/>
  </xdr:twoCellAnchor>
  <xdr:twoCellAnchor editAs="absolute">
    <xdr:from>
      <xdr:col>1</xdr:col>
      <xdr:colOff>1038566</xdr:colOff>
      <xdr:row>5</xdr:row>
      <xdr:rowOff>45060</xdr:rowOff>
    </xdr:from>
    <xdr:to>
      <xdr:col>2</xdr:col>
      <xdr:colOff>856950</xdr:colOff>
      <xdr:row>5</xdr:row>
      <xdr:rowOff>333060</xdr:rowOff>
    </xdr:to>
    <xdr:sp macro="" textlink="">
      <xdr:nvSpPr>
        <xdr:cNvPr id="23" name="TextBox 22">
          <a:hlinkClick xmlns:r="http://schemas.openxmlformats.org/officeDocument/2006/relationships" r:id="rId9"/>
          <a:extLst>
            <a:ext uri="{FF2B5EF4-FFF2-40B4-BE49-F238E27FC236}">
              <a16:creationId xmlns:a16="http://schemas.microsoft.com/office/drawing/2014/main" id="{00000000-0008-0000-0200-000017000000}"/>
            </a:ext>
          </a:extLst>
        </xdr:cNvPr>
        <xdr:cNvSpPr txBox="1">
          <a:spLocks noChangeAspect="1"/>
        </xdr:cNvSpPr>
      </xdr:nvSpPr>
      <xdr:spPr>
        <a:xfrm>
          <a:off x="1217273" y="894146"/>
          <a:ext cx="902420"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H&amp;W</a:t>
          </a:r>
        </a:p>
      </xdr:txBody>
    </xdr:sp>
    <xdr:clientData fPrintsWithSheet="0"/>
  </xdr:twoCellAnchor>
  <xdr:twoCellAnchor editAs="absolute">
    <xdr:from>
      <xdr:col>1</xdr:col>
      <xdr:colOff>68067</xdr:colOff>
      <xdr:row>5</xdr:row>
      <xdr:rowOff>45525</xdr:rowOff>
    </xdr:from>
    <xdr:to>
      <xdr:col>1</xdr:col>
      <xdr:colOff>961717</xdr:colOff>
      <xdr:row>5</xdr:row>
      <xdr:rowOff>333525</xdr:rowOff>
    </xdr:to>
    <xdr:sp macro="" textlink="">
      <xdr:nvSpPr>
        <xdr:cNvPr id="29" name="TextBox 28">
          <a:hlinkClick xmlns:r="http://schemas.openxmlformats.org/officeDocument/2006/relationships" r:id="rId10"/>
          <a:extLst>
            <a:ext uri="{FF2B5EF4-FFF2-40B4-BE49-F238E27FC236}">
              <a16:creationId xmlns:a16="http://schemas.microsoft.com/office/drawing/2014/main" id="{00000000-0008-0000-0200-00001D000000}"/>
            </a:ext>
          </a:extLst>
        </xdr:cNvPr>
        <xdr:cNvSpPr txBox="1">
          <a:spLocks noChangeAspect="1"/>
        </xdr:cNvSpPr>
      </xdr:nvSpPr>
      <xdr:spPr>
        <a:xfrm>
          <a:off x="246774" y="894611"/>
          <a:ext cx="900000"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Man</a:t>
          </a:r>
        </a:p>
      </xdr:txBody>
    </xdr:sp>
    <xdr:clientData fPrintsWithSheet="0"/>
  </xdr:twoCellAnchor>
  <xdr:twoCellAnchor>
    <xdr:from>
      <xdr:col>18</xdr:col>
      <xdr:colOff>847183</xdr:colOff>
      <xdr:row>3</xdr:row>
      <xdr:rowOff>74169</xdr:rowOff>
    </xdr:from>
    <xdr:to>
      <xdr:col>23</xdr:col>
      <xdr:colOff>860234</xdr:colOff>
      <xdr:row>4</xdr:row>
      <xdr:rowOff>116417</xdr:rowOff>
    </xdr:to>
    <xdr:sp macro="" textlink="">
      <xdr:nvSpPr>
        <xdr:cNvPr id="44" name="TextBox 43">
          <a:extLst>
            <a:ext uri="{FF2B5EF4-FFF2-40B4-BE49-F238E27FC236}">
              <a16:creationId xmlns:a16="http://schemas.microsoft.com/office/drawing/2014/main" id="{00000000-0008-0000-0200-00002C000000}"/>
            </a:ext>
          </a:extLst>
        </xdr:cNvPr>
        <xdr:cNvSpPr txBox="1"/>
      </xdr:nvSpPr>
      <xdr:spPr bwMode="auto">
        <a:xfrm>
          <a:off x="12037697" y="270112"/>
          <a:ext cx="5891337" cy="49944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a:p>
          <a:pPr algn="l"/>
          <a:endParaRPr lang="en-GB" sz="1000" b="0">
            <a:solidFill>
              <a:schemeClr val="bg1"/>
            </a:solidFill>
          </a:endParaRPr>
        </a:p>
      </xdr:txBody>
    </xdr:sp>
    <xdr:clientData/>
  </xdr:twoCellAnchor>
  <xdr:twoCellAnchor editAs="oneCell">
    <xdr:from>
      <xdr:col>13</xdr:col>
      <xdr:colOff>83127</xdr:colOff>
      <xdr:row>2</xdr:row>
      <xdr:rowOff>180109</xdr:rowOff>
    </xdr:from>
    <xdr:to>
      <xdr:col>17</xdr:col>
      <xdr:colOff>11906</xdr:colOff>
      <xdr:row>4</xdr:row>
      <xdr:rowOff>6801</xdr:rowOff>
    </xdr:to>
    <xdr:pic>
      <xdr:nvPicPr>
        <xdr:cNvPr id="19" name="Picture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285018" y="180109"/>
          <a:ext cx="2291556" cy="4778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2514600</xdr:colOff>
      <xdr:row>0</xdr:row>
      <xdr:rowOff>266700</xdr:rowOff>
    </xdr:from>
    <xdr:to>
      <xdr:col>22</xdr:col>
      <xdr:colOff>18256</xdr:colOff>
      <xdr:row>2</xdr:row>
      <xdr:rowOff>18</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60600" y="266700"/>
          <a:ext cx="2291556" cy="4778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213360</xdr:colOff>
      <xdr:row>0</xdr:row>
      <xdr:rowOff>182880</xdr:rowOff>
    </xdr:from>
    <xdr:to>
      <xdr:col>17</xdr:col>
      <xdr:colOff>16985</xdr:colOff>
      <xdr:row>2</xdr:row>
      <xdr:rowOff>16846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80960" y="182880"/>
          <a:ext cx="2291556" cy="47785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pageSetUpPr fitToPage="1"/>
  </sheetPr>
  <dimension ref="A1:HH298"/>
  <sheetViews>
    <sheetView topLeftCell="C1" zoomScale="90" zoomScaleNormal="90" workbookViewId="0">
      <selection activeCell="J50" sqref="J50:Q50"/>
    </sheetView>
  </sheetViews>
  <sheetFormatPr defaultColWidth="0" defaultRowHeight="15" zeroHeight="1" x14ac:dyDescent="0.25"/>
  <cols>
    <col min="1" max="1" width="2.7109375" style="3" customWidth="1"/>
    <col min="2" max="3" width="14.7109375" style="3" customWidth="1"/>
    <col min="4" max="4" width="0.85546875" style="3" customWidth="1"/>
    <col min="5" max="7" width="14.7109375" style="3" customWidth="1"/>
    <col min="8" max="8" width="14.7109375" style="44" customWidth="1"/>
    <col min="9" max="9" width="0.85546875" style="3" customWidth="1"/>
    <col min="10" max="10" width="13.28515625" style="3" customWidth="1"/>
    <col min="11" max="11" width="0.85546875" style="3" customWidth="1"/>
    <col min="12" max="13" width="13.28515625" style="3" customWidth="1"/>
    <col min="14" max="14" width="0.85546875" style="3" customWidth="1"/>
    <col min="15" max="15" width="13.28515625" style="3" customWidth="1"/>
    <col min="16" max="16" width="0.85546875" style="3" customWidth="1"/>
    <col min="17" max="17" width="13.28515625" style="3" customWidth="1"/>
    <col min="18" max="18" width="9.140625" style="3" customWidth="1"/>
    <col min="19" max="23" width="17" style="3" customWidth="1"/>
    <col min="24" max="24" width="17.42578125" style="3" customWidth="1"/>
    <col min="25" max="25" width="17" style="36" hidden="1" customWidth="1"/>
    <col min="26" max="26" width="65.28515625" style="36" hidden="1" customWidth="1"/>
    <col min="27" max="27" width="16.42578125" style="36" hidden="1" customWidth="1"/>
    <col min="28" max="28" width="40.5703125" style="36" hidden="1" customWidth="1"/>
    <col min="29" max="29" width="9.140625" style="36" hidden="1" customWidth="1"/>
    <col min="30" max="30" width="73.28515625" style="36" hidden="1" customWidth="1"/>
    <col min="31" max="31" width="15" style="3" hidden="1" customWidth="1"/>
    <col min="32" max="215" width="8.85546875" style="3" hidden="1" customWidth="1"/>
    <col min="216" max="216" width="255.5703125" style="3" hidden="1" customWidth="1"/>
    <col min="217" max="16384" width="8.85546875" style="3" hidden="1"/>
  </cols>
  <sheetData>
    <row r="1" spans="2:24" ht="32.25" customHeight="1" x14ac:dyDescent="0.25">
      <c r="B1" s="717" t="str">
        <f>IF(AD_Mandatory_fields_text=AIS_statement09,AIS_statement29,"")</f>
        <v>Note: If you are starting a new assessment please ensure you are using the latest template version of the BREEAM-SE 2017 Assessment scoring and reporting tool and not a version used for an existing/previous assessment.</v>
      </c>
      <c r="C1" s="718"/>
      <c r="D1" s="718"/>
      <c r="E1" s="718"/>
      <c r="F1" s="718"/>
      <c r="G1" s="718"/>
      <c r="H1" s="718"/>
      <c r="I1" s="718"/>
      <c r="J1" s="718"/>
      <c r="K1" s="718"/>
      <c r="L1" s="718"/>
      <c r="M1" s="718"/>
      <c r="N1" s="718"/>
      <c r="O1" s="718"/>
      <c r="P1" s="718"/>
      <c r="Q1" s="718"/>
    </row>
    <row r="2" spans="2:24" ht="36.75" customHeight="1" x14ac:dyDescent="0.25">
      <c r="B2" s="187" t="str">
        <f>IF(OR(projecttype=Z209,projecttype=""),"BREEAM SE New Construction 2017 Assessment Report","BREEAM SE Bespoke  New Construction 2017 Assessment Report")</f>
        <v>BREEAM SE New Construction 2017 Assessment Report</v>
      </c>
      <c r="C2" s="181"/>
      <c r="D2" s="181"/>
      <c r="E2" s="181"/>
      <c r="F2" s="181"/>
      <c r="G2" s="181"/>
      <c r="H2" s="181"/>
      <c r="I2" s="181"/>
      <c r="J2" s="181"/>
      <c r="K2" s="181"/>
      <c r="L2" s="181"/>
      <c r="M2" s="181"/>
      <c r="N2" s="181"/>
      <c r="O2" s="181"/>
      <c r="P2" s="181"/>
      <c r="Q2" s="181"/>
      <c r="S2" s="159"/>
    </row>
    <row r="3" spans="2:24" ht="22.5" customHeight="1" x14ac:dyDescent="0.25">
      <c r="B3" s="713" t="str">
        <f>IF(AD_Mandatory_fields_check&gt;0,AIS_statement09,"")</f>
        <v>The fields below marked with a * are mandatory and must be completed/defined prior to beginning the assessment to ensure an accurate score and BREEAM rating. Note: without this information the reporting tool cannot determine the applicable BREEAM issues and number of credits and data entry will not be possible for the building assessment.</v>
      </c>
      <c r="C3" s="713"/>
      <c r="D3" s="713"/>
      <c r="E3" s="713"/>
      <c r="F3" s="713"/>
      <c r="G3" s="713"/>
      <c r="H3" s="713"/>
      <c r="I3" s="713"/>
      <c r="J3" s="713"/>
      <c r="K3" s="713"/>
      <c r="L3" s="713"/>
      <c r="M3" s="713"/>
      <c r="N3" s="713"/>
      <c r="O3" s="713"/>
      <c r="P3" s="713"/>
      <c r="Q3" s="713"/>
    </row>
    <row r="4" spans="2:24" ht="23.1" customHeight="1" x14ac:dyDescent="0.25">
      <c r="B4" s="713"/>
      <c r="C4" s="713"/>
      <c r="D4" s="713"/>
      <c r="E4" s="713"/>
      <c r="F4" s="713"/>
      <c r="G4" s="713"/>
      <c r="H4" s="713"/>
      <c r="I4" s="713"/>
      <c r="J4" s="713"/>
      <c r="K4" s="713"/>
      <c r="L4" s="713"/>
      <c r="M4" s="713"/>
      <c r="N4" s="713"/>
      <c r="O4" s="713"/>
      <c r="P4" s="713"/>
      <c r="Q4" s="713"/>
    </row>
    <row r="5" spans="2:24" ht="24.95" customHeight="1" x14ac:dyDescent="0.35">
      <c r="B5" s="186" t="s">
        <v>0</v>
      </c>
      <c r="C5" s="37"/>
      <c r="D5" s="37"/>
      <c r="E5" s="37"/>
      <c r="F5" s="37"/>
      <c r="G5" s="37"/>
      <c r="H5" s="37"/>
      <c r="I5" s="37"/>
      <c r="J5" s="37"/>
      <c r="K5" s="37"/>
      <c r="L5" s="37"/>
      <c r="M5" s="37"/>
      <c r="N5" s="37"/>
      <c r="O5" s="37"/>
      <c r="P5" s="37"/>
      <c r="Q5" s="179" t="str">
        <f>IF(projecttype=Z210,"BESPOKE","")</f>
        <v/>
      </c>
      <c r="S5" s="209"/>
      <c r="T5" s="206"/>
      <c r="U5" s="206"/>
      <c r="V5" s="206"/>
      <c r="W5" s="206"/>
      <c r="X5" s="206"/>
    </row>
    <row r="6" spans="2:24" ht="15.75" customHeight="1" x14ac:dyDescent="0.25">
      <c r="H6" s="38"/>
      <c r="J6" s="21"/>
      <c r="K6" s="21"/>
      <c r="L6" s="21"/>
      <c r="M6" s="21"/>
      <c r="N6" s="21"/>
      <c r="O6" s="21"/>
      <c r="P6" s="21"/>
      <c r="Q6" s="21"/>
      <c r="S6" s="209"/>
      <c r="T6" s="206"/>
      <c r="U6" s="206"/>
      <c r="V6" s="206"/>
      <c r="W6" s="206"/>
      <c r="X6" s="206"/>
    </row>
    <row r="7" spans="2:24" ht="15.75" x14ac:dyDescent="0.25">
      <c r="B7" s="184"/>
      <c r="C7" s="184"/>
      <c r="D7" s="184"/>
      <c r="E7" s="184"/>
      <c r="F7" s="184"/>
      <c r="G7" s="184"/>
      <c r="H7" s="212" t="s">
        <v>1</v>
      </c>
      <c r="J7" s="701"/>
      <c r="K7" s="702"/>
      <c r="L7" s="702"/>
      <c r="M7" s="702"/>
      <c r="N7" s="702"/>
      <c r="O7" s="702"/>
      <c r="P7" s="702"/>
      <c r="Q7" s="703"/>
      <c r="R7" s="3" t="s">
        <v>2</v>
      </c>
      <c r="S7" s="209"/>
      <c r="T7" s="206"/>
      <c r="U7" s="206"/>
      <c r="V7" s="206"/>
      <c r="W7" s="206"/>
      <c r="X7" s="206"/>
    </row>
    <row r="8" spans="2:24" ht="3" customHeight="1" x14ac:dyDescent="0.25">
      <c r="H8" s="189"/>
      <c r="J8" s="193"/>
      <c r="K8" s="193"/>
      <c r="L8" s="193"/>
      <c r="M8" s="193"/>
      <c r="N8" s="193"/>
      <c r="O8" s="193"/>
      <c r="P8" s="193"/>
      <c r="Q8" s="193"/>
      <c r="S8" s="209"/>
      <c r="T8" s="206"/>
      <c r="U8" s="206"/>
      <c r="V8" s="206"/>
      <c r="W8" s="206"/>
      <c r="X8" s="206"/>
    </row>
    <row r="9" spans="2:24" ht="15.75" x14ac:dyDescent="0.25">
      <c r="B9" s="184"/>
      <c r="C9" s="184"/>
      <c r="D9" s="184"/>
      <c r="E9" s="184"/>
      <c r="F9" s="184"/>
      <c r="G9" s="184"/>
      <c r="H9" s="212" t="s">
        <v>3</v>
      </c>
      <c r="J9" s="701"/>
      <c r="K9" s="702"/>
      <c r="L9" s="702"/>
      <c r="M9" s="702"/>
      <c r="N9" s="702"/>
      <c r="O9" s="702"/>
      <c r="P9" s="702"/>
      <c r="Q9" s="703"/>
      <c r="R9" s="3" t="s">
        <v>2</v>
      </c>
      <c r="S9" s="209"/>
      <c r="T9" s="206"/>
      <c r="U9" s="206"/>
      <c r="V9" s="206"/>
      <c r="W9" s="206"/>
      <c r="X9" s="206"/>
    </row>
    <row r="10" spans="2:24" ht="3" customHeight="1" x14ac:dyDescent="0.25">
      <c r="H10" s="189"/>
      <c r="J10" s="193"/>
      <c r="K10" s="193"/>
      <c r="L10" s="193"/>
      <c r="M10" s="193"/>
      <c r="N10" s="193"/>
      <c r="O10" s="193"/>
      <c r="P10" s="193"/>
      <c r="Q10" s="193"/>
      <c r="S10" s="209"/>
      <c r="T10" s="206"/>
      <c r="U10" s="206"/>
      <c r="V10" s="206"/>
      <c r="W10" s="206"/>
      <c r="X10" s="206"/>
    </row>
    <row r="11" spans="2:24" ht="15.75" x14ac:dyDescent="0.25">
      <c r="B11" s="184"/>
      <c r="C11" s="184"/>
      <c r="D11" s="184"/>
      <c r="E11" s="184"/>
      <c r="F11" s="184"/>
      <c r="G11" s="184"/>
      <c r="H11" s="212" t="s">
        <v>4</v>
      </c>
      <c r="J11" s="701"/>
      <c r="K11" s="702"/>
      <c r="L11" s="702"/>
      <c r="M11" s="702"/>
      <c r="N11" s="702"/>
      <c r="O11" s="702"/>
      <c r="P11" s="702"/>
      <c r="Q11" s="703"/>
      <c r="S11" s="209"/>
      <c r="T11" s="206"/>
      <c r="U11" s="206"/>
      <c r="V11" s="206"/>
      <c r="W11" s="206"/>
      <c r="X11" s="206"/>
    </row>
    <row r="12" spans="2:24" ht="3" customHeight="1" x14ac:dyDescent="0.25">
      <c r="H12" s="189"/>
      <c r="J12" s="193"/>
      <c r="K12" s="193"/>
      <c r="L12" s="193"/>
      <c r="M12" s="193"/>
      <c r="N12" s="193"/>
      <c r="O12" s="193"/>
      <c r="P12" s="193"/>
      <c r="Q12" s="193"/>
      <c r="S12" s="209"/>
      <c r="T12" s="206"/>
      <c r="U12" s="206"/>
      <c r="V12" s="206"/>
      <c r="W12" s="206"/>
      <c r="X12" s="206"/>
    </row>
    <row r="13" spans="2:24" ht="15.75" x14ac:dyDescent="0.25">
      <c r="B13" s="184"/>
      <c r="C13" s="184"/>
      <c r="D13" s="184"/>
      <c r="E13" s="184"/>
      <c r="F13" s="184"/>
      <c r="G13" s="184"/>
      <c r="H13" s="212" t="s">
        <v>5</v>
      </c>
      <c r="J13" s="701"/>
      <c r="K13" s="702"/>
      <c r="L13" s="702"/>
      <c r="M13" s="702"/>
      <c r="N13" s="702"/>
      <c r="O13" s="702"/>
      <c r="P13" s="702"/>
      <c r="Q13" s="703"/>
      <c r="R13" s="3" t="s">
        <v>2</v>
      </c>
      <c r="S13" s="209"/>
      <c r="T13" s="206"/>
      <c r="U13" s="206"/>
      <c r="V13" s="206"/>
      <c r="W13" s="206"/>
      <c r="X13" s="206"/>
    </row>
    <row r="14" spans="2:24" ht="3" customHeight="1" x14ac:dyDescent="0.25">
      <c r="H14" s="189"/>
      <c r="J14" s="193"/>
      <c r="K14" s="193"/>
      <c r="L14" s="193"/>
      <c r="M14" s="193"/>
      <c r="N14" s="193"/>
      <c r="O14" s="193"/>
      <c r="P14" s="193"/>
      <c r="Q14" s="193"/>
      <c r="S14" s="209"/>
      <c r="T14" s="206"/>
      <c r="U14" s="206"/>
      <c r="V14" s="206"/>
      <c r="W14" s="206"/>
      <c r="X14" s="206"/>
    </row>
    <row r="15" spans="2:24" ht="15.75" customHeight="1" x14ac:dyDescent="0.25">
      <c r="B15" s="184"/>
      <c r="C15" s="184"/>
      <c r="D15" s="184"/>
      <c r="E15" s="184"/>
      <c r="F15" s="184"/>
      <c r="G15" s="184"/>
      <c r="H15" s="212" t="s">
        <v>6</v>
      </c>
      <c r="J15" s="701"/>
      <c r="K15" s="702"/>
      <c r="L15" s="702"/>
      <c r="M15" s="702"/>
      <c r="N15" s="702"/>
      <c r="O15" s="702"/>
      <c r="P15" s="702"/>
      <c r="Q15" s="703"/>
      <c r="R15" s="3" t="s">
        <v>2</v>
      </c>
      <c r="S15" s="209"/>
      <c r="T15" s="206"/>
      <c r="U15" s="206"/>
      <c r="V15" s="206"/>
      <c r="W15" s="206"/>
      <c r="X15" s="206"/>
    </row>
    <row r="16" spans="2:24" ht="3" customHeight="1" x14ac:dyDescent="0.25">
      <c r="H16" s="189"/>
      <c r="J16" s="193"/>
      <c r="K16" s="193"/>
      <c r="L16" s="193"/>
      <c r="M16" s="193"/>
      <c r="N16" s="193"/>
      <c r="O16" s="193"/>
      <c r="P16" s="193"/>
      <c r="Q16" s="193"/>
      <c r="S16" s="209"/>
      <c r="T16" s="206"/>
      <c r="U16" s="206"/>
      <c r="V16" s="206"/>
      <c r="W16" s="206"/>
      <c r="X16" s="206"/>
    </row>
    <row r="17" spans="2:24" ht="15.75" customHeight="1" x14ac:dyDescent="0.25">
      <c r="B17" s="184"/>
      <c r="C17" s="184"/>
      <c r="D17" s="184"/>
      <c r="E17" s="184"/>
      <c r="F17" s="184"/>
      <c r="G17" s="184"/>
      <c r="H17" s="212" t="s">
        <v>7</v>
      </c>
      <c r="J17" s="701"/>
      <c r="K17" s="702"/>
      <c r="L17" s="702"/>
      <c r="M17" s="702"/>
      <c r="N17" s="702"/>
      <c r="O17" s="702"/>
      <c r="P17" s="702"/>
      <c r="Q17" s="703"/>
      <c r="R17" s="3" t="s">
        <v>2</v>
      </c>
      <c r="S17" s="209"/>
      <c r="T17" s="206"/>
      <c r="U17" s="206"/>
      <c r="V17" s="206"/>
      <c r="W17" s="206"/>
      <c r="X17" s="206"/>
    </row>
    <row r="18" spans="2:24" ht="36.6" customHeight="1" x14ac:dyDescent="0.3">
      <c r="B18" s="186" t="s">
        <v>8</v>
      </c>
      <c r="C18" s="37"/>
      <c r="D18" s="37"/>
      <c r="E18" s="37"/>
      <c r="F18" s="37"/>
      <c r="G18" s="37"/>
      <c r="H18" s="22"/>
      <c r="I18" s="37"/>
      <c r="J18" s="194"/>
      <c r="K18" s="194"/>
      <c r="L18" s="195"/>
      <c r="M18" s="195"/>
      <c r="N18" s="195"/>
      <c r="O18" s="195"/>
      <c r="P18" s="195"/>
      <c r="Q18" s="195"/>
      <c r="S18" s="209"/>
      <c r="T18" s="206"/>
      <c r="U18" s="206"/>
      <c r="V18" s="206"/>
      <c r="W18" s="206"/>
      <c r="X18" s="206"/>
    </row>
    <row r="19" spans="2:24" ht="15.75" x14ac:dyDescent="0.25">
      <c r="B19" s="41"/>
      <c r="H19" s="21"/>
      <c r="J19" s="193"/>
      <c r="K19" s="193"/>
      <c r="L19" s="196"/>
      <c r="M19" s="196"/>
      <c r="N19" s="196"/>
      <c r="O19" s="196"/>
      <c r="P19" s="196"/>
      <c r="Q19" s="196"/>
      <c r="S19" s="209"/>
      <c r="T19" s="206"/>
      <c r="U19" s="206"/>
      <c r="V19" s="206"/>
      <c r="W19" s="206"/>
      <c r="X19" s="206"/>
    </row>
    <row r="20" spans="2:24" ht="15" customHeight="1" x14ac:dyDescent="0.25">
      <c r="B20" s="182"/>
      <c r="C20" s="182"/>
      <c r="D20" s="182"/>
      <c r="E20" s="182"/>
      <c r="F20" s="182"/>
      <c r="G20" s="182"/>
      <c r="H20" s="212" t="s">
        <v>9</v>
      </c>
      <c r="J20" s="701"/>
      <c r="K20" s="702"/>
      <c r="L20" s="702"/>
      <c r="M20" s="702"/>
      <c r="N20" s="702"/>
      <c r="O20" s="702"/>
      <c r="P20" s="702"/>
      <c r="Q20" s="703"/>
      <c r="R20" s="3" t="s">
        <v>2</v>
      </c>
      <c r="S20" s="209"/>
      <c r="T20" s="206"/>
      <c r="U20" s="206"/>
      <c r="V20" s="206"/>
      <c r="W20" s="206"/>
      <c r="X20" s="206"/>
    </row>
    <row r="21" spans="2:24" ht="3" customHeight="1" x14ac:dyDescent="0.25">
      <c r="H21" s="189"/>
      <c r="J21" s="193"/>
      <c r="K21" s="193"/>
      <c r="L21" s="196"/>
      <c r="M21" s="196"/>
      <c r="N21" s="196"/>
      <c r="O21" s="196"/>
      <c r="P21" s="196"/>
      <c r="Q21" s="196"/>
      <c r="S21" s="209"/>
      <c r="T21" s="206"/>
      <c r="U21" s="206"/>
      <c r="V21" s="206"/>
      <c r="W21" s="206"/>
      <c r="X21" s="206"/>
    </row>
    <row r="22" spans="2:24" ht="15.75" x14ac:dyDescent="0.25">
      <c r="B22" s="182"/>
      <c r="C22" s="182"/>
      <c r="D22" s="182"/>
      <c r="E22" s="182"/>
      <c r="F22" s="182"/>
      <c r="G22" s="182"/>
      <c r="H22" s="185" t="s">
        <v>10</v>
      </c>
      <c r="J22" s="701"/>
      <c r="K22" s="702"/>
      <c r="L22" s="702"/>
      <c r="M22" s="702"/>
      <c r="N22" s="702"/>
      <c r="O22" s="702"/>
      <c r="P22" s="702"/>
      <c r="Q22" s="703"/>
      <c r="R22" s="3" t="s">
        <v>2</v>
      </c>
      <c r="S22" s="209"/>
      <c r="T22" s="206"/>
      <c r="U22" s="206"/>
      <c r="V22" s="206"/>
      <c r="W22" s="206"/>
      <c r="X22" s="206"/>
    </row>
    <row r="23" spans="2:24" ht="3" customHeight="1" x14ac:dyDescent="0.25">
      <c r="B23" s="183"/>
      <c r="C23" s="183"/>
      <c r="D23" s="183"/>
      <c r="E23" s="183"/>
      <c r="F23" s="183"/>
      <c r="G23" s="183"/>
      <c r="H23" s="190"/>
      <c r="I23" s="28"/>
      <c r="J23" s="196"/>
      <c r="K23" s="196"/>
      <c r="L23" s="196"/>
      <c r="M23" s="196"/>
      <c r="N23" s="196"/>
      <c r="O23" s="196"/>
      <c r="P23" s="196"/>
      <c r="Q23" s="196"/>
      <c r="S23" s="209"/>
      <c r="T23" s="206"/>
      <c r="U23" s="206"/>
      <c r="V23" s="206"/>
      <c r="W23" s="206"/>
      <c r="X23" s="206"/>
    </row>
    <row r="24" spans="2:24" ht="15.75" x14ac:dyDescent="0.25">
      <c r="B24" s="182"/>
      <c r="C24" s="182"/>
      <c r="D24" s="182"/>
      <c r="E24" s="182"/>
      <c r="F24" s="182"/>
      <c r="G24" s="182"/>
      <c r="H24" s="191"/>
      <c r="J24" s="701"/>
      <c r="K24" s="702"/>
      <c r="L24" s="702"/>
      <c r="M24" s="702"/>
      <c r="N24" s="702"/>
      <c r="O24" s="702"/>
      <c r="P24" s="702"/>
      <c r="Q24" s="703"/>
      <c r="S24" s="209"/>
      <c r="T24" s="206"/>
      <c r="U24" s="206"/>
      <c r="V24" s="206"/>
      <c r="W24" s="206"/>
      <c r="X24" s="206"/>
    </row>
    <row r="25" spans="2:24" ht="3" customHeight="1" x14ac:dyDescent="0.25">
      <c r="B25" s="183"/>
      <c r="C25" s="183"/>
      <c r="D25" s="183"/>
      <c r="E25" s="183"/>
      <c r="F25" s="183"/>
      <c r="G25" s="183"/>
      <c r="H25" s="190"/>
      <c r="I25" s="28"/>
      <c r="J25" s="196"/>
      <c r="K25" s="196"/>
      <c r="L25" s="196"/>
      <c r="M25" s="196"/>
      <c r="N25" s="196"/>
      <c r="O25" s="196"/>
      <c r="P25" s="196"/>
      <c r="Q25" s="196"/>
      <c r="S25" s="209"/>
      <c r="T25" s="206"/>
      <c r="U25" s="206"/>
      <c r="V25" s="206"/>
      <c r="W25" s="206"/>
      <c r="X25" s="206"/>
    </row>
    <row r="26" spans="2:24" ht="15.75" x14ac:dyDescent="0.25">
      <c r="B26" s="182"/>
      <c r="C26" s="182"/>
      <c r="D26" s="182"/>
      <c r="E26" s="182"/>
      <c r="F26" s="182"/>
      <c r="G26" s="182"/>
      <c r="H26" s="191"/>
      <c r="J26" s="863"/>
      <c r="K26" s="863"/>
      <c r="L26" s="863"/>
      <c r="M26" s="863"/>
      <c r="N26" s="863"/>
      <c r="O26" s="863"/>
      <c r="P26" s="863"/>
      <c r="Q26" s="863"/>
      <c r="S26" s="209"/>
      <c r="T26" s="206"/>
      <c r="U26" s="206"/>
      <c r="V26" s="206"/>
      <c r="W26" s="206"/>
      <c r="X26" s="206"/>
    </row>
    <row r="27" spans="2:24" ht="3" customHeight="1" x14ac:dyDescent="0.25">
      <c r="B27" s="183"/>
      <c r="C27" s="183"/>
      <c r="D27" s="183"/>
      <c r="E27" s="183"/>
      <c r="F27" s="183"/>
      <c r="G27" s="183"/>
      <c r="H27" s="190"/>
      <c r="I27" s="28"/>
      <c r="J27" s="196"/>
      <c r="K27" s="196"/>
      <c r="L27" s="196"/>
      <c r="M27" s="196"/>
      <c r="N27" s="196"/>
      <c r="O27" s="196"/>
      <c r="P27" s="196"/>
      <c r="Q27" s="196"/>
      <c r="S27" s="209"/>
      <c r="T27" s="206"/>
      <c r="U27" s="206"/>
      <c r="V27" s="206"/>
      <c r="W27" s="206"/>
      <c r="X27" s="206"/>
    </row>
    <row r="28" spans="2:24" ht="15.75" x14ac:dyDescent="0.25">
      <c r="B28" s="182"/>
      <c r="C28" s="182"/>
      <c r="D28" s="182"/>
      <c r="E28" s="182"/>
      <c r="F28" s="182"/>
      <c r="G28" s="182"/>
      <c r="H28" s="191"/>
      <c r="J28" s="701"/>
      <c r="K28" s="702"/>
      <c r="L28" s="702"/>
      <c r="M28" s="702"/>
      <c r="N28" s="702"/>
      <c r="O28" s="702"/>
      <c r="P28" s="702"/>
      <c r="Q28" s="703"/>
      <c r="S28" s="209"/>
      <c r="T28" s="206"/>
      <c r="U28" s="206"/>
      <c r="V28" s="206"/>
      <c r="W28" s="206"/>
      <c r="X28" s="206"/>
    </row>
    <row r="29" spans="2:24" ht="3" customHeight="1" x14ac:dyDescent="0.25">
      <c r="H29" s="189"/>
      <c r="J29" s="196"/>
      <c r="K29" s="196"/>
      <c r="L29" s="196"/>
      <c r="M29" s="196"/>
      <c r="N29" s="196"/>
      <c r="O29" s="196"/>
      <c r="P29" s="196"/>
      <c r="Q29" s="196"/>
      <c r="S29" s="209"/>
      <c r="T29" s="206"/>
      <c r="U29" s="206"/>
      <c r="V29" s="206"/>
      <c r="W29" s="206"/>
      <c r="X29" s="206"/>
    </row>
    <row r="30" spans="2:24" ht="15.75" x14ac:dyDescent="0.25">
      <c r="B30" s="213"/>
      <c r="C30" s="213"/>
      <c r="D30" s="213"/>
      <c r="E30" s="213"/>
      <c r="F30" s="213"/>
      <c r="G30" s="213"/>
      <c r="H30" s="212" t="s">
        <v>11</v>
      </c>
      <c r="J30" s="701"/>
      <c r="K30" s="702"/>
      <c r="L30" s="702"/>
      <c r="M30" s="702"/>
      <c r="N30" s="702"/>
      <c r="O30" s="702"/>
      <c r="P30" s="702"/>
      <c r="Q30" s="703"/>
      <c r="R30" s="3" t="s">
        <v>2</v>
      </c>
      <c r="S30" s="209"/>
      <c r="T30" s="206"/>
      <c r="U30" s="206"/>
      <c r="V30" s="206"/>
      <c r="W30" s="206"/>
      <c r="X30" s="206"/>
    </row>
    <row r="31" spans="2:24" ht="2.25" customHeight="1" x14ac:dyDescent="0.25">
      <c r="H31" s="225"/>
      <c r="J31" s="196"/>
      <c r="K31" s="196"/>
      <c r="L31" s="196"/>
      <c r="M31" s="196"/>
      <c r="N31" s="196"/>
      <c r="O31" s="196"/>
      <c r="P31" s="196"/>
      <c r="Q31" s="196"/>
      <c r="S31" s="209"/>
      <c r="T31" s="206"/>
      <c r="U31" s="206"/>
      <c r="V31" s="206"/>
      <c r="W31" s="206"/>
      <c r="X31" s="206"/>
    </row>
    <row r="32" spans="2:24" ht="15.75" x14ac:dyDescent="0.25">
      <c r="B32" s="213"/>
      <c r="C32" s="213"/>
      <c r="D32" s="213"/>
      <c r="E32" s="213"/>
      <c r="F32" s="213"/>
      <c r="G32" s="213"/>
      <c r="H32" s="212" t="s">
        <v>12</v>
      </c>
      <c r="J32" s="701"/>
      <c r="K32" s="702"/>
      <c r="L32" s="702"/>
      <c r="M32" s="702"/>
      <c r="N32" s="702"/>
      <c r="O32" s="702"/>
      <c r="P32" s="702"/>
      <c r="Q32" s="703"/>
      <c r="S32" s="209"/>
      <c r="T32" s="206"/>
      <c r="U32" s="206"/>
      <c r="V32" s="206"/>
      <c r="W32" s="206"/>
      <c r="X32" s="206"/>
    </row>
    <row r="33" spans="2:24" ht="3" customHeight="1" x14ac:dyDescent="0.25">
      <c r="H33" s="225"/>
      <c r="J33" s="193"/>
      <c r="K33" s="193"/>
      <c r="L33" s="196"/>
      <c r="M33" s="196"/>
      <c r="N33" s="196"/>
      <c r="O33" s="196"/>
      <c r="P33" s="196"/>
      <c r="Q33" s="196"/>
      <c r="S33" s="209"/>
      <c r="T33" s="206"/>
      <c r="U33" s="206"/>
      <c r="V33" s="206"/>
      <c r="W33" s="206"/>
      <c r="X33" s="206"/>
    </row>
    <row r="34" spans="2:24" ht="15.75" x14ac:dyDescent="0.25">
      <c r="B34" s="213"/>
      <c r="C34" s="213"/>
      <c r="D34" s="213"/>
      <c r="E34" s="213"/>
      <c r="F34" s="213"/>
      <c r="G34" s="213"/>
      <c r="H34" s="212" t="s">
        <v>13</v>
      </c>
      <c r="J34" s="714" t="s">
        <v>14</v>
      </c>
      <c r="K34" s="715"/>
      <c r="L34" s="715"/>
      <c r="M34" s="715"/>
      <c r="N34" s="715"/>
      <c r="O34" s="715"/>
      <c r="P34" s="715"/>
      <c r="Q34" s="716"/>
      <c r="S34" s="209"/>
      <c r="T34" s="206"/>
      <c r="U34" s="206"/>
      <c r="V34" s="206"/>
      <c r="W34" s="206"/>
      <c r="X34" s="206"/>
    </row>
    <row r="35" spans="2:24" ht="3" customHeight="1" x14ac:dyDescent="0.25">
      <c r="H35" s="225"/>
      <c r="I35" s="39"/>
      <c r="J35" s="193"/>
      <c r="K35" s="193"/>
      <c r="L35" s="196"/>
      <c r="M35" s="196"/>
      <c r="N35" s="196"/>
      <c r="O35" s="196"/>
      <c r="P35" s="196"/>
      <c r="Q35" s="196"/>
      <c r="R35" s="39"/>
      <c r="S35" s="209"/>
      <c r="T35" s="206"/>
      <c r="U35" s="206"/>
      <c r="V35" s="206"/>
      <c r="W35" s="206"/>
      <c r="X35" s="206"/>
    </row>
    <row r="36" spans="2:24" ht="15.75" x14ac:dyDescent="0.25">
      <c r="B36" s="213"/>
      <c r="C36" s="213"/>
      <c r="D36" s="213"/>
      <c r="E36" s="213"/>
      <c r="F36" s="213"/>
      <c r="G36" s="213"/>
      <c r="H36" s="212" t="s">
        <v>15</v>
      </c>
      <c r="J36" s="701"/>
      <c r="K36" s="702"/>
      <c r="L36" s="702"/>
      <c r="M36" s="702"/>
      <c r="N36" s="702"/>
      <c r="O36" s="702"/>
      <c r="P36" s="702"/>
      <c r="Q36" s="703"/>
      <c r="R36" s="3" t="s">
        <v>2</v>
      </c>
      <c r="S36" s="209"/>
      <c r="T36" s="206"/>
      <c r="U36" s="206"/>
      <c r="V36" s="206"/>
      <c r="W36" s="206"/>
      <c r="X36" s="206"/>
    </row>
    <row r="37" spans="2:24" ht="3" customHeight="1" x14ac:dyDescent="0.25">
      <c r="H37" s="225"/>
      <c r="J37" s="193"/>
      <c r="K37" s="193"/>
      <c r="L37" s="196"/>
      <c r="M37" s="196"/>
      <c r="N37" s="196"/>
      <c r="O37" s="196"/>
      <c r="P37" s="196"/>
      <c r="Q37" s="196"/>
      <c r="S37" s="209"/>
      <c r="T37" s="206"/>
      <c r="U37" s="206"/>
      <c r="V37" s="206"/>
      <c r="W37" s="206"/>
      <c r="X37" s="206"/>
    </row>
    <row r="38" spans="2:24" ht="15" customHeight="1" x14ac:dyDescent="0.25">
      <c r="B38" s="213"/>
      <c r="C38" s="213"/>
      <c r="D38" s="213"/>
      <c r="E38" s="213"/>
      <c r="F38" s="213"/>
      <c r="G38" s="213"/>
      <c r="H38" s="212" t="s">
        <v>16</v>
      </c>
      <c r="J38" s="701"/>
      <c r="K38" s="702"/>
      <c r="L38" s="702"/>
      <c r="M38" s="702"/>
      <c r="N38" s="702"/>
      <c r="O38" s="702"/>
      <c r="P38" s="702"/>
      <c r="Q38" s="703"/>
      <c r="R38" s="3" t="s">
        <v>2</v>
      </c>
      <c r="S38" s="209"/>
      <c r="T38" s="206"/>
      <c r="U38" s="206"/>
      <c r="V38" s="206"/>
      <c r="W38" s="206"/>
      <c r="X38" s="206"/>
    </row>
    <row r="39" spans="2:24" ht="3" customHeight="1" x14ac:dyDescent="0.25">
      <c r="H39" s="225"/>
      <c r="J39" s="193"/>
      <c r="K39" s="193"/>
      <c r="L39" s="196"/>
      <c r="M39" s="196"/>
      <c r="N39" s="196"/>
      <c r="O39" s="196"/>
      <c r="P39" s="196"/>
      <c r="Q39" s="196"/>
      <c r="S39" s="209"/>
      <c r="T39" s="206"/>
      <c r="U39" s="206"/>
      <c r="V39" s="206"/>
      <c r="W39" s="206"/>
      <c r="X39" s="206"/>
    </row>
    <row r="40" spans="2:24" ht="18" x14ac:dyDescent="0.25">
      <c r="B40" s="213"/>
      <c r="C40" s="213"/>
      <c r="D40" s="213"/>
      <c r="E40" s="213"/>
      <c r="F40" s="213"/>
      <c r="G40" s="213"/>
      <c r="H40" s="212" t="s">
        <v>17</v>
      </c>
      <c r="J40" s="701"/>
      <c r="K40" s="702"/>
      <c r="L40" s="702"/>
      <c r="M40" s="702"/>
      <c r="N40" s="702"/>
      <c r="O40" s="702"/>
      <c r="P40" s="702"/>
      <c r="Q40" s="703"/>
      <c r="R40" s="3" t="s">
        <v>2</v>
      </c>
      <c r="S40" s="209"/>
      <c r="T40" s="206"/>
      <c r="U40" s="206"/>
      <c r="V40" s="206"/>
      <c r="W40" s="206"/>
      <c r="X40" s="206"/>
    </row>
    <row r="41" spans="2:24" ht="3" customHeight="1" x14ac:dyDescent="0.25">
      <c r="H41" s="225"/>
      <c r="J41" s="193"/>
      <c r="K41" s="193"/>
      <c r="L41" s="196"/>
      <c r="M41" s="196"/>
      <c r="N41" s="196"/>
      <c r="O41" s="196"/>
      <c r="P41" s="196"/>
      <c r="Q41" s="196"/>
      <c r="S41" s="209"/>
      <c r="T41" s="206"/>
      <c r="U41" s="206"/>
      <c r="V41" s="206"/>
      <c r="W41" s="206"/>
      <c r="X41" s="206"/>
    </row>
    <row r="42" spans="2:24" ht="18" x14ac:dyDescent="0.25">
      <c r="B42" s="213"/>
      <c r="C42" s="213"/>
      <c r="D42" s="213"/>
      <c r="E42" s="213"/>
      <c r="F42" s="213"/>
      <c r="G42" s="213"/>
      <c r="H42" s="212" t="s">
        <v>18</v>
      </c>
      <c r="J42" s="701"/>
      <c r="K42" s="702"/>
      <c r="L42" s="702"/>
      <c r="M42" s="702"/>
      <c r="N42" s="702"/>
      <c r="O42" s="702"/>
      <c r="P42" s="702"/>
      <c r="Q42" s="703"/>
      <c r="R42" s="3" t="s">
        <v>2</v>
      </c>
      <c r="S42" s="209" t="s">
        <v>19</v>
      </c>
      <c r="T42" s="206"/>
      <c r="U42" s="206"/>
      <c r="V42" s="206"/>
      <c r="W42" s="206"/>
      <c r="X42" s="206"/>
    </row>
    <row r="43" spans="2:24" ht="3" customHeight="1" x14ac:dyDescent="0.25">
      <c r="H43" s="225"/>
      <c r="J43" s="193"/>
      <c r="K43" s="193"/>
      <c r="L43" s="196"/>
      <c r="M43" s="196"/>
      <c r="N43" s="196"/>
      <c r="O43" s="196"/>
      <c r="P43" s="196"/>
      <c r="Q43" s="196"/>
      <c r="S43" s="209"/>
      <c r="T43" s="206"/>
      <c r="U43" s="206"/>
      <c r="V43" s="206"/>
      <c r="W43" s="206"/>
      <c r="X43" s="206"/>
    </row>
    <row r="44" spans="2:24" ht="15" customHeight="1" x14ac:dyDescent="0.25">
      <c r="B44" s="213"/>
      <c r="C44" s="213"/>
      <c r="D44" s="213"/>
      <c r="E44" s="213"/>
      <c r="F44" s="213"/>
      <c r="G44" s="213"/>
      <c r="H44" s="212" t="s">
        <v>20</v>
      </c>
      <c r="J44" s="722" t="s">
        <v>21</v>
      </c>
      <c r="K44" s="723"/>
      <c r="L44" s="723"/>
      <c r="M44" s="723"/>
      <c r="N44" s="723"/>
      <c r="O44" s="723"/>
      <c r="P44" s="723"/>
      <c r="Q44" s="724"/>
      <c r="S44" s="209"/>
      <c r="T44" s="206"/>
      <c r="U44" s="206"/>
      <c r="V44" s="206"/>
      <c r="W44" s="206"/>
      <c r="X44" s="206"/>
    </row>
    <row r="45" spans="2:24" ht="3" customHeight="1" x14ac:dyDescent="0.25">
      <c r="H45" s="225"/>
      <c r="J45" s="193"/>
      <c r="K45" s="193"/>
      <c r="L45" s="196"/>
      <c r="M45" s="196"/>
      <c r="N45" s="196"/>
      <c r="O45" s="196"/>
      <c r="P45" s="196"/>
      <c r="Q45" s="196"/>
      <c r="S45" s="209"/>
      <c r="T45" s="206"/>
      <c r="U45" s="206"/>
      <c r="V45" s="206"/>
      <c r="W45" s="206"/>
      <c r="X45" s="206"/>
    </row>
    <row r="46" spans="2:24" ht="16.5" customHeight="1" x14ac:dyDescent="0.25">
      <c r="B46" s="213"/>
      <c r="C46" s="213"/>
      <c r="D46" s="213"/>
      <c r="E46" s="213"/>
      <c r="F46" s="213"/>
      <c r="G46" s="213"/>
      <c r="H46" s="212" t="s">
        <v>22</v>
      </c>
      <c r="J46" s="722" t="s">
        <v>23</v>
      </c>
      <c r="K46" s="723"/>
      <c r="L46" s="723"/>
      <c r="M46" s="723"/>
      <c r="N46" s="723"/>
      <c r="O46" s="723"/>
      <c r="P46" s="723"/>
      <c r="Q46" s="724"/>
      <c r="S46" s="209"/>
      <c r="T46" s="206"/>
      <c r="U46" s="206"/>
      <c r="V46" s="206"/>
      <c r="W46" s="206"/>
      <c r="X46" s="206"/>
    </row>
    <row r="47" spans="2:24" ht="3" customHeight="1" x14ac:dyDescent="0.25">
      <c r="H47" s="225"/>
      <c r="J47" s="193"/>
      <c r="K47" s="193"/>
      <c r="L47" s="196"/>
      <c r="M47" s="196"/>
      <c r="N47" s="196"/>
      <c r="O47" s="196"/>
      <c r="P47" s="196"/>
      <c r="Q47" s="196"/>
      <c r="S47" s="209"/>
      <c r="T47" s="206"/>
      <c r="U47" s="206"/>
      <c r="V47" s="206"/>
      <c r="W47" s="206"/>
      <c r="X47" s="206"/>
    </row>
    <row r="48" spans="2:24" ht="15" customHeight="1" x14ac:dyDescent="0.25">
      <c r="B48" s="213"/>
      <c r="C48" s="213"/>
      <c r="D48" s="213"/>
      <c r="E48" s="213"/>
      <c r="F48" s="213"/>
      <c r="G48" s="213"/>
      <c r="H48" s="212" t="s">
        <v>24</v>
      </c>
      <c r="J48" s="701"/>
      <c r="K48" s="702"/>
      <c r="L48" s="702"/>
      <c r="M48" s="702"/>
      <c r="N48" s="702"/>
      <c r="O48" s="702"/>
      <c r="P48" s="702"/>
      <c r="Q48" s="703"/>
      <c r="R48" s="3" t="s">
        <v>2</v>
      </c>
      <c r="S48" s="209"/>
      <c r="T48" s="206"/>
      <c r="U48" s="206"/>
      <c r="V48" s="206"/>
      <c r="W48" s="206"/>
      <c r="X48" s="206"/>
    </row>
    <row r="49" spans="2:24" ht="3" customHeight="1" x14ac:dyDescent="0.25">
      <c r="H49" s="225"/>
      <c r="J49" s="196"/>
      <c r="K49" s="196"/>
      <c r="L49" s="196"/>
      <c r="M49" s="196"/>
      <c r="N49" s="196"/>
      <c r="O49" s="196"/>
      <c r="P49" s="196"/>
      <c r="Q49" s="196"/>
      <c r="S49" s="209"/>
      <c r="T49" s="206"/>
      <c r="U49" s="206"/>
      <c r="V49" s="206"/>
      <c r="W49" s="206"/>
      <c r="X49" s="206"/>
    </row>
    <row r="50" spans="2:24" ht="15" customHeight="1" x14ac:dyDescent="0.25">
      <c r="B50" s="213"/>
      <c r="C50" s="213"/>
      <c r="D50" s="213"/>
      <c r="E50" s="213"/>
      <c r="F50" s="213"/>
      <c r="G50" s="213"/>
      <c r="H50" s="212" t="s">
        <v>25</v>
      </c>
      <c r="J50" s="701"/>
      <c r="K50" s="702"/>
      <c r="L50" s="702"/>
      <c r="M50" s="702"/>
      <c r="N50" s="702"/>
      <c r="O50" s="702"/>
      <c r="P50" s="702"/>
      <c r="Q50" s="703"/>
      <c r="R50" s="3" t="s">
        <v>2</v>
      </c>
      <c r="S50" s="209"/>
      <c r="T50" s="206"/>
      <c r="U50" s="206"/>
      <c r="V50" s="206"/>
      <c r="W50" s="206"/>
      <c r="X50" s="206"/>
    </row>
    <row r="51" spans="2:24" ht="3" customHeight="1" x14ac:dyDescent="0.25">
      <c r="H51" s="225"/>
      <c r="J51" s="193"/>
      <c r="K51" s="193"/>
      <c r="L51" s="196"/>
      <c r="M51" s="196"/>
      <c r="N51" s="196"/>
      <c r="O51" s="196"/>
      <c r="P51" s="196"/>
      <c r="Q51" s="196"/>
      <c r="S51" s="209"/>
      <c r="T51" s="206"/>
      <c r="U51" s="206"/>
      <c r="V51" s="206"/>
      <c r="W51" s="206"/>
      <c r="X51" s="206"/>
    </row>
    <row r="52" spans="2:24" ht="15" customHeight="1" x14ac:dyDescent="0.25">
      <c r="B52" s="213"/>
      <c r="C52" s="213"/>
      <c r="D52" s="213"/>
      <c r="E52" s="213"/>
      <c r="F52" s="213"/>
      <c r="G52" s="213"/>
      <c r="H52" s="212" t="s">
        <v>26</v>
      </c>
      <c r="J52" s="701"/>
      <c r="K52" s="702"/>
      <c r="L52" s="702"/>
      <c r="M52" s="702"/>
      <c r="N52" s="702"/>
      <c r="O52" s="702"/>
      <c r="P52" s="702"/>
      <c r="Q52" s="703"/>
      <c r="R52" s="3" t="s">
        <v>2</v>
      </c>
      <c r="S52" s="209"/>
      <c r="T52" s="206"/>
      <c r="U52" s="206"/>
      <c r="V52" s="206"/>
      <c r="W52" s="206"/>
      <c r="X52" s="206"/>
    </row>
    <row r="53" spans="2:24" ht="3" customHeight="1" x14ac:dyDescent="0.25">
      <c r="H53" s="225"/>
      <c r="J53" s="193"/>
      <c r="K53" s="193"/>
      <c r="L53" s="196"/>
      <c r="M53" s="196"/>
      <c r="N53" s="196"/>
      <c r="O53" s="196"/>
      <c r="P53" s="196"/>
      <c r="Q53" s="196"/>
      <c r="S53" s="209"/>
      <c r="T53" s="206"/>
      <c r="U53" s="206"/>
      <c r="V53" s="206"/>
      <c r="W53" s="206"/>
      <c r="X53" s="206"/>
    </row>
    <row r="54" spans="2:24" ht="15.75" hidden="1" x14ac:dyDescent="0.25">
      <c r="B54" s="213"/>
      <c r="C54" s="213"/>
      <c r="D54" s="213"/>
      <c r="E54" s="213"/>
      <c r="F54" s="213"/>
      <c r="G54" s="213"/>
      <c r="H54" s="212" t="s">
        <v>27</v>
      </c>
      <c r="J54" s="701"/>
      <c r="K54" s="702"/>
      <c r="L54" s="702"/>
      <c r="M54" s="702"/>
      <c r="N54" s="702"/>
      <c r="O54" s="702"/>
      <c r="P54" s="702"/>
      <c r="Q54" s="703"/>
      <c r="S54" s="209"/>
      <c r="T54" s="206"/>
      <c r="U54" s="206"/>
      <c r="V54" s="206"/>
      <c r="W54" s="206"/>
      <c r="X54" s="206"/>
    </row>
    <row r="55" spans="2:24" ht="3" hidden="1" customHeight="1" x14ac:dyDescent="0.25">
      <c r="H55" s="225"/>
      <c r="J55" s="193"/>
      <c r="K55" s="193"/>
      <c r="L55" s="196"/>
      <c r="M55" s="196"/>
      <c r="N55" s="196"/>
      <c r="O55" s="196"/>
      <c r="P55" s="196"/>
      <c r="Q55" s="196"/>
      <c r="S55" s="209"/>
      <c r="T55" s="206"/>
      <c r="U55" s="206"/>
      <c r="V55" s="206"/>
      <c r="W55" s="206"/>
      <c r="X55" s="206"/>
    </row>
    <row r="56" spans="2:24" ht="15.75" hidden="1" x14ac:dyDescent="0.25">
      <c r="B56" s="213"/>
      <c r="C56" s="213"/>
      <c r="D56" s="213"/>
      <c r="E56" s="213"/>
      <c r="F56" s="213"/>
      <c r="G56" s="213"/>
      <c r="H56" s="212" t="s">
        <v>28</v>
      </c>
      <c r="J56" s="719" t="s">
        <v>29</v>
      </c>
      <c r="K56" s="720"/>
      <c r="L56" s="720"/>
      <c r="M56" s="720"/>
      <c r="N56" s="720"/>
      <c r="O56" s="720"/>
      <c r="P56" s="720"/>
      <c r="Q56" s="721"/>
      <c r="S56" s="209"/>
      <c r="T56" s="206"/>
      <c r="U56" s="206"/>
      <c r="V56" s="206"/>
      <c r="W56" s="206"/>
      <c r="X56" s="206"/>
    </row>
    <row r="57" spans="2:24" ht="3" hidden="1" customHeight="1" x14ac:dyDescent="0.25">
      <c r="H57" s="225"/>
      <c r="J57" s="193"/>
      <c r="K57" s="193"/>
      <c r="L57" s="196"/>
      <c r="M57" s="196"/>
      <c r="N57" s="196"/>
      <c r="O57" s="196"/>
      <c r="P57" s="196"/>
      <c r="Q57" s="196"/>
      <c r="S57" s="209"/>
      <c r="T57" s="206"/>
      <c r="U57" s="206"/>
      <c r="V57" s="206"/>
      <c r="W57" s="206"/>
      <c r="X57" s="206"/>
    </row>
    <row r="58" spans="2:24" ht="15" customHeight="1" x14ac:dyDescent="0.25">
      <c r="B58" s="213"/>
      <c r="C58" s="213"/>
      <c r="D58" s="213"/>
      <c r="E58" s="213"/>
      <c r="F58" s="213"/>
      <c r="G58" s="213"/>
      <c r="H58" s="212" t="s">
        <v>30</v>
      </c>
      <c r="J58" s="701"/>
      <c r="K58" s="702"/>
      <c r="L58" s="702"/>
      <c r="M58" s="702"/>
      <c r="N58" s="702"/>
      <c r="O58" s="702"/>
      <c r="P58" s="702"/>
      <c r="Q58" s="703"/>
      <c r="R58" s="3" t="s">
        <v>2</v>
      </c>
      <c r="S58" s="210"/>
      <c r="T58" s="207"/>
      <c r="U58" s="207"/>
      <c r="V58" s="207"/>
      <c r="W58" s="207"/>
      <c r="X58" s="207"/>
    </row>
    <row r="59" spans="2:24" ht="3" customHeight="1" x14ac:dyDescent="0.25">
      <c r="H59" s="225"/>
      <c r="J59" s="193"/>
      <c r="K59" s="193"/>
      <c r="L59" s="196"/>
      <c r="M59" s="196"/>
      <c r="N59" s="196"/>
      <c r="O59" s="196"/>
      <c r="P59" s="196"/>
      <c r="Q59" s="196"/>
      <c r="S59" s="210"/>
      <c r="T59" s="207"/>
      <c r="U59" s="207"/>
      <c r="V59" s="207"/>
      <c r="W59" s="207"/>
      <c r="X59" s="207"/>
    </row>
    <row r="60" spans="2:24" ht="15" customHeight="1" x14ac:dyDescent="0.25">
      <c r="B60" s="213"/>
      <c r="C60" s="213"/>
      <c r="D60" s="213"/>
      <c r="E60" s="213"/>
      <c r="F60" s="213"/>
      <c r="G60" s="213"/>
      <c r="H60" s="212" t="s">
        <v>31</v>
      </c>
      <c r="J60" s="701"/>
      <c r="K60" s="702"/>
      <c r="L60" s="702"/>
      <c r="M60" s="702"/>
      <c r="N60" s="702"/>
      <c r="O60" s="702"/>
      <c r="P60" s="702"/>
      <c r="Q60" s="703"/>
      <c r="R60" s="3" t="s">
        <v>2</v>
      </c>
      <c r="S60" s="210"/>
      <c r="T60" s="207"/>
      <c r="U60" s="207"/>
      <c r="V60" s="207"/>
      <c r="W60" s="207"/>
      <c r="X60" s="207"/>
    </row>
    <row r="61" spans="2:24" ht="3" customHeight="1" x14ac:dyDescent="0.25">
      <c r="H61" s="225"/>
      <c r="J61" s="193"/>
      <c r="K61" s="193"/>
      <c r="L61" s="196"/>
      <c r="M61" s="196"/>
      <c r="N61" s="196"/>
      <c r="O61" s="196"/>
      <c r="P61" s="196"/>
      <c r="Q61" s="196"/>
      <c r="S61" s="210"/>
      <c r="T61" s="207"/>
      <c r="U61" s="207"/>
      <c r="V61" s="207"/>
      <c r="W61" s="207"/>
      <c r="X61" s="207"/>
    </row>
    <row r="62" spans="2:24" ht="15" customHeight="1" x14ac:dyDescent="0.25">
      <c r="B62" s="213"/>
      <c r="C62" s="213"/>
      <c r="D62" s="213"/>
      <c r="E62" s="213"/>
      <c r="F62" s="213"/>
      <c r="G62" s="213"/>
      <c r="H62" s="212" t="s">
        <v>32</v>
      </c>
      <c r="J62" s="701"/>
      <c r="K62" s="702"/>
      <c r="L62" s="702"/>
      <c r="M62" s="702"/>
      <c r="N62" s="702"/>
      <c r="O62" s="702"/>
      <c r="P62" s="702"/>
      <c r="Q62" s="703"/>
      <c r="S62" s="210"/>
      <c r="T62" s="207"/>
      <c r="U62" s="207"/>
      <c r="V62" s="207"/>
      <c r="W62" s="207"/>
      <c r="X62" s="207"/>
    </row>
    <row r="63" spans="2:24" ht="3" customHeight="1" x14ac:dyDescent="0.25">
      <c r="H63" s="225"/>
      <c r="J63" s="193"/>
      <c r="K63" s="193"/>
      <c r="L63" s="196"/>
      <c r="M63" s="196"/>
      <c r="N63" s="196"/>
      <c r="O63" s="196"/>
      <c r="P63" s="196"/>
      <c r="Q63" s="196"/>
      <c r="S63" s="210"/>
      <c r="T63" s="207"/>
      <c r="U63" s="207"/>
      <c r="V63" s="207"/>
      <c r="W63" s="207"/>
      <c r="X63" s="207"/>
    </row>
    <row r="64" spans="2:24" ht="15" customHeight="1" x14ac:dyDescent="0.25">
      <c r="B64" s="213"/>
      <c r="C64" s="213"/>
      <c r="D64" s="213"/>
      <c r="E64" s="213"/>
      <c r="F64" s="213"/>
      <c r="G64" s="213"/>
      <c r="H64" s="212" t="s">
        <v>33</v>
      </c>
      <c r="J64" s="701"/>
      <c r="K64" s="702"/>
      <c r="L64" s="702"/>
      <c r="M64" s="702"/>
      <c r="N64" s="702"/>
      <c r="O64" s="702"/>
      <c r="P64" s="702"/>
      <c r="Q64" s="703"/>
      <c r="S64" s="210"/>
      <c r="T64" s="207"/>
      <c r="U64" s="207"/>
      <c r="V64" s="207"/>
      <c r="W64" s="207"/>
      <c r="X64" s="207"/>
    </row>
    <row r="65" spans="2:24" ht="3" customHeight="1" x14ac:dyDescent="0.25">
      <c r="H65" s="215"/>
      <c r="J65" s="197"/>
      <c r="K65" s="197"/>
      <c r="L65" s="197"/>
      <c r="M65" s="197"/>
      <c r="N65" s="197"/>
      <c r="O65" s="197"/>
      <c r="P65" s="197"/>
      <c r="Q65" s="197"/>
      <c r="S65" s="210"/>
      <c r="T65" s="207"/>
      <c r="U65" s="207"/>
      <c r="V65" s="207"/>
      <c r="W65" s="207"/>
      <c r="X65" s="207"/>
    </row>
    <row r="66" spans="2:24" ht="15" customHeight="1" x14ac:dyDescent="0.25">
      <c r="B66" s="213"/>
      <c r="C66" s="213"/>
      <c r="D66" s="213"/>
      <c r="E66" s="213"/>
      <c r="F66" s="213"/>
      <c r="G66" s="213"/>
      <c r="H66" s="212" t="s">
        <v>34</v>
      </c>
      <c r="J66" s="704"/>
      <c r="K66" s="704"/>
      <c r="L66" s="704"/>
      <c r="M66" s="704"/>
      <c r="N66" s="704"/>
      <c r="O66" s="704"/>
      <c r="P66" s="704"/>
      <c r="Q66" s="704"/>
      <c r="R66" s="6" t="str">
        <f>IF(ADBT0=ADBT2,"*","")</f>
        <v/>
      </c>
      <c r="S66" s="210"/>
      <c r="T66" s="207"/>
      <c r="U66" s="207"/>
      <c r="V66" s="207"/>
      <c r="W66" s="207"/>
      <c r="X66" s="207"/>
    </row>
    <row r="67" spans="2:24" ht="3" customHeight="1" x14ac:dyDescent="0.25">
      <c r="H67" s="215"/>
      <c r="J67" s="197"/>
      <c r="K67" s="197"/>
      <c r="L67" s="197"/>
      <c r="M67" s="197"/>
      <c r="N67" s="197"/>
      <c r="O67" s="197"/>
      <c r="P67" s="197"/>
      <c r="Q67" s="197"/>
      <c r="S67" s="210"/>
      <c r="T67" s="207"/>
      <c r="U67" s="207"/>
      <c r="V67" s="207"/>
      <c r="W67" s="207"/>
      <c r="X67" s="207"/>
    </row>
    <row r="68" spans="2:24" ht="15" customHeight="1" x14ac:dyDescent="0.25">
      <c r="B68" s="213"/>
      <c r="C68" s="213"/>
      <c r="D68" s="213"/>
      <c r="E68" s="213"/>
      <c r="F68" s="213"/>
      <c r="G68" s="213"/>
      <c r="H68" s="212" t="s">
        <v>35</v>
      </c>
      <c r="J68" s="704"/>
      <c r="K68" s="704"/>
      <c r="L68" s="704"/>
      <c r="M68" s="704"/>
      <c r="N68" s="704"/>
      <c r="O68" s="704"/>
      <c r="P68" s="704"/>
      <c r="Q68" s="704"/>
      <c r="R68" s="6" t="str">
        <f>IF(ADBT0=ADBT2,"*","")</f>
        <v/>
      </c>
      <c r="S68" s="210"/>
      <c r="T68" s="207"/>
      <c r="U68" s="207"/>
      <c r="V68" s="207"/>
      <c r="W68" s="207"/>
      <c r="X68" s="207"/>
    </row>
    <row r="69" spans="2:24" ht="3" customHeight="1" x14ac:dyDescent="0.25">
      <c r="H69" s="215"/>
      <c r="J69" s="196"/>
      <c r="K69" s="196"/>
      <c r="L69" s="196"/>
      <c r="M69" s="196"/>
      <c r="N69" s="196"/>
      <c r="O69" s="196"/>
      <c r="P69" s="196"/>
      <c r="Q69" s="196"/>
      <c r="S69" s="209"/>
      <c r="T69" s="206"/>
      <c r="U69" s="206"/>
      <c r="V69" s="206"/>
      <c r="W69" s="206"/>
      <c r="X69" s="206"/>
    </row>
    <row r="70" spans="2:24" ht="15" customHeight="1" x14ac:dyDescent="0.25">
      <c r="B70" s="213"/>
      <c r="C70" s="213"/>
      <c r="D70" s="213"/>
      <c r="E70" s="213"/>
      <c r="F70" s="213"/>
      <c r="G70" s="213"/>
      <c r="H70" s="212" t="s">
        <v>36</v>
      </c>
      <c r="J70" s="701"/>
      <c r="K70" s="702"/>
      <c r="L70" s="702"/>
      <c r="M70" s="702"/>
      <c r="N70" s="702"/>
      <c r="O70" s="702"/>
      <c r="P70" s="702"/>
      <c r="Q70" s="703"/>
      <c r="R70" s="3" t="s">
        <v>2</v>
      </c>
      <c r="S70" s="209"/>
      <c r="T70" s="206"/>
      <c r="U70" s="206"/>
      <c r="V70" s="206"/>
      <c r="W70" s="206"/>
      <c r="X70" s="206"/>
    </row>
    <row r="71" spans="2:24" ht="3" customHeight="1" x14ac:dyDescent="0.25">
      <c r="H71" s="225"/>
      <c r="J71" s="193"/>
      <c r="K71" s="193"/>
      <c r="L71" s="196"/>
      <c r="M71" s="196"/>
      <c r="N71" s="196"/>
      <c r="O71" s="196"/>
      <c r="P71" s="196"/>
      <c r="Q71" s="196"/>
      <c r="S71" s="209"/>
      <c r="T71" s="206"/>
      <c r="U71" s="206"/>
      <c r="V71" s="206"/>
      <c r="W71" s="206"/>
      <c r="X71" s="206"/>
    </row>
    <row r="72" spans="2:24" ht="15.75" x14ac:dyDescent="0.25">
      <c r="B72" s="213"/>
      <c r="C72" s="213"/>
      <c r="D72" s="213"/>
      <c r="E72" s="213"/>
      <c r="F72" s="213"/>
      <c r="G72" s="213"/>
      <c r="H72" s="212" t="s">
        <v>37</v>
      </c>
      <c r="J72" s="701"/>
      <c r="K72" s="702"/>
      <c r="L72" s="702"/>
      <c r="M72" s="702"/>
      <c r="N72" s="702"/>
      <c r="O72" s="702"/>
      <c r="P72" s="702"/>
      <c r="Q72" s="703"/>
      <c r="R72" s="3" t="s">
        <v>2</v>
      </c>
      <c r="S72" s="209"/>
      <c r="T72" s="206"/>
      <c r="U72" s="206"/>
      <c r="V72" s="206"/>
      <c r="W72" s="206"/>
      <c r="X72" s="206"/>
    </row>
    <row r="73" spans="2:24" ht="3" customHeight="1" x14ac:dyDescent="0.25">
      <c r="H73" s="215"/>
      <c r="J73" s="21"/>
      <c r="K73" s="21"/>
      <c r="L73" s="198"/>
      <c r="M73" s="198"/>
      <c r="N73" s="198"/>
      <c r="O73" s="198"/>
      <c r="P73" s="198"/>
      <c r="Q73" s="198"/>
      <c r="S73" s="209"/>
      <c r="T73" s="206"/>
      <c r="U73" s="206"/>
      <c r="V73" s="206"/>
      <c r="W73" s="206"/>
      <c r="X73" s="206"/>
    </row>
    <row r="74" spans="2:24" ht="15.75" customHeight="1" x14ac:dyDescent="0.25">
      <c r="B74" s="213"/>
      <c r="C74" s="213"/>
      <c r="D74" s="213"/>
      <c r="E74" s="213"/>
      <c r="F74" s="213"/>
      <c r="G74" s="213"/>
      <c r="H74" s="212" t="s">
        <v>38</v>
      </c>
      <c r="J74" s="701"/>
      <c r="K74" s="702"/>
      <c r="L74" s="702"/>
      <c r="M74" s="702"/>
      <c r="N74" s="702"/>
      <c r="O74" s="702"/>
      <c r="P74" s="702"/>
      <c r="Q74" s="703"/>
      <c r="R74" s="3" t="s">
        <v>2</v>
      </c>
      <c r="S74" s="209"/>
      <c r="T74" s="208"/>
      <c r="U74" s="208"/>
      <c r="V74" s="208"/>
      <c r="W74" s="208"/>
      <c r="X74" s="206"/>
    </row>
    <row r="75" spans="2:24" ht="3" customHeight="1" x14ac:dyDescent="0.25">
      <c r="H75" s="215"/>
      <c r="J75" s="198"/>
      <c r="K75" s="198"/>
      <c r="L75" s="198"/>
      <c r="M75" s="198"/>
      <c r="N75" s="198"/>
      <c r="O75" s="198"/>
      <c r="P75" s="198"/>
      <c r="Q75" s="198"/>
      <c r="S75" s="209"/>
      <c r="T75" s="208"/>
      <c r="U75" s="208"/>
      <c r="V75" s="208"/>
      <c r="W75" s="208"/>
      <c r="X75" s="206"/>
    </row>
    <row r="76" spans="2:24" ht="15.75" customHeight="1" x14ac:dyDescent="0.25">
      <c r="B76" s="213"/>
      <c r="C76" s="213"/>
      <c r="D76" s="213"/>
      <c r="E76" s="213"/>
      <c r="F76" s="213"/>
      <c r="G76" s="213"/>
      <c r="H76" s="212" t="s">
        <v>39</v>
      </c>
      <c r="J76" s="701"/>
      <c r="K76" s="702"/>
      <c r="L76" s="702"/>
      <c r="M76" s="702"/>
      <c r="N76" s="702"/>
      <c r="O76" s="702"/>
      <c r="P76" s="702"/>
      <c r="Q76" s="703"/>
      <c r="R76" s="3" t="s">
        <v>2</v>
      </c>
      <c r="S76" s="209"/>
      <c r="T76" s="208"/>
      <c r="U76" s="208"/>
      <c r="V76" s="208"/>
      <c r="W76" s="208"/>
      <c r="X76" s="206"/>
    </row>
    <row r="77" spans="2:24" ht="3" customHeight="1" x14ac:dyDescent="0.25">
      <c r="H77" s="215"/>
      <c r="J77" s="21"/>
      <c r="K77" s="21"/>
      <c r="L77" s="198"/>
      <c r="M77" s="198"/>
      <c r="N77" s="198"/>
      <c r="O77" s="198"/>
      <c r="P77" s="198"/>
      <c r="Q77" s="198"/>
      <c r="S77" s="209"/>
      <c r="T77" s="206"/>
      <c r="U77" s="206"/>
      <c r="V77" s="206"/>
      <c r="W77" s="206"/>
      <c r="X77" s="206"/>
    </row>
    <row r="78" spans="2:24" ht="15" customHeight="1" x14ac:dyDescent="0.25">
      <c r="B78" s="213"/>
      <c r="C78" s="213"/>
      <c r="D78" s="213"/>
      <c r="E78" s="213"/>
      <c r="F78" s="213"/>
      <c r="G78" s="213"/>
      <c r="H78" s="212" t="s">
        <v>40</v>
      </c>
      <c r="J78" s="701"/>
      <c r="K78" s="702"/>
      <c r="L78" s="702"/>
      <c r="M78" s="702"/>
      <c r="N78" s="702"/>
      <c r="O78" s="702"/>
      <c r="P78" s="702"/>
      <c r="Q78" s="703"/>
      <c r="R78" s="3" t="s">
        <v>2</v>
      </c>
      <c r="S78" s="209"/>
      <c r="T78" s="206"/>
      <c r="U78" s="206"/>
      <c r="V78" s="206"/>
      <c r="W78" s="206"/>
      <c r="X78" s="206"/>
    </row>
    <row r="79" spans="2:24" ht="3" customHeight="1" x14ac:dyDescent="0.25">
      <c r="H79" s="215"/>
      <c r="J79" s="196"/>
      <c r="K79" s="196"/>
      <c r="L79" s="196"/>
      <c r="M79" s="196"/>
      <c r="N79" s="196"/>
      <c r="O79" s="196"/>
      <c r="P79" s="196"/>
      <c r="Q79" s="196"/>
      <c r="S79" s="209"/>
      <c r="T79" s="206"/>
      <c r="U79" s="206"/>
      <c r="V79" s="206"/>
      <c r="W79" s="206"/>
      <c r="X79" s="206"/>
    </row>
    <row r="80" spans="2:24" ht="15.75" x14ac:dyDescent="0.25">
      <c r="B80" s="213"/>
      <c r="C80" s="213"/>
      <c r="D80" s="213"/>
      <c r="E80" s="213"/>
      <c r="F80" s="213"/>
      <c r="G80" s="213"/>
      <c r="H80" s="212" t="s">
        <v>41</v>
      </c>
      <c r="J80" s="701"/>
      <c r="K80" s="702"/>
      <c r="L80" s="702"/>
      <c r="M80" s="702"/>
      <c r="N80" s="702"/>
      <c r="O80" s="702"/>
      <c r="P80" s="702"/>
      <c r="Q80" s="703"/>
      <c r="R80" s="3" t="s">
        <v>2</v>
      </c>
      <c r="S80" s="209"/>
      <c r="T80" s="206"/>
      <c r="U80" s="206"/>
      <c r="V80" s="206"/>
      <c r="W80" s="206"/>
      <c r="X80" s="206"/>
    </row>
    <row r="81" spans="2:30" ht="3" customHeight="1" x14ac:dyDescent="0.25">
      <c r="H81" s="215"/>
      <c r="J81" s="196"/>
      <c r="K81" s="196"/>
      <c r="L81" s="196"/>
      <c r="M81" s="196"/>
      <c r="N81" s="196"/>
      <c r="O81" s="196"/>
      <c r="P81" s="196"/>
      <c r="Q81" s="196"/>
      <c r="S81" s="209"/>
      <c r="T81" s="206"/>
      <c r="U81" s="206"/>
      <c r="V81" s="206"/>
      <c r="W81" s="206"/>
      <c r="X81" s="206"/>
    </row>
    <row r="82" spans="2:30" ht="15" hidden="1" customHeight="1" x14ac:dyDescent="0.25">
      <c r="B82" s="213"/>
      <c r="C82" s="213"/>
      <c r="D82" s="213"/>
      <c r="E82" s="213"/>
      <c r="F82" s="213"/>
      <c r="G82" s="213"/>
      <c r="H82" s="212" t="s">
        <v>42</v>
      </c>
      <c r="J82" s="705" t="s">
        <v>43</v>
      </c>
      <c r="K82" s="706"/>
      <c r="L82" s="706"/>
      <c r="M82" s="706"/>
      <c r="N82" s="706"/>
      <c r="O82" s="706"/>
      <c r="P82" s="706"/>
      <c r="Q82" s="707"/>
      <c r="R82" s="3" t="str">
        <f>IF(ADBT0=ADBT5,"*","")</f>
        <v/>
      </c>
      <c r="S82" s="209"/>
      <c r="T82" s="206"/>
      <c r="U82" s="206"/>
      <c r="V82" s="206"/>
      <c r="W82" s="206"/>
      <c r="X82" s="206"/>
    </row>
    <row r="83" spans="2:30" ht="3" hidden="1" customHeight="1" x14ac:dyDescent="0.25">
      <c r="H83" s="225"/>
      <c r="J83" s="193"/>
      <c r="K83" s="193"/>
      <c r="L83" s="196"/>
      <c r="M83" s="196"/>
      <c r="N83" s="196"/>
      <c r="O83" s="196"/>
      <c r="P83" s="196"/>
      <c r="Q83" s="196"/>
      <c r="S83" s="209"/>
      <c r="T83" s="206"/>
      <c r="U83" s="206"/>
      <c r="V83" s="206"/>
      <c r="W83" s="206"/>
      <c r="X83" s="206"/>
    </row>
    <row r="84" spans="2:30" ht="15" customHeight="1" x14ac:dyDescent="0.25">
      <c r="B84" s="213"/>
      <c r="C84" s="213"/>
      <c r="D84" s="213"/>
      <c r="E84" s="213"/>
      <c r="F84" s="213"/>
      <c r="G84" s="213"/>
      <c r="H84" s="212" t="s">
        <v>44</v>
      </c>
      <c r="J84" s="705"/>
      <c r="K84" s="706"/>
      <c r="L84" s="706"/>
      <c r="M84" s="706"/>
      <c r="N84" s="706"/>
      <c r="O84" s="706"/>
      <c r="P84" s="706"/>
      <c r="Q84" s="707"/>
      <c r="R84" s="3" t="str">
        <f>IF(ADBT0=ADBT2,"*","")</f>
        <v/>
      </c>
      <c r="S84" s="209"/>
      <c r="T84" s="206"/>
      <c r="U84" s="206"/>
      <c r="V84" s="206"/>
      <c r="W84" s="206"/>
      <c r="X84" s="206"/>
    </row>
    <row r="85" spans="2:30" ht="3" customHeight="1" x14ac:dyDescent="0.25">
      <c r="H85" s="215"/>
      <c r="J85" s="196"/>
      <c r="K85" s="196"/>
      <c r="L85" s="196"/>
      <c r="M85" s="196"/>
      <c r="N85" s="196"/>
      <c r="O85" s="196"/>
      <c r="P85" s="196"/>
      <c r="Q85" s="196"/>
      <c r="S85" s="209"/>
      <c r="T85" s="206"/>
      <c r="U85" s="206"/>
      <c r="V85" s="206"/>
      <c r="W85" s="206"/>
      <c r="X85" s="206"/>
    </row>
    <row r="86" spans="2:30" ht="15" hidden="1" customHeight="1" x14ac:dyDescent="0.25">
      <c r="B86" s="213"/>
      <c r="C86" s="213"/>
      <c r="D86" s="213"/>
      <c r="E86" s="213"/>
      <c r="F86" s="213"/>
      <c r="G86" s="213"/>
      <c r="H86" s="212" t="s">
        <v>42</v>
      </c>
      <c r="J86" s="705" t="s">
        <v>43</v>
      </c>
      <c r="K86" s="706"/>
      <c r="L86" s="706"/>
      <c r="M86" s="706"/>
      <c r="N86" s="706"/>
      <c r="O86" s="706"/>
      <c r="P86" s="706"/>
      <c r="Q86" s="707"/>
      <c r="R86" s="3" t="str">
        <f>IF(ADBT0=ADBT5,"*","")</f>
        <v/>
      </c>
      <c r="S86" s="209"/>
      <c r="T86" s="206"/>
      <c r="U86" s="206"/>
      <c r="V86" s="206"/>
      <c r="W86" s="206"/>
      <c r="X86" s="206"/>
    </row>
    <row r="87" spans="2:30" ht="3" hidden="1" customHeight="1" x14ac:dyDescent="0.25">
      <c r="H87" s="225"/>
      <c r="J87" s="193"/>
      <c r="K87" s="193"/>
      <c r="L87" s="196"/>
      <c r="M87" s="196"/>
      <c r="N87" s="196"/>
      <c r="O87" s="196"/>
      <c r="P87" s="196"/>
      <c r="Q87" s="196"/>
      <c r="S87" s="209"/>
      <c r="T87" s="206"/>
      <c r="U87" s="206"/>
      <c r="V87" s="206"/>
      <c r="W87" s="206"/>
      <c r="X87" s="206"/>
    </row>
    <row r="88" spans="2:30" ht="15" customHeight="1" x14ac:dyDescent="0.25">
      <c r="B88" s="213"/>
      <c r="C88" s="213"/>
      <c r="D88" s="213"/>
      <c r="E88" s="213"/>
      <c r="F88" s="213"/>
      <c r="G88" s="213"/>
      <c r="H88" s="212" t="s">
        <v>45</v>
      </c>
      <c r="J88" s="705"/>
      <c r="K88" s="706"/>
      <c r="L88" s="706"/>
      <c r="M88" s="706"/>
      <c r="N88" s="706"/>
      <c r="O88" s="706"/>
      <c r="P88" s="706"/>
      <c r="Q88" s="707"/>
      <c r="R88" s="3" t="str">
        <f>IF(ADBT0=ADBT2,"*","")</f>
        <v/>
      </c>
      <c r="S88" s="209"/>
      <c r="T88" s="206"/>
      <c r="U88" s="206"/>
      <c r="V88" s="206"/>
      <c r="W88" s="206"/>
      <c r="X88" s="206"/>
    </row>
    <row r="89" spans="2:30" ht="3" customHeight="1" x14ac:dyDescent="0.25">
      <c r="H89" s="215"/>
      <c r="J89" s="199"/>
      <c r="K89" s="199"/>
      <c r="L89" s="199"/>
      <c r="M89" s="199"/>
      <c r="N89" s="199"/>
      <c r="O89" s="199"/>
      <c r="P89" s="199"/>
      <c r="Q89" s="199"/>
      <c r="S89" s="209"/>
      <c r="T89" s="206"/>
      <c r="U89" s="206"/>
      <c r="V89" s="206"/>
      <c r="W89" s="206"/>
      <c r="X89" s="206"/>
    </row>
    <row r="90" spans="2:30" ht="15" hidden="1" customHeight="1" x14ac:dyDescent="0.25">
      <c r="B90" s="184"/>
      <c r="C90" s="184"/>
      <c r="D90" s="184"/>
      <c r="E90" s="184"/>
      <c r="F90" s="184"/>
      <c r="G90" s="184"/>
      <c r="H90" s="212" t="s">
        <v>46</v>
      </c>
      <c r="J90" s="705"/>
      <c r="K90" s="706"/>
      <c r="L90" s="706"/>
      <c r="M90" s="706"/>
      <c r="N90" s="706"/>
      <c r="O90" s="706"/>
      <c r="P90" s="706"/>
      <c r="Q90" s="707"/>
      <c r="R90" s="103" t="str">
        <f>IF(OR(ADBT0=ADBT8,ADBT0=ADBT9),"*","")</f>
        <v/>
      </c>
      <c r="S90" s="709"/>
      <c r="T90" s="709"/>
      <c r="U90" s="709"/>
      <c r="V90" s="709"/>
      <c r="W90" s="709"/>
      <c r="X90" s="709"/>
    </row>
    <row r="91" spans="2:30" ht="3" hidden="1" customHeight="1" x14ac:dyDescent="0.25">
      <c r="B91" s="29"/>
      <c r="C91" s="29"/>
      <c r="D91" s="29"/>
      <c r="E91" s="29"/>
      <c r="F91" s="29"/>
      <c r="G91" s="29"/>
      <c r="H91" s="295"/>
      <c r="J91" s="199"/>
      <c r="K91" s="199"/>
      <c r="L91" s="199"/>
      <c r="M91" s="199"/>
      <c r="N91" s="199"/>
      <c r="O91" s="199"/>
      <c r="P91" s="199"/>
      <c r="Q91" s="199"/>
      <c r="R91" s="103"/>
      <c r="S91" s="709"/>
      <c r="T91" s="709"/>
      <c r="U91" s="709"/>
      <c r="V91" s="709"/>
      <c r="W91" s="709"/>
      <c r="X91" s="709"/>
    </row>
    <row r="92" spans="2:30" ht="15" hidden="1" customHeight="1" x14ac:dyDescent="0.25">
      <c r="B92" s="184"/>
      <c r="C92" s="184"/>
      <c r="D92" s="184"/>
      <c r="E92" s="184"/>
      <c r="F92" s="184"/>
      <c r="G92" s="184"/>
      <c r="H92" s="212" t="s">
        <v>47</v>
      </c>
      <c r="J92" s="725"/>
      <c r="K92" s="726"/>
      <c r="L92" s="726"/>
      <c r="M92" s="726"/>
      <c r="N92" s="726"/>
      <c r="O92" s="726"/>
      <c r="P92" s="726"/>
      <c r="Q92" s="727"/>
      <c r="R92" s="103" t="str">
        <f>IF(AND(AD_MultiRes_option01=AD_Yes,ADBT0=ADBT8),"*","")</f>
        <v/>
      </c>
      <c r="S92" s="709"/>
      <c r="T92" s="709"/>
      <c r="U92" s="709"/>
      <c r="V92" s="709"/>
      <c r="W92" s="709"/>
      <c r="X92" s="709"/>
    </row>
    <row r="93" spans="2:30" ht="15" customHeight="1" x14ac:dyDescent="0.25">
      <c r="B93" s="184"/>
      <c r="C93" s="184"/>
      <c r="D93" s="184"/>
      <c r="E93" s="184"/>
      <c r="F93" s="184"/>
      <c r="G93" s="184"/>
      <c r="H93" s="212" t="s">
        <v>48</v>
      </c>
      <c r="J93" s="705"/>
      <c r="K93" s="706"/>
      <c r="L93" s="706"/>
      <c r="M93" s="706"/>
      <c r="N93" s="706"/>
      <c r="O93" s="706"/>
      <c r="P93" s="706"/>
      <c r="Q93" s="707"/>
      <c r="R93" s="103"/>
      <c r="S93" s="709"/>
      <c r="T93" s="709"/>
      <c r="U93" s="709"/>
      <c r="V93" s="709"/>
      <c r="W93" s="709"/>
      <c r="X93" s="709"/>
    </row>
    <row r="94" spans="2:30" ht="2.25" customHeight="1" x14ac:dyDescent="0.25">
      <c r="B94" s="699"/>
      <c r="C94" s="699"/>
      <c r="D94" s="699"/>
      <c r="E94" s="699"/>
      <c r="F94" s="699"/>
      <c r="G94" s="699"/>
      <c r="H94" s="274"/>
      <c r="J94" s="700"/>
      <c r="K94" s="700"/>
      <c r="L94" s="700"/>
      <c r="M94" s="700"/>
      <c r="N94" s="700"/>
      <c r="O94" s="700"/>
      <c r="P94" s="700"/>
      <c r="Q94" s="700"/>
      <c r="R94" s="103"/>
      <c r="S94" s="709"/>
      <c r="T94" s="709"/>
      <c r="U94" s="709"/>
      <c r="V94" s="709"/>
      <c r="W94" s="709"/>
      <c r="X94" s="709"/>
      <c r="Y94" s="3"/>
      <c r="Z94" s="3"/>
      <c r="AA94" s="3"/>
      <c r="AB94" s="3"/>
      <c r="AC94" s="3"/>
      <c r="AD94" s="3"/>
    </row>
    <row r="95" spans="2:30" ht="15" customHeight="1" x14ac:dyDescent="0.25">
      <c r="B95" s="184"/>
      <c r="C95" s="184"/>
      <c r="D95" s="184"/>
      <c r="E95" s="184"/>
      <c r="F95" s="184"/>
      <c r="G95" s="184"/>
      <c r="H95" s="212" t="s">
        <v>49</v>
      </c>
      <c r="J95" s="708"/>
      <c r="K95" s="708"/>
      <c r="L95" s="708"/>
      <c r="M95" s="708"/>
      <c r="N95" s="708"/>
      <c r="O95" s="708"/>
      <c r="P95" s="708"/>
      <c r="Q95" s="708"/>
      <c r="R95" s="103"/>
      <c r="S95" s="709"/>
      <c r="T95" s="709"/>
      <c r="U95" s="709"/>
      <c r="V95" s="709"/>
      <c r="W95" s="709"/>
      <c r="X95" s="709"/>
    </row>
    <row r="96" spans="2:30" ht="36.6" customHeight="1" x14ac:dyDescent="0.3">
      <c r="B96" s="186" t="s">
        <v>50</v>
      </c>
      <c r="C96" s="37"/>
      <c r="D96" s="37"/>
      <c r="E96" s="37"/>
      <c r="F96" s="37"/>
      <c r="G96" s="37"/>
      <c r="H96" s="37"/>
      <c r="I96" s="37"/>
      <c r="J96" s="37"/>
      <c r="K96" s="200"/>
      <c r="L96" s="195"/>
      <c r="M96" s="195"/>
      <c r="N96" s="195"/>
      <c r="O96" s="195"/>
      <c r="P96" s="195"/>
      <c r="Q96" s="195"/>
      <c r="R96" s="55"/>
      <c r="S96" s="709"/>
      <c r="T96" s="709"/>
      <c r="U96" s="709"/>
      <c r="V96" s="709"/>
      <c r="W96" s="709"/>
      <c r="X96" s="709"/>
    </row>
    <row r="97" spans="2:24" ht="15.75" x14ac:dyDescent="0.25">
      <c r="H97" s="42"/>
      <c r="J97" s="193"/>
      <c r="K97" s="193"/>
      <c r="L97" s="196"/>
      <c r="M97" s="196"/>
      <c r="N97" s="196"/>
      <c r="O97" s="196"/>
      <c r="P97" s="196"/>
      <c r="Q97" s="196"/>
      <c r="S97" s="209"/>
      <c r="T97" s="206"/>
      <c r="U97" s="206"/>
      <c r="V97" s="206"/>
      <c r="W97" s="206"/>
      <c r="X97" s="206"/>
    </row>
    <row r="98" spans="2:24" ht="15" customHeight="1" x14ac:dyDescent="0.25">
      <c r="B98" s="213"/>
      <c r="C98" s="213"/>
      <c r="D98" s="213"/>
      <c r="E98" s="213"/>
      <c r="F98" s="213"/>
      <c r="G98" s="213"/>
      <c r="H98" s="185" t="s">
        <v>51</v>
      </c>
      <c r="J98" s="701"/>
      <c r="K98" s="702"/>
      <c r="L98" s="702"/>
      <c r="M98" s="702"/>
      <c r="N98" s="702"/>
      <c r="O98" s="702"/>
      <c r="P98" s="702"/>
      <c r="Q98" s="703"/>
      <c r="S98" s="209"/>
      <c r="T98" s="206"/>
      <c r="U98" s="206"/>
      <c r="V98" s="206"/>
      <c r="W98" s="206"/>
      <c r="X98" s="206"/>
    </row>
    <row r="99" spans="2:24" ht="3" customHeight="1" x14ac:dyDescent="0.25">
      <c r="H99" s="189"/>
      <c r="J99" s="196"/>
      <c r="K99" s="196"/>
      <c r="L99" s="196"/>
      <c r="M99" s="196"/>
      <c r="N99" s="196"/>
      <c r="O99" s="196"/>
      <c r="P99" s="196"/>
      <c r="Q99" s="196"/>
      <c r="S99" s="209"/>
      <c r="T99" s="206"/>
      <c r="U99" s="206"/>
      <c r="V99" s="206"/>
      <c r="W99" s="206"/>
      <c r="X99" s="206"/>
    </row>
    <row r="100" spans="2:24" ht="15" customHeight="1" x14ac:dyDescent="0.25">
      <c r="B100" s="213"/>
      <c r="C100" s="213"/>
      <c r="D100" s="213"/>
      <c r="E100" s="213"/>
      <c r="F100" s="213"/>
      <c r="G100" s="213"/>
      <c r="H100" s="185" t="s">
        <v>52</v>
      </c>
      <c r="J100" s="701"/>
      <c r="K100" s="702"/>
      <c r="L100" s="702"/>
      <c r="M100" s="702"/>
      <c r="N100" s="702"/>
      <c r="O100" s="702"/>
      <c r="P100" s="702"/>
      <c r="Q100" s="703"/>
      <c r="S100" s="209"/>
      <c r="T100" s="206"/>
      <c r="U100" s="206"/>
      <c r="V100" s="206"/>
      <c r="W100" s="206"/>
      <c r="X100" s="206"/>
    </row>
    <row r="101" spans="2:24" ht="3" customHeight="1" x14ac:dyDescent="0.25">
      <c r="H101" s="189"/>
      <c r="J101" s="196"/>
      <c r="K101" s="196"/>
      <c r="L101" s="196"/>
      <c r="M101" s="196"/>
      <c r="N101" s="196"/>
      <c r="O101" s="196"/>
      <c r="P101" s="196"/>
      <c r="Q101" s="196"/>
      <c r="S101" s="209"/>
      <c r="T101" s="206"/>
      <c r="U101" s="206"/>
      <c r="V101" s="206"/>
      <c r="W101" s="206"/>
      <c r="X101" s="206"/>
    </row>
    <row r="102" spans="2:24" ht="15" customHeight="1" x14ac:dyDescent="0.25">
      <c r="B102" s="213"/>
      <c r="C102" s="213"/>
      <c r="D102" s="213"/>
      <c r="E102" s="213"/>
      <c r="F102" s="213"/>
      <c r="G102" s="213"/>
      <c r="H102" s="185" t="s">
        <v>53</v>
      </c>
      <c r="J102" s="701"/>
      <c r="K102" s="702"/>
      <c r="L102" s="702"/>
      <c r="M102" s="702"/>
      <c r="N102" s="702"/>
      <c r="O102" s="702"/>
      <c r="P102" s="702"/>
      <c r="Q102" s="703"/>
      <c r="S102" s="209"/>
      <c r="T102" s="206"/>
      <c r="U102" s="206"/>
      <c r="V102" s="206"/>
      <c r="W102" s="206"/>
      <c r="X102" s="206"/>
    </row>
    <row r="103" spans="2:24" ht="3" customHeight="1" x14ac:dyDescent="0.25">
      <c r="H103" s="189"/>
      <c r="J103" s="196"/>
      <c r="K103" s="196"/>
      <c r="L103" s="196"/>
      <c r="M103" s="196"/>
      <c r="N103" s="196"/>
      <c r="O103" s="196"/>
      <c r="P103" s="196"/>
      <c r="Q103" s="196"/>
      <c r="S103" s="209"/>
      <c r="T103" s="206"/>
      <c r="U103" s="206"/>
      <c r="V103" s="206"/>
      <c r="W103" s="206"/>
      <c r="X103" s="206"/>
    </row>
    <row r="104" spans="2:24" ht="15" customHeight="1" x14ac:dyDescent="0.25">
      <c r="B104" s="213"/>
      <c r="C104" s="213"/>
      <c r="D104" s="213"/>
      <c r="E104" s="213"/>
      <c r="F104" s="213"/>
      <c r="G104" s="213"/>
      <c r="H104" s="185" t="s">
        <v>54</v>
      </c>
      <c r="J104" s="701"/>
      <c r="K104" s="702"/>
      <c r="L104" s="702"/>
      <c r="M104" s="702"/>
      <c r="N104" s="702"/>
      <c r="O104" s="702"/>
      <c r="P104" s="702"/>
      <c r="Q104" s="703"/>
      <c r="S104" s="209"/>
      <c r="T104" s="206"/>
      <c r="U104" s="206"/>
      <c r="V104" s="206"/>
      <c r="W104" s="206"/>
      <c r="X104" s="206"/>
    </row>
    <row r="105" spans="2:24" ht="3" customHeight="1" x14ac:dyDescent="0.25">
      <c r="H105" s="189"/>
      <c r="J105" s="196"/>
      <c r="K105" s="196"/>
      <c r="L105" s="196"/>
      <c r="M105" s="196"/>
      <c r="N105" s="196"/>
      <c r="O105" s="196"/>
      <c r="P105" s="196"/>
      <c r="Q105" s="196"/>
      <c r="S105" s="209"/>
      <c r="T105" s="206"/>
      <c r="U105" s="206"/>
      <c r="V105" s="206"/>
      <c r="W105" s="206"/>
      <c r="X105" s="206"/>
    </row>
    <row r="106" spans="2:24" ht="15" customHeight="1" x14ac:dyDescent="0.25">
      <c r="B106" s="213"/>
      <c r="C106" s="213"/>
      <c r="D106" s="213"/>
      <c r="E106" s="213"/>
      <c r="F106" s="213"/>
      <c r="G106" s="213"/>
      <c r="H106" s="185" t="s">
        <v>55</v>
      </c>
      <c r="J106" s="701"/>
      <c r="K106" s="702"/>
      <c r="L106" s="702"/>
      <c r="M106" s="702"/>
      <c r="N106" s="702"/>
      <c r="O106" s="702"/>
      <c r="P106" s="702"/>
      <c r="Q106" s="703"/>
      <c r="S106" s="209"/>
      <c r="T106" s="206"/>
      <c r="U106" s="206"/>
      <c r="V106" s="206"/>
      <c r="W106" s="206"/>
      <c r="X106" s="206"/>
    </row>
    <row r="107" spans="2:24" ht="3" customHeight="1" x14ac:dyDescent="0.25">
      <c r="H107" s="189"/>
      <c r="J107" s="196"/>
      <c r="K107" s="196"/>
      <c r="L107" s="196"/>
      <c r="M107" s="196"/>
      <c r="N107" s="196"/>
      <c r="O107" s="196"/>
      <c r="P107" s="196"/>
      <c r="Q107" s="196"/>
      <c r="S107" s="209"/>
      <c r="T107" s="206"/>
      <c r="U107" s="206"/>
      <c r="V107" s="206"/>
      <c r="W107" s="206"/>
      <c r="X107" s="206"/>
    </row>
    <row r="108" spans="2:24" ht="15" customHeight="1" x14ac:dyDescent="0.25">
      <c r="B108" s="213"/>
      <c r="C108" s="213"/>
      <c r="D108" s="213"/>
      <c r="E108" s="213"/>
      <c r="F108" s="213"/>
      <c r="G108" s="213"/>
      <c r="H108" s="185" t="s">
        <v>56</v>
      </c>
      <c r="J108" s="701"/>
      <c r="K108" s="702"/>
      <c r="L108" s="702"/>
      <c r="M108" s="702"/>
      <c r="N108" s="702"/>
      <c r="O108" s="702"/>
      <c r="P108" s="702"/>
      <c r="Q108" s="703"/>
      <c r="S108" s="209"/>
      <c r="T108" s="206"/>
      <c r="U108" s="206"/>
      <c r="V108" s="206"/>
      <c r="W108" s="206"/>
      <c r="X108" s="206"/>
    </row>
    <row r="109" spans="2:24" ht="3" customHeight="1" x14ac:dyDescent="0.25">
      <c r="H109" s="189"/>
      <c r="J109" s="196"/>
      <c r="K109" s="196"/>
      <c r="L109" s="196"/>
      <c r="M109" s="196"/>
      <c r="N109" s="196"/>
      <c r="O109" s="196"/>
      <c r="P109" s="196"/>
      <c r="Q109" s="196"/>
      <c r="S109" s="209"/>
      <c r="T109" s="206"/>
      <c r="U109" s="206"/>
      <c r="V109" s="206"/>
      <c r="W109" s="206"/>
      <c r="X109" s="206"/>
    </row>
    <row r="110" spans="2:24" ht="15" customHeight="1" x14ac:dyDescent="0.25">
      <c r="B110" s="213"/>
      <c r="C110" s="213"/>
      <c r="D110" s="213"/>
      <c r="E110" s="213"/>
      <c r="F110" s="213"/>
      <c r="G110" s="213"/>
      <c r="H110" s="185" t="s">
        <v>57</v>
      </c>
      <c r="J110" s="701"/>
      <c r="K110" s="702"/>
      <c r="L110" s="702"/>
      <c r="M110" s="702"/>
      <c r="N110" s="702"/>
      <c r="O110" s="702"/>
      <c r="P110" s="702"/>
      <c r="Q110" s="703"/>
      <c r="S110" s="209"/>
      <c r="T110" s="206"/>
      <c r="U110" s="206"/>
      <c r="V110" s="206"/>
      <c r="W110" s="206"/>
      <c r="X110" s="206"/>
    </row>
    <row r="111" spans="2:24" ht="3" customHeight="1" x14ac:dyDescent="0.25">
      <c r="H111" s="189"/>
      <c r="J111" s="196"/>
      <c r="K111" s="196"/>
      <c r="L111" s="196"/>
      <c r="M111" s="196"/>
      <c r="N111" s="196"/>
      <c r="O111" s="196"/>
      <c r="P111" s="196"/>
      <c r="Q111" s="196"/>
      <c r="S111" s="209"/>
      <c r="T111" s="206"/>
      <c r="U111" s="206"/>
      <c r="V111" s="206"/>
      <c r="W111" s="206"/>
      <c r="X111" s="206"/>
    </row>
    <row r="112" spans="2:24" ht="15" customHeight="1" x14ac:dyDescent="0.25">
      <c r="B112" s="213"/>
      <c r="C112" s="213"/>
      <c r="D112" s="213"/>
      <c r="E112" s="213"/>
      <c r="F112" s="213"/>
      <c r="G112" s="213"/>
      <c r="H112" s="185" t="s">
        <v>58</v>
      </c>
      <c r="J112" s="701"/>
      <c r="K112" s="702"/>
      <c r="L112" s="702"/>
      <c r="M112" s="702"/>
      <c r="N112" s="702"/>
      <c r="O112" s="702"/>
      <c r="P112" s="702"/>
      <c r="Q112" s="703"/>
      <c r="S112" s="209"/>
      <c r="T112" s="206"/>
      <c r="U112" s="206"/>
      <c r="V112" s="206"/>
      <c r="W112" s="206"/>
      <c r="X112" s="206"/>
    </row>
    <row r="113" spans="2:26" ht="3" customHeight="1" x14ac:dyDescent="0.25">
      <c r="H113" s="189"/>
      <c r="J113" s="196"/>
      <c r="K113" s="196"/>
      <c r="L113" s="196"/>
      <c r="M113" s="196"/>
      <c r="N113" s="196"/>
      <c r="O113" s="196"/>
      <c r="P113" s="196"/>
      <c r="Q113" s="196"/>
      <c r="S113" s="209"/>
      <c r="T113" s="206"/>
      <c r="U113" s="206"/>
      <c r="V113" s="206"/>
      <c r="W113" s="206"/>
      <c r="X113" s="206"/>
    </row>
    <row r="114" spans="2:26" ht="15" customHeight="1" x14ac:dyDescent="0.25">
      <c r="B114" s="213"/>
      <c r="C114" s="213"/>
      <c r="D114" s="213"/>
      <c r="E114" s="213"/>
      <c r="F114" s="213"/>
      <c r="G114" s="213"/>
      <c r="H114" s="185" t="s">
        <v>59</v>
      </c>
      <c r="J114" s="701"/>
      <c r="K114" s="702"/>
      <c r="L114" s="702"/>
      <c r="M114" s="702"/>
      <c r="N114" s="702"/>
      <c r="O114" s="702"/>
      <c r="P114" s="702"/>
      <c r="Q114" s="703"/>
      <c r="S114" s="209"/>
      <c r="T114" s="206"/>
      <c r="U114" s="206"/>
      <c r="V114" s="206"/>
      <c r="W114" s="206"/>
      <c r="X114" s="206"/>
    </row>
    <row r="115" spans="2:26" ht="3" customHeight="1" x14ac:dyDescent="0.25">
      <c r="H115" s="189"/>
      <c r="J115" s="196"/>
      <c r="K115" s="196"/>
      <c r="L115" s="196"/>
      <c r="M115" s="196"/>
      <c r="N115" s="196"/>
      <c r="O115" s="196"/>
      <c r="P115" s="196"/>
      <c r="Q115" s="196"/>
      <c r="S115" s="209"/>
      <c r="T115" s="206"/>
      <c r="U115" s="206"/>
      <c r="V115" s="206"/>
      <c r="W115" s="206"/>
      <c r="X115" s="206"/>
    </row>
    <row r="116" spans="2:26" ht="15" customHeight="1" x14ac:dyDescent="0.25">
      <c r="B116" s="213"/>
      <c r="C116" s="213"/>
      <c r="D116" s="213"/>
      <c r="E116" s="213"/>
      <c r="F116" s="213"/>
      <c r="G116" s="213"/>
      <c r="H116" s="185" t="s">
        <v>60</v>
      </c>
      <c r="J116" s="701"/>
      <c r="K116" s="702"/>
      <c r="L116" s="702"/>
      <c r="M116" s="702"/>
      <c r="N116" s="702"/>
      <c r="O116" s="702"/>
      <c r="P116" s="702"/>
      <c r="Q116" s="703"/>
      <c r="S116" s="209"/>
      <c r="T116" s="206"/>
      <c r="U116" s="206"/>
      <c r="V116" s="206"/>
      <c r="W116" s="206"/>
      <c r="X116" s="206"/>
    </row>
    <row r="117" spans="2:26" ht="36.6" customHeight="1" x14ac:dyDescent="0.3">
      <c r="B117" s="186" t="s">
        <v>61</v>
      </c>
      <c r="C117" s="37"/>
      <c r="D117" s="37"/>
      <c r="E117" s="37"/>
      <c r="F117" s="37"/>
      <c r="G117" s="37"/>
      <c r="H117" s="37"/>
      <c r="I117" s="37"/>
      <c r="J117" s="200"/>
      <c r="K117" s="200"/>
      <c r="L117" s="195"/>
      <c r="M117" s="195"/>
      <c r="N117" s="195"/>
      <c r="O117" s="195"/>
      <c r="P117" s="195"/>
      <c r="Q117" s="195"/>
      <c r="S117" s="209"/>
      <c r="T117" s="206"/>
      <c r="U117" s="206"/>
      <c r="V117" s="206"/>
      <c r="W117" s="206"/>
      <c r="X117" s="206"/>
    </row>
    <row r="118" spans="2:26" ht="15.75" x14ac:dyDescent="0.25">
      <c r="H118" s="42"/>
      <c r="J118" s="40"/>
      <c r="K118" s="40"/>
      <c r="L118" s="28"/>
      <c r="M118" s="28"/>
      <c r="N118" s="28"/>
      <c r="O118" s="28"/>
      <c r="P118" s="28"/>
      <c r="Q118" s="28"/>
      <c r="S118" s="209"/>
      <c r="T118" s="206"/>
      <c r="U118" s="206"/>
      <c r="V118" s="206"/>
      <c r="W118" s="206"/>
      <c r="X118" s="206"/>
    </row>
    <row r="119" spans="2:26" ht="81.75" customHeight="1" x14ac:dyDescent="0.25">
      <c r="B119" s="709" t="str">
        <f>CONCATENATE(AD_Statement04,AD_assessor,AD_statement05,AD_Assessor_org,AD_statement06)</f>
        <v>I, , a qualified BREEAM assessor working on behalf of  confirm that the content of this report is to the best of my knowledge a true and accurate reflection of the performance of the above named building, as measured against the assessment criteria and reporting requirements of the BREEAM Technical Manual (BREEAM-SE 2017). Furthermore, I confirm that this assessment and the information on which it is based has been checked and verified in accordance with SGBC's BREEAM operating procedures for BREEAM assessments and assessors, as described in the Technical Manual and associated BREEAM operational documents.</v>
      </c>
      <c r="C119" s="709"/>
      <c r="D119" s="709"/>
      <c r="E119" s="709"/>
      <c r="F119" s="709"/>
      <c r="G119" s="709"/>
      <c r="H119" s="709"/>
      <c r="I119" s="709"/>
      <c r="J119" s="709"/>
      <c r="K119" s="709"/>
      <c r="L119" s="709"/>
      <c r="M119" s="709"/>
      <c r="N119" s="709"/>
      <c r="O119" s="709"/>
      <c r="P119" s="709"/>
      <c r="Q119" s="709"/>
      <c r="S119" s="709" t="s">
        <v>62</v>
      </c>
      <c r="T119" s="709"/>
      <c r="U119" s="709"/>
      <c r="V119" s="709"/>
      <c r="W119" s="709"/>
      <c r="X119" s="709"/>
      <c r="Z119" s="43"/>
    </row>
    <row r="120" spans="2:26" ht="57" customHeight="1" x14ac:dyDescent="0.25">
      <c r="B120" s="551"/>
      <c r="C120" s="552" t="s">
        <v>63</v>
      </c>
      <c r="D120" s="550"/>
      <c r="E120" s="712"/>
      <c r="F120" s="712"/>
      <c r="G120" s="712"/>
      <c r="H120" s="712"/>
      <c r="I120" s="550"/>
      <c r="J120" s="554" t="s">
        <v>64</v>
      </c>
      <c r="K120" s="550"/>
      <c r="L120" s="712"/>
      <c r="M120" s="712"/>
      <c r="N120" s="712"/>
      <c r="O120" s="712"/>
      <c r="P120" s="712"/>
      <c r="Q120" s="712"/>
      <c r="R120" s="712"/>
      <c r="S120" s="209"/>
      <c r="T120" s="206"/>
      <c r="U120" s="206"/>
      <c r="V120" s="206"/>
      <c r="W120" s="206"/>
      <c r="X120" s="206"/>
      <c r="Z120" s="43"/>
    </row>
    <row r="121" spans="2:26" ht="30" customHeight="1" x14ac:dyDescent="0.25">
      <c r="B121" s="553"/>
      <c r="C121" s="553"/>
      <c r="D121" s="553"/>
      <c r="E121" s="553"/>
      <c r="F121" s="553"/>
      <c r="G121" s="553"/>
      <c r="H121" s="553"/>
      <c r="I121" s="553"/>
      <c r="J121" s="553"/>
      <c r="K121" s="553"/>
      <c r="L121" s="553"/>
      <c r="M121" s="553"/>
      <c r="N121" s="553"/>
      <c r="O121" s="553"/>
      <c r="P121" s="553"/>
      <c r="Q121" s="553"/>
      <c r="S121" s="209"/>
      <c r="T121" s="206"/>
      <c r="U121" s="206"/>
      <c r="V121" s="206"/>
      <c r="W121" s="206"/>
      <c r="X121" s="206"/>
      <c r="Z121" s="43"/>
    </row>
    <row r="122" spans="2:26" ht="15" customHeight="1" x14ac:dyDescent="0.25">
      <c r="H122" s="3"/>
      <c r="S122" s="209"/>
      <c r="T122" s="206"/>
      <c r="U122" s="206"/>
      <c r="V122" s="206"/>
      <c r="W122" s="206"/>
      <c r="X122" s="206"/>
      <c r="Z122" s="43"/>
    </row>
    <row r="123" spans="2:26" ht="15" customHeight="1" x14ac:dyDescent="0.25">
      <c r="B123" s="710" t="s">
        <v>65</v>
      </c>
      <c r="C123" s="710"/>
      <c r="D123" s="710"/>
      <c r="E123" s="710"/>
      <c r="F123" s="710"/>
      <c r="G123" s="710"/>
      <c r="H123" s="710"/>
      <c r="I123" s="710"/>
      <c r="J123" s="710"/>
      <c r="K123" s="710"/>
      <c r="L123" s="710"/>
      <c r="M123" s="710"/>
      <c r="N123" s="710"/>
      <c r="O123" s="710"/>
      <c r="P123" s="710"/>
      <c r="Q123" s="710"/>
      <c r="S123" s="209"/>
      <c r="T123" s="206"/>
      <c r="U123" s="206"/>
      <c r="V123" s="206"/>
      <c r="W123" s="206"/>
      <c r="X123" s="206"/>
    </row>
    <row r="124" spans="2:26" ht="35.25" customHeight="1" x14ac:dyDescent="0.25">
      <c r="B124" s="710" t="str">
        <f>CONCATENATE("This report is made on behalf of ", AD_Assessor_org, ". By receiving the report and acting on it, the client - or any third party relying on it - accepts that no individual is personally liable in contract, tort or breach of statutory duty (including negligence).")</f>
        <v>This report is made on behalf of . By receiving the report and acting on it, the client - or any third party relying on it - accepts that no individual is personally liable in contract, tort or breach of statutory duty (including negligence).</v>
      </c>
      <c r="C124" s="710"/>
      <c r="D124" s="710"/>
      <c r="E124" s="710"/>
      <c r="F124" s="710"/>
      <c r="G124" s="710"/>
      <c r="H124" s="710"/>
      <c r="I124" s="710"/>
      <c r="J124" s="710"/>
      <c r="K124" s="710"/>
      <c r="L124" s="710"/>
      <c r="M124" s="710"/>
      <c r="N124" s="710"/>
      <c r="O124" s="710"/>
      <c r="P124" s="710"/>
      <c r="Q124" s="710"/>
      <c r="S124" s="709" t="s">
        <v>66</v>
      </c>
      <c r="T124" s="709"/>
      <c r="U124" s="709"/>
      <c r="V124" s="709"/>
      <c r="W124" s="709"/>
      <c r="X124" s="709"/>
    </row>
    <row r="125" spans="2:26" ht="3" customHeight="1" x14ac:dyDescent="0.25">
      <c r="B125" s="35"/>
      <c r="C125" s="35"/>
      <c r="D125" s="35"/>
      <c r="E125" s="35"/>
      <c r="F125" s="35"/>
      <c r="G125" s="35"/>
      <c r="H125" s="35"/>
      <c r="I125" s="35"/>
      <c r="J125" s="35"/>
      <c r="K125" s="35"/>
      <c r="L125" s="35"/>
      <c r="M125" s="35"/>
      <c r="N125" s="35"/>
      <c r="O125" s="35"/>
      <c r="P125" s="35"/>
      <c r="Q125" s="35"/>
      <c r="S125" s="211"/>
      <c r="T125" s="208"/>
      <c r="U125" s="208"/>
      <c r="V125" s="208"/>
      <c r="W125" s="208"/>
      <c r="X125" s="208"/>
    </row>
    <row r="126" spans="2:26" ht="15" customHeight="1" x14ac:dyDescent="0.25">
      <c r="B126" s="710" t="s">
        <v>65</v>
      </c>
      <c r="C126" s="710"/>
      <c r="D126" s="710"/>
      <c r="E126" s="710"/>
      <c r="F126" s="710"/>
      <c r="G126" s="710"/>
      <c r="H126" s="710"/>
      <c r="I126" s="710"/>
      <c r="J126" s="710"/>
      <c r="K126" s="710"/>
      <c r="L126" s="710"/>
      <c r="M126" s="710"/>
      <c r="N126" s="710"/>
      <c r="O126" s="710"/>
      <c r="P126" s="710"/>
      <c r="Q126" s="710"/>
      <c r="S126" s="209"/>
      <c r="T126" s="206"/>
      <c r="U126" s="206"/>
      <c r="V126" s="206"/>
      <c r="W126" s="206"/>
      <c r="X126" s="206"/>
    </row>
    <row r="127" spans="2:26" ht="50.25" customHeight="1" x14ac:dyDescent="0.25">
      <c r="B127" s="710" t="s">
        <v>67</v>
      </c>
      <c r="C127" s="711"/>
      <c r="D127" s="711"/>
      <c r="E127" s="711"/>
      <c r="F127" s="711"/>
      <c r="G127" s="711"/>
      <c r="H127" s="711"/>
      <c r="I127" s="711"/>
      <c r="J127" s="711"/>
      <c r="K127" s="711"/>
      <c r="L127" s="711"/>
      <c r="M127" s="711"/>
      <c r="N127" s="711"/>
      <c r="O127" s="711"/>
      <c r="P127" s="711"/>
      <c r="Q127" s="711"/>
      <c r="S127" s="209"/>
      <c r="T127" s="206"/>
      <c r="U127" s="206"/>
      <c r="V127" s="206"/>
      <c r="W127" s="206"/>
      <c r="X127" s="206"/>
    </row>
    <row r="128" spans="2:26" ht="52.5" customHeight="1" x14ac:dyDescent="0.25">
      <c r="B128" s="710" t="s">
        <v>68</v>
      </c>
      <c r="C128" s="711"/>
      <c r="D128" s="711"/>
      <c r="E128" s="711"/>
      <c r="F128" s="711"/>
      <c r="G128" s="711"/>
      <c r="H128" s="711"/>
      <c r="I128" s="711"/>
      <c r="J128" s="711"/>
      <c r="K128" s="711"/>
      <c r="L128" s="711"/>
      <c r="M128" s="711"/>
      <c r="N128" s="711"/>
      <c r="O128" s="711"/>
      <c r="P128" s="711"/>
      <c r="Q128" s="711"/>
      <c r="S128" s="209"/>
      <c r="T128" s="206"/>
      <c r="U128" s="206"/>
      <c r="V128" s="206"/>
      <c r="W128" s="206"/>
      <c r="X128" s="206"/>
    </row>
    <row r="129" spans="2:30" ht="48" customHeight="1" x14ac:dyDescent="0.25">
      <c r="B129" s="710" t="s">
        <v>69</v>
      </c>
      <c r="C129" s="711"/>
      <c r="D129" s="711"/>
      <c r="E129" s="711"/>
      <c r="F129" s="711"/>
      <c r="G129" s="711"/>
      <c r="H129" s="711"/>
      <c r="I129" s="711"/>
      <c r="J129" s="711"/>
      <c r="K129" s="711"/>
      <c r="L129" s="711"/>
      <c r="M129" s="711"/>
      <c r="N129" s="711"/>
      <c r="O129" s="711"/>
      <c r="P129" s="711"/>
      <c r="Q129" s="711"/>
      <c r="S129" s="209"/>
      <c r="T129" s="206"/>
      <c r="U129" s="206"/>
      <c r="V129" s="206"/>
      <c r="W129" s="206"/>
      <c r="X129" s="206"/>
    </row>
    <row r="130" spans="2:30" ht="15" customHeight="1" x14ac:dyDescent="0.25">
      <c r="B130" s="710"/>
      <c r="C130" s="710"/>
      <c r="D130" s="710"/>
      <c r="E130" s="710"/>
      <c r="F130" s="710"/>
      <c r="G130" s="710"/>
      <c r="H130" s="710"/>
      <c r="I130" s="710"/>
      <c r="J130" s="710"/>
      <c r="K130" s="710"/>
      <c r="L130" s="710"/>
      <c r="M130" s="710"/>
      <c r="N130" s="710"/>
      <c r="O130" s="710"/>
      <c r="P130" s="710"/>
      <c r="Q130" s="710"/>
      <c r="S130" s="209"/>
      <c r="T130" s="206"/>
      <c r="U130" s="206"/>
      <c r="V130" s="206"/>
      <c r="W130" s="206"/>
      <c r="X130" s="206"/>
    </row>
    <row r="131" spans="2:30" ht="3" customHeight="1" x14ac:dyDescent="0.25">
      <c r="B131" s="35"/>
      <c r="C131" s="35"/>
      <c r="D131" s="35"/>
      <c r="E131" s="35"/>
      <c r="F131" s="35"/>
      <c r="G131" s="35"/>
      <c r="H131" s="35"/>
      <c r="I131" s="35"/>
      <c r="J131" s="35"/>
      <c r="K131" s="35"/>
      <c r="L131" s="35"/>
      <c r="M131" s="35"/>
      <c r="N131" s="35"/>
      <c r="O131" s="35"/>
      <c r="P131" s="35"/>
      <c r="Q131" s="35"/>
      <c r="S131" s="211"/>
      <c r="T131" s="208"/>
      <c r="U131" s="208"/>
      <c r="V131" s="208"/>
      <c r="W131" s="208"/>
      <c r="X131" s="208"/>
    </row>
    <row r="132" spans="2:30" ht="15" customHeight="1" x14ac:dyDescent="0.25">
      <c r="B132" s="188" t="s">
        <v>70</v>
      </c>
      <c r="C132" s="35"/>
      <c r="D132" s="35"/>
      <c r="E132" s="35"/>
      <c r="F132" s="35"/>
      <c r="G132" s="35"/>
      <c r="H132" s="35"/>
      <c r="I132" s="35"/>
      <c r="J132" s="35"/>
      <c r="K132" s="35"/>
      <c r="L132" s="35"/>
      <c r="M132" s="35"/>
      <c r="N132" s="35"/>
      <c r="O132" s="35"/>
      <c r="P132" s="35"/>
      <c r="Q132" s="35"/>
      <c r="S132" s="211"/>
      <c r="T132" s="208"/>
      <c r="U132" s="208"/>
      <c r="V132" s="208"/>
      <c r="W132" s="208"/>
      <c r="X132" s="208"/>
    </row>
    <row r="133" spans="2:30" ht="15" customHeight="1" x14ac:dyDescent="0.25">
      <c r="B133" s="710" t="s">
        <v>71</v>
      </c>
      <c r="C133" s="710"/>
      <c r="D133" s="710"/>
      <c r="E133" s="710"/>
      <c r="F133" s="710"/>
      <c r="G133" s="710"/>
      <c r="H133" s="710"/>
      <c r="I133" s="710"/>
      <c r="J133" s="710"/>
      <c r="K133" s="710"/>
      <c r="L133" s="710"/>
      <c r="M133" s="710"/>
      <c r="N133" s="710"/>
      <c r="O133" s="710"/>
      <c r="P133" s="710"/>
      <c r="Q133" s="710"/>
      <c r="S133" s="209"/>
      <c r="T133" s="206"/>
      <c r="U133" s="206"/>
      <c r="V133" s="206"/>
      <c r="W133" s="206"/>
      <c r="X133" s="206"/>
    </row>
    <row r="134" spans="2:30" ht="3" customHeight="1" x14ac:dyDescent="0.25">
      <c r="B134" s="35"/>
      <c r="C134" s="35"/>
      <c r="D134" s="35"/>
      <c r="E134" s="35"/>
      <c r="F134" s="35"/>
      <c r="G134" s="35"/>
      <c r="H134" s="35"/>
      <c r="I134" s="35"/>
      <c r="J134" s="35"/>
      <c r="K134" s="35"/>
      <c r="L134" s="35"/>
      <c r="M134" s="35"/>
      <c r="N134" s="35"/>
      <c r="O134" s="35"/>
      <c r="P134" s="35"/>
      <c r="Q134" s="35"/>
      <c r="S134" s="209"/>
      <c r="T134" s="206"/>
      <c r="U134" s="206"/>
      <c r="V134" s="206"/>
      <c r="W134" s="206"/>
      <c r="X134" s="206"/>
    </row>
    <row r="135" spans="2:30" ht="15" customHeight="1" x14ac:dyDescent="0.25">
      <c r="B135" s="21" t="s">
        <v>72</v>
      </c>
      <c r="S135" s="209"/>
      <c r="T135" s="206"/>
      <c r="U135" s="206"/>
      <c r="V135" s="206"/>
      <c r="W135" s="206"/>
      <c r="X135" s="206"/>
    </row>
    <row r="136" spans="2:30" ht="15" customHeight="1" x14ac:dyDescent="0.25">
      <c r="S136" s="209"/>
      <c r="T136" s="206"/>
      <c r="U136" s="206"/>
      <c r="V136" s="206"/>
      <c r="W136" s="206"/>
      <c r="X136" s="206"/>
    </row>
    <row r="137" spans="2:30" ht="15.75" x14ac:dyDescent="0.25">
      <c r="J137" s="40"/>
      <c r="K137" s="40"/>
      <c r="L137" s="28"/>
      <c r="M137" s="28"/>
      <c r="N137" s="201"/>
      <c r="O137" s="214" t="s">
        <v>73</v>
      </c>
      <c r="P137" s="214"/>
      <c r="Q137" s="698" t="str">
        <f>TVC_Current_Version</f>
        <v>8.20</v>
      </c>
    </row>
    <row r="138" spans="2:30" x14ac:dyDescent="0.25">
      <c r="J138" s="40"/>
      <c r="K138" s="40"/>
      <c r="L138" s="28"/>
      <c r="M138" s="28"/>
      <c r="N138" s="28"/>
      <c r="O138" s="28"/>
      <c r="P138" s="28"/>
      <c r="Q138" s="28"/>
    </row>
    <row r="139" spans="2:30" x14ac:dyDescent="0.25">
      <c r="J139" s="40"/>
      <c r="K139" s="40"/>
      <c r="L139" s="28"/>
      <c r="M139" s="28"/>
      <c r="N139" s="28"/>
      <c r="O139" s="28"/>
      <c r="P139" s="28"/>
      <c r="Q139" s="28"/>
    </row>
    <row r="140" spans="2:30" x14ac:dyDescent="0.25">
      <c r="J140" s="40"/>
      <c r="K140" s="40"/>
      <c r="L140" s="28"/>
      <c r="M140" s="28"/>
      <c r="N140" s="28"/>
      <c r="O140" s="28"/>
      <c r="P140" s="28"/>
      <c r="Q140" s="28"/>
    </row>
    <row r="141" spans="2:30" hidden="1" x14ac:dyDescent="0.25">
      <c r="J141" s="40"/>
      <c r="K141" s="40"/>
      <c r="L141" s="28"/>
      <c r="M141" s="28"/>
      <c r="N141" s="28"/>
      <c r="O141" s="28"/>
      <c r="P141" s="28"/>
      <c r="Q141" s="28"/>
      <c r="Y141" s="4" t="s">
        <v>74</v>
      </c>
      <c r="Z141" s="2"/>
      <c r="AA141" s="2"/>
      <c r="AB141" s="2"/>
      <c r="AC141" s="2"/>
      <c r="AD141" s="2"/>
    </row>
    <row r="142" spans="2:30" hidden="1" x14ac:dyDescent="0.25">
      <c r="J142" s="40"/>
      <c r="K142" s="40"/>
      <c r="L142" s="28"/>
      <c r="M142" s="28"/>
      <c r="N142" s="28"/>
      <c r="O142" s="28"/>
      <c r="P142" s="28"/>
      <c r="Q142" s="28"/>
      <c r="Z142" s="36" t="s">
        <v>75</v>
      </c>
    </row>
    <row r="143" spans="2:30" hidden="1" x14ac:dyDescent="0.25">
      <c r="J143" s="40"/>
      <c r="K143" s="40"/>
      <c r="L143" s="28"/>
      <c r="M143" s="28"/>
      <c r="N143" s="28"/>
      <c r="O143" s="28"/>
      <c r="P143" s="28"/>
      <c r="Q143" s="28"/>
      <c r="Z143" s="36" t="s">
        <v>76</v>
      </c>
    </row>
    <row r="144" spans="2:30" hidden="1" x14ac:dyDescent="0.25">
      <c r="J144" s="40"/>
      <c r="K144" s="40"/>
      <c r="L144" s="28"/>
      <c r="M144" s="28"/>
      <c r="N144" s="28"/>
      <c r="O144" s="28"/>
      <c r="P144" s="28"/>
      <c r="Q144" s="28"/>
      <c r="Z144" s="36" t="s">
        <v>77</v>
      </c>
    </row>
    <row r="145" spans="10:30" hidden="1" x14ac:dyDescent="0.25">
      <c r="J145" s="40"/>
      <c r="K145" s="40"/>
      <c r="L145" s="28"/>
      <c r="M145" s="28"/>
      <c r="N145" s="28"/>
      <c r="O145" s="28"/>
      <c r="P145" s="28"/>
      <c r="Q145" s="28"/>
    </row>
    <row r="146" spans="10:30" hidden="1" x14ac:dyDescent="0.25">
      <c r="J146" s="40"/>
      <c r="K146" s="40"/>
      <c r="L146" s="28"/>
      <c r="M146" s="28"/>
      <c r="N146" s="28"/>
      <c r="O146" s="28"/>
      <c r="P146" s="28"/>
      <c r="Q146" s="28"/>
      <c r="Z146" s="36" t="s">
        <v>78</v>
      </c>
    </row>
    <row r="147" spans="10:30" hidden="1" x14ac:dyDescent="0.25">
      <c r="J147" s="40"/>
      <c r="K147" s="40"/>
      <c r="L147" s="28"/>
      <c r="M147" s="28"/>
      <c r="N147" s="28"/>
      <c r="O147" s="28"/>
      <c r="P147" s="28"/>
      <c r="Q147" s="28"/>
      <c r="Z147" s="36" t="s">
        <v>79</v>
      </c>
    </row>
    <row r="148" spans="10:30" hidden="1" x14ac:dyDescent="0.25">
      <c r="J148" s="40"/>
      <c r="K148" s="40"/>
      <c r="L148" s="28"/>
      <c r="M148" s="28"/>
      <c r="N148" s="28"/>
      <c r="O148" s="28"/>
      <c r="P148" s="28"/>
      <c r="Q148" s="28"/>
      <c r="Z148" s="36" t="s">
        <v>80</v>
      </c>
    </row>
    <row r="149" spans="10:30" hidden="1" x14ac:dyDescent="0.25">
      <c r="J149" s="40"/>
      <c r="K149" s="40"/>
      <c r="L149" s="28"/>
      <c r="M149" s="28"/>
      <c r="N149" s="28"/>
      <c r="O149" s="28"/>
      <c r="P149" s="28"/>
      <c r="Q149" s="28"/>
    </row>
    <row r="150" spans="10:30" hidden="1" x14ac:dyDescent="0.25">
      <c r="J150" s="40"/>
      <c r="K150" s="40"/>
      <c r="L150" s="28"/>
      <c r="M150" s="28"/>
      <c r="N150" s="28"/>
      <c r="O150" s="28"/>
      <c r="P150" s="28"/>
      <c r="Q150" s="28"/>
      <c r="Z150" s="45" t="s">
        <v>81</v>
      </c>
      <c r="AB150" s="45" t="s">
        <v>82</v>
      </c>
      <c r="AD150" s="530" t="s">
        <v>83</v>
      </c>
    </row>
    <row r="151" spans="10:30" hidden="1" x14ac:dyDescent="0.25">
      <c r="J151" s="40"/>
      <c r="K151" s="40"/>
      <c r="L151" s="28"/>
      <c r="M151" s="28"/>
      <c r="N151" s="28"/>
      <c r="O151" s="28"/>
      <c r="P151" s="28"/>
      <c r="Q151" s="28"/>
      <c r="Z151" s="45" t="s">
        <v>84</v>
      </c>
      <c r="AB151" s="45" t="s">
        <v>85</v>
      </c>
      <c r="AD151" s="530" t="s">
        <v>86</v>
      </c>
    </row>
    <row r="152" spans="10:30" hidden="1" x14ac:dyDescent="0.25">
      <c r="J152" s="40"/>
      <c r="K152" s="40"/>
      <c r="L152" s="28"/>
      <c r="M152" s="28"/>
      <c r="N152" s="28"/>
      <c r="O152" s="28"/>
      <c r="P152" s="28"/>
      <c r="Q152" s="28"/>
      <c r="Z152" s="45" t="s">
        <v>87</v>
      </c>
      <c r="AD152" s="530" t="s">
        <v>88</v>
      </c>
    </row>
    <row r="153" spans="10:30" hidden="1" x14ac:dyDescent="0.25">
      <c r="J153" s="40"/>
      <c r="K153" s="40"/>
      <c r="L153" s="28"/>
      <c r="M153" s="28"/>
      <c r="N153" s="28"/>
      <c r="O153" s="28"/>
      <c r="P153" s="28"/>
      <c r="Q153" s="28"/>
      <c r="Z153" s="45" t="s">
        <v>89</v>
      </c>
      <c r="AB153" s="45" t="s">
        <v>90</v>
      </c>
      <c r="AD153" s="530" t="s">
        <v>91</v>
      </c>
    </row>
    <row r="154" spans="10:30" hidden="1" x14ac:dyDescent="0.25">
      <c r="J154" s="40"/>
      <c r="K154" s="40"/>
      <c r="L154" s="28"/>
      <c r="M154" s="28"/>
      <c r="N154" s="28"/>
      <c r="O154" s="28"/>
      <c r="P154" s="28"/>
      <c r="Q154" s="28"/>
      <c r="AB154" s="45" t="str">
        <f>IF(ADBT0=ADBT8, "New Construction (partially fitted)", "New Construction (shell and core)")</f>
        <v>New Construction (shell and core)</v>
      </c>
      <c r="AD154" s="45" t="s">
        <v>92</v>
      </c>
    </row>
    <row r="155" spans="10:30" hidden="1" x14ac:dyDescent="0.25">
      <c r="J155" s="40"/>
      <c r="K155" s="40"/>
      <c r="L155" s="28"/>
      <c r="M155" s="28"/>
      <c r="N155" s="28"/>
      <c r="O155" s="28"/>
      <c r="P155" s="28"/>
      <c r="Q155" s="28"/>
      <c r="Z155" s="45" t="s">
        <v>93</v>
      </c>
      <c r="AB155" s="45" t="s">
        <v>94</v>
      </c>
      <c r="AD155" s="690" t="s">
        <v>95</v>
      </c>
    </row>
    <row r="156" spans="10:30" hidden="1" x14ac:dyDescent="0.25">
      <c r="J156" s="40"/>
      <c r="K156" s="40"/>
      <c r="L156" s="28"/>
      <c r="M156" s="28"/>
      <c r="N156" s="28"/>
      <c r="O156" s="28"/>
      <c r="P156" s="28"/>
      <c r="Q156" s="28"/>
      <c r="Z156" s="45" t="s">
        <v>96</v>
      </c>
      <c r="AD156" s="622" t="s">
        <v>97</v>
      </c>
    </row>
    <row r="157" spans="10:30" hidden="1" x14ac:dyDescent="0.25">
      <c r="J157" s="40"/>
      <c r="K157" s="40"/>
      <c r="L157" s="28"/>
      <c r="M157" s="28"/>
      <c r="N157" s="28"/>
      <c r="O157" s="28"/>
      <c r="P157" s="28"/>
      <c r="Q157" s="28"/>
      <c r="Z157" s="45" t="s">
        <v>98</v>
      </c>
      <c r="AD157" s="622" t="s">
        <v>99</v>
      </c>
    </row>
    <row r="158" spans="10:30" hidden="1" x14ac:dyDescent="0.25">
      <c r="J158" s="40"/>
      <c r="K158" s="40"/>
      <c r="L158" s="28"/>
      <c r="M158" s="28"/>
      <c r="N158" s="28"/>
      <c r="O158" s="28"/>
      <c r="P158" s="28"/>
      <c r="Q158" s="28"/>
      <c r="Z158" s="45" t="s">
        <v>100</v>
      </c>
      <c r="AB158" s="45" t="s">
        <v>101</v>
      </c>
      <c r="AD158" s="622" t="s">
        <v>102</v>
      </c>
    </row>
    <row r="159" spans="10:30" hidden="1" x14ac:dyDescent="0.25">
      <c r="J159" s="40"/>
      <c r="K159" s="40"/>
      <c r="L159" s="28"/>
      <c r="M159" s="28"/>
      <c r="N159" s="28"/>
      <c r="O159" s="28"/>
      <c r="P159" s="28"/>
      <c r="Q159" s="28"/>
      <c r="AB159" s="36" t="s">
        <v>103</v>
      </c>
      <c r="AD159" s="622" t="s">
        <v>104</v>
      </c>
    </row>
    <row r="160" spans="10:30" hidden="1" x14ac:dyDescent="0.25">
      <c r="J160" s="40"/>
      <c r="K160" s="40"/>
      <c r="L160" s="28"/>
      <c r="M160" s="28"/>
      <c r="N160" s="28"/>
      <c r="O160" s="28"/>
      <c r="P160" s="28"/>
      <c r="Q160" s="28"/>
      <c r="Z160" s="45" t="s">
        <v>105</v>
      </c>
      <c r="AB160" s="560"/>
      <c r="AD160" s="622" t="s">
        <v>106</v>
      </c>
    </row>
    <row r="161" spans="10:30" hidden="1" x14ac:dyDescent="0.25">
      <c r="J161" s="40"/>
      <c r="K161" s="40"/>
      <c r="L161" s="28"/>
      <c r="M161" s="28"/>
      <c r="N161" s="28"/>
      <c r="O161" s="28"/>
      <c r="P161" s="28"/>
      <c r="Q161" s="28"/>
      <c r="Z161" s="45" t="s">
        <v>107</v>
      </c>
      <c r="AB161" s="560"/>
      <c r="AD161" s="622" t="s">
        <v>108</v>
      </c>
    </row>
    <row r="162" spans="10:30" hidden="1" x14ac:dyDescent="0.25">
      <c r="J162" s="40"/>
      <c r="K162" s="40"/>
      <c r="L162" s="28"/>
      <c r="M162" s="28"/>
      <c r="N162" s="28"/>
      <c r="O162" s="28"/>
      <c r="P162" s="28"/>
      <c r="Q162" s="28"/>
      <c r="Z162" s="45" t="s">
        <v>109</v>
      </c>
      <c r="AB162" s="560"/>
    </row>
    <row r="163" spans="10:30" hidden="1" x14ac:dyDescent="0.25">
      <c r="J163" s="40"/>
      <c r="K163" s="40"/>
      <c r="L163" s="28"/>
      <c r="M163" s="28"/>
      <c r="N163" s="28"/>
      <c r="O163" s="28"/>
      <c r="P163" s="28"/>
      <c r="Q163" s="28"/>
      <c r="Z163" s="45" t="s">
        <v>100</v>
      </c>
      <c r="AB163" s="560"/>
    </row>
    <row r="164" spans="10:30" hidden="1" x14ac:dyDescent="0.25">
      <c r="J164" s="40"/>
      <c r="K164" s="40"/>
      <c r="L164" s="28"/>
      <c r="M164" s="28"/>
      <c r="N164" s="28"/>
      <c r="O164" s="28"/>
      <c r="P164" s="28"/>
      <c r="Q164" s="28"/>
      <c r="AB164" s="560"/>
      <c r="AD164" s="45" t="s">
        <v>110</v>
      </c>
    </row>
    <row r="165" spans="10:30" hidden="1" x14ac:dyDescent="0.25">
      <c r="J165" s="40"/>
      <c r="K165" s="40"/>
      <c r="L165" s="28"/>
      <c r="M165" s="28"/>
      <c r="N165" s="28"/>
      <c r="O165" s="28"/>
      <c r="P165" s="28"/>
      <c r="Q165" s="28"/>
      <c r="Z165" s="45" t="s">
        <v>111</v>
      </c>
      <c r="AB165" s="46" t="str">
        <f>IF(AD_ref="",AD_no,AD_Yes)</f>
        <v>No</v>
      </c>
      <c r="AD165" s="45" t="s">
        <v>112</v>
      </c>
    </row>
    <row r="166" spans="10:30" hidden="1" x14ac:dyDescent="0.25">
      <c r="J166" s="40"/>
      <c r="K166" s="40"/>
      <c r="L166" s="28"/>
      <c r="M166" s="28"/>
      <c r="N166" s="28"/>
      <c r="O166" s="28"/>
      <c r="P166" s="28"/>
      <c r="Q166" s="28"/>
      <c r="Z166" s="45" t="s">
        <v>113</v>
      </c>
      <c r="AB166" s="46" t="str">
        <f>IF(AD_client="",AD_no,AD_Yes)</f>
        <v>No</v>
      </c>
      <c r="AD166" s="45" t="s">
        <v>114</v>
      </c>
    </row>
    <row r="167" spans="10:30" hidden="1" x14ac:dyDescent="0.25">
      <c r="J167" s="40"/>
      <c r="K167" s="40"/>
      <c r="L167" s="28"/>
      <c r="M167" s="28"/>
      <c r="N167" s="28"/>
      <c r="O167" s="28"/>
      <c r="P167" s="28"/>
      <c r="Q167" s="28"/>
      <c r="Z167" s="45" t="s">
        <v>108</v>
      </c>
      <c r="AB167" s="46" t="str">
        <f>IF(AD_assessor="",AD_no,AD_Yes)</f>
        <v>No</v>
      </c>
      <c r="AD167" s="45" t="s">
        <v>115</v>
      </c>
    </row>
    <row r="168" spans="10:30" hidden="1" x14ac:dyDescent="0.25">
      <c r="J168" s="40"/>
      <c r="K168" s="40"/>
      <c r="L168" s="28"/>
      <c r="M168" s="28"/>
      <c r="N168" s="28"/>
      <c r="O168" s="28"/>
      <c r="P168" s="28"/>
      <c r="Q168" s="28"/>
      <c r="Z168" s="45" t="s">
        <v>100</v>
      </c>
      <c r="AB168" s="46" t="str">
        <f>IF(AD_Assessor_org="",AD_no,AD_Yes)</f>
        <v>No</v>
      </c>
      <c r="AD168" s="45" t="s">
        <v>116</v>
      </c>
    </row>
    <row r="169" spans="10:30" hidden="1" x14ac:dyDescent="0.25">
      <c r="J169" s="40"/>
      <c r="K169" s="40"/>
      <c r="L169" s="28"/>
      <c r="M169" s="28"/>
      <c r="N169" s="28"/>
      <c r="O169" s="28"/>
      <c r="P169" s="28"/>
      <c r="Q169" s="28"/>
      <c r="AB169" s="46" t="str">
        <f>IF(ADBN="",AD_no,AD_Yes)</f>
        <v>No</v>
      </c>
      <c r="AD169" s="45" t="s">
        <v>117</v>
      </c>
    </row>
    <row r="170" spans="10:30" hidden="1" x14ac:dyDescent="0.25">
      <c r="J170" s="40"/>
      <c r="K170" s="40"/>
      <c r="L170" s="28"/>
      <c r="M170" s="28"/>
      <c r="N170" s="28"/>
      <c r="O170" s="28"/>
      <c r="P170" s="28"/>
      <c r="Q170" s="28"/>
      <c r="Z170" s="45" t="s">
        <v>118</v>
      </c>
      <c r="AB170" s="46" t="str">
        <f>IF(AD_Add01="",AD_no,AD_Yes)</f>
        <v>No</v>
      </c>
      <c r="AD170" s="45" t="s">
        <v>119</v>
      </c>
    </row>
    <row r="171" spans="10:30" hidden="1" x14ac:dyDescent="0.25">
      <c r="J171" s="40"/>
      <c r="K171" s="40"/>
      <c r="L171" s="28"/>
      <c r="M171" s="28"/>
      <c r="N171" s="28"/>
      <c r="O171" s="28"/>
      <c r="P171" s="28"/>
      <c r="Q171" s="28"/>
      <c r="Z171" s="45" t="s">
        <v>108</v>
      </c>
      <c r="AB171" s="46" t="str">
        <f>IF(AD_County="",AD_no,AD_Yes)</f>
        <v>No</v>
      </c>
      <c r="AD171" s="45" t="s">
        <v>120</v>
      </c>
    </row>
    <row r="172" spans="10:30" hidden="1" x14ac:dyDescent="0.25">
      <c r="J172" s="40"/>
      <c r="K172" s="40"/>
      <c r="L172" s="28"/>
      <c r="M172" s="28"/>
      <c r="N172" s="28"/>
      <c r="O172" s="28"/>
      <c r="P172" s="28"/>
      <c r="Q172" s="28"/>
      <c r="Z172" s="45" t="s">
        <v>100</v>
      </c>
      <c r="AB172" s="46" t="s">
        <v>121</v>
      </c>
      <c r="AD172" s="45" t="s">
        <v>122</v>
      </c>
    </row>
    <row r="173" spans="10:30" hidden="1" x14ac:dyDescent="0.25">
      <c r="J173" s="40"/>
      <c r="K173" s="40"/>
      <c r="L173" s="28"/>
      <c r="M173" s="28"/>
      <c r="N173" s="28"/>
      <c r="O173" s="28"/>
      <c r="P173" s="28"/>
      <c r="Q173" s="28"/>
      <c r="AB173" s="46" t="str">
        <f>IF(OR(ADBT0=ADBT1,ADBT0=ADBT2,ADBT0=ADBT3,ADBT0=ADBT4,ADBT0=ADBT5,ADBT0=ADBT6,ADBT0=ADBT7,ADBT0=ADBT8,ADBT0=ADBT9,ADBT0=ADBT10,ADBT0=ADBT11,ADBT0=ADBT12),AD_Yes,AD_no)</f>
        <v>No</v>
      </c>
      <c r="AD173" s="45" t="s">
        <v>123</v>
      </c>
    </row>
    <row r="174" spans="10:30" hidden="1" x14ac:dyDescent="0.25">
      <c r="J174" s="40"/>
      <c r="K174" s="40"/>
      <c r="L174" s="28"/>
      <c r="M174" s="28"/>
      <c r="N174" s="28"/>
      <c r="O174" s="28"/>
      <c r="P174" s="28"/>
      <c r="Q174" s="28"/>
      <c r="Z174" s="45" t="s">
        <v>121</v>
      </c>
      <c r="AB174" s="46" t="str">
        <f>IF(OR(OR(ADBT_sub01=ADBT_sub06,ADBT_sub01=ADBT_sub07,ADBT_sub01=ADBT_sub08,ADBT_sub01=ADBT_sub09,ADBT_sub01=ADBT_sub10,ADBT_sub01=ADBT_sub11,ADBT_sub01=ADBT_sub12,ADBT_sub01=ADBT_sub13,ADBT_sub01=ADBT_sub14,ADBT_sub01=ADBT_sub21,ADBT_sub01=ADBT_sub22,ADBT_sub01=ADBT_sub23,ADBT_sub01=ADBT_sub24,ADBT_sub01=ADBT_sub28,ADBT_sub01=ADBT_sub29,ADBT_sub01=ADBT_sub30),OR(ADBT_sub01=ADBT_sub31,ADBT_sub01=ADBT_sub32,ADBT_sub01=ADBT_sub33,ADBT_sub01=ADBT_sub34,ADBT_sub01=ADBT_sub35,ADBT_sub01=ADBT_sub36,ADBT_sub01=ADBT_sub37,ADBT_sub01=ADBT_sub38,ADBT_sub01=ADBT_sub39,ADBT_sub01=ADBT_sub40,ADBT_sub01=ADBT_sub41,ADBT_sub01=ADBT_sub42,ADBT_sub01=ADBT_sub43,ADBT_sub01=ADBT_sub44,ADBT_sub01=ADBT_sub45,ADBT_sub01=ADBT_sub46,ADBT_sub01=ADBT_sub47,ADBT_sub01=ADBT_sub48,ADBT_sub01=ADBT_sub49,ADBT_sub01=ADBT_sub50,ADBT_sub01=ADBT_sub51,ADBT_sub01=ADBT_sub52,ADBT_sub01=ADBT_sub53,ADBT_sub01=ADBT_sub54,ADBT_sub01=ADBT_sub55,ADBT_sub01=ADBT_sub56,ADBT_sub01=ADBT_sub57,ADBT_sub01=ADBT_sub58,ADBT_sub01=ADBT_sub59,ADBT_sub01=ADBT_sub60),OR(ADBT_sub01=ADBT_sub61,ADBT_sub01=ADBT_sub62,ADBT_sub01=ADBT_sub63,ADBT_sub01=ADBT_sub64,ADBT_sub01=ADBT_sub65,ADBT_sub01=ADBT_sub66,ADBT_sub01=ADBT_sub67,ADBT_sub01=AD212,ADBT_sub01=AD213)),AIS_Yes,AIS_No)</f>
        <v>Yes</v>
      </c>
      <c r="AD174" s="45" t="s">
        <v>124</v>
      </c>
    </row>
    <row r="175" spans="10:30" hidden="1" x14ac:dyDescent="0.25">
      <c r="J175" s="40"/>
      <c r="K175" s="40"/>
      <c r="L175" s="28"/>
      <c r="M175" s="28"/>
      <c r="N175" s="28"/>
      <c r="O175" s="28"/>
      <c r="P175" s="28"/>
      <c r="Q175" s="28"/>
      <c r="Z175" s="45" t="s">
        <v>125</v>
      </c>
      <c r="AB175" s="46" t="str">
        <f>IF(AD_GIA="",AD_no,AD_Yes)</f>
        <v>No</v>
      </c>
      <c r="AD175" s="45" t="s">
        <v>126</v>
      </c>
    </row>
    <row r="176" spans="10:30" hidden="1" x14ac:dyDescent="0.25">
      <c r="J176" s="40"/>
      <c r="K176" s="40"/>
      <c r="L176" s="28"/>
      <c r="M176" s="28"/>
      <c r="N176" s="28"/>
      <c r="O176" s="28"/>
      <c r="P176" s="28"/>
      <c r="Q176" s="28"/>
      <c r="Z176" s="45" t="s">
        <v>43</v>
      </c>
      <c r="AB176" s="46" t="str">
        <f>IF(AD_NIFA="",AD_no,AD_Yes)</f>
        <v>No</v>
      </c>
      <c r="AD176" s="45" t="s">
        <v>127</v>
      </c>
    </row>
    <row r="177" spans="10:30" hidden="1" x14ac:dyDescent="0.25">
      <c r="J177" s="40"/>
      <c r="K177" s="40"/>
      <c r="L177" s="28"/>
      <c r="M177" s="28"/>
      <c r="N177" s="28"/>
      <c r="O177" s="28"/>
      <c r="P177" s="28"/>
      <c r="Q177" s="28"/>
      <c r="AB177" s="46" t="str">
        <f>IF(AD_SchIss="",AD_no,AD_Yes)</f>
        <v>No</v>
      </c>
      <c r="AD177" s="45" t="s">
        <v>128</v>
      </c>
    </row>
    <row r="178" spans="10:30" hidden="1" x14ac:dyDescent="0.25">
      <c r="J178" s="40"/>
      <c r="K178" s="40"/>
      <c r="L178" s="28"/>
      <c r="M178" s="28"/>
      <c r="N178" s="28"/>
      <c r="O178" s="28"/>
      <c r="P178" s="28"/>
      <c r="Q178" s="28"/>
      <c r="Z178" s="45" t="s">
        <v>129</v>
      </c>
      <c r="AB178" s="46" t="str">
        <f>IF(OR(ADPT=ADPT01,ADPT=ADPT02,ADPT=ADPT03),AD_Yes,AD_no)</f>
        <v>No</v>
      </c>
      <c r="AD178" s="45" t="s">
        <v>130</v>
      </c>
    </row>
    <row r="179" spans="10:30" hidden="1" x14ac:dyDescent="0.25">
      <c r="J179" s="40"/>
      <c r="K179" s="40"/>
      <c r="L179" s="28"/>
      <c r="M179" s="28"/>
      <c r="N179" s="28"/>
      <c r="O179" s="28"/>
      <c r="P179" s="28"/>
      <c r="Q179" s="28"/>
      <c r="Z179" s="45" t="s">
        <v>131</v>
      </c>
      <c r="AB179" s="46" t="str">
        <f>IF(OR(ADAS0=ADAS01,ADAS0=ADAS02),AD_Yes,AD_no)</f>
        <v>No</v>
      </c>
      <c r="AD179" s="45" t="s">
        <v>132</v>
      </c>
    </row>
    <row r="180" spans="10:30" hidden="1" x14ac:dyDescent="0.25">
      <c r="J180" s="40"/>
      <c r="K180" s="40"/>
      <c r="L180" s="28"/>
      <c r="M180" s="28"/>
      <c r="N180" s="28"/>
      <c r="O180" s="28"/>
      <c r="P180" s="28"/>
      <c r="Q180" s="28"/>
      <c r="Z180" s="45" t="s">
        <v>133</v>
      </c>
      <c r="AB180" s="46" t="str">
        <f>IF(OR(AD_heat=AD_Wet,AD_heat=AD_Air,AD_heat=AD_Heat_other,AD_heat=AD_Heat_None),AD_Yes,AD_no)</f>
        <v>No</v>
      </c>
      <c r="AD180" s="45" t="s">
        <v>134</v>
      </c>
    </row>
    <row r="181" spans="10:30" hidden="1" x14ac:dyDescent="0.25">
      <c r="J181" s="40"/>
      <c r="K181" s="40"/>
      <c r="L181" s="28"/>
      <c r="M181" s="28"/>
      <c r="N181" s="28"/>
      <c r="O181" s="28"/>
      <c r="P181" s="28"/>
      <c r="Q181" s="28"/>
      <c r="Z181" s="45" t="s">
        <v>135</v>
      </c>
      <c r="AB181" s="46" t="str">
        <f>IF(OR(AD_cool=AD_Air_con,AD_cool=AD_comfort_cool,AD_cool=AD_Cool_other,AD_cool=AD_none),AD_Yes,AD_no)</f>
        <v>No</v>
      </c>
      <c r="AD181" s="45" t="s">
        <v>136</v>
      </c>
    </row>
    <row r="182" spans="10:30" hidden="1" x14ac:dyDescent="0.25">
      <c r="J182" s="40"/>
      <c r="K182" s="40"/>
      <c r="L182" s="28"/>
      <c r="M182" s="28"/>
      <c r="N182" s="28"/>
      <c r="O182" s="28"/>
      <c r="P182" s="28"/>
      <c r="Q182" s="28"/>
      <c r="AB182" s="46" t="str">
        <f>IF(OR(AD_refrig=AD_Yes,AD_refrig=AD_no),AD_Yes,AD_no)</f>
        <v>No</v>
      </c>
      <c r="AD182" s="45" t="s">
        <v>137</v>
      </c>
    </row>
    <row r="183" spans="10:30" hidden="1" x14ac:dyDescent="0.25">
      <c r="J183" s="40"/>
      <c r="K183" s="40"/>
      <c r="L183" s="28"/>
      <c r="M183" s="28"/>
      <c r="N183" s="28"/>
      <c r="O183" s="28"/>
      <c r="P183" s="28"/>
      <c r="Q183" s="28"/>
      <c r="Z183" s="45" t="s">
        <v>138</v>
      </c>
      <c r="AB183" s="46"/>
      <c r="AD183" s="45" t="s">
        <v>139</v>
      </c>
    </row>
    <row r="184" spans="10:30" hidden="1" x14ac:dyDescent="0.25">
      <c r="J184" s="40"/>
      <c r="K184" s="40"/>
      <c r="L184" s="28"/>
      <c r="M184" s="28"/>
      <c r="N184" s="28"/>
      <c r="O184" s="28"/>
      <c r="P184" s="28"/>
      <c r="Q184" s="28"/>
      <c r="Z184" s="45" t="s">
        <v>140</v>
      </c>
      <c r="AB184" s="46" t="str">
        <f>IF(OR(AD_Trans=AD_Yes,AD_Trans=AD_no),AD_Yes,AD_no)</f>
        <v>No</v>
      </c>
      <c r="AD184" s="45" t="s">
        <v>141</v>
      </c>
    </row>
    <row r="185" spans="10:30" hidden="1" x14ac:dyDescent="0.25">
      <c r="J185" s="40"/>
      <c r="K185" s="40"/>
      <c r="L185" s="28"/>
      <c r="M185" s="28"/>
      <c r="N185" s="28"/>
      <c r="O185" s="28"/>
      <c r="P185" s="28"/>
      <c r="Q185" s="28"/>
      <c r="Z185" s="45" t="s">
        <v>142</v>
      </c>
      <c r="AB185" s="46" t="str">
        <f>IF(OR(AD_Labsize=AD_labsize04,AD_Labsize=AD_Labsize01,AD_Labsize=AD_Labsize02,AD_Labsize=AD_Labsize03),AD_Yes,AD_no)</f>
        <v>No</v>
      </c>
      <c r="AD185" s="45" t="s">
        <v>143</v>
      </c>
    </row>
    <row r="186" spans="10:30" hidden="1" x14ac:dyDescent="0.25">
      <c r="J186" s="40"/>
      <c r="K186" s="40"/>
      <c r="L186" s="28"/>
      <c r="M186" s="28"/>
      <c r="N186" s="28"/>
      <c r="O186" s="28"/>
      <c r="P186" s="28"/>
      <c r="Q186" s="28"/>
      <c r="Z186" s="45" t="s">
        <v>135</v>
      </c>
      <c r="AB186" s="46" t="str">
        <f>IF(OR(AD_catlevel=AD_catlevel01,AD_catlevel=AD_catlevel02,AD_catlevel=AD_catlevel03,AD_catlevel=AD_nolab),AD_Yes,AD_no)</f>
        <v>No</v>
      </c>
      <c r="AD186" s="45" t="s">
        <v>144</v>
      </c>
    </row>
    <row r="187" spans="10:30" hidden="1" x14ac:dyDescent="0.25">
      <c r="J187" s="40"/>
      <c r="K187" s="40"/>
      <c r="L187" s="28"/>
      <c r="M187" s="28"/>
      <c r="N187" s="28"/>
      <c r="O187" s="28"/>
      <c r="P187" s="28"/>
      <c r="Q187" s="28"/>
      <c r="AB187" s="46" t="str">
        <f>IF(OR(ADFume_option01=AD_Yes,ADFume_option01=AD_no),AD_Yes,AD_no)</f>
        <v>No</v>
      </c>
      <c r="AD187" s="45" t="s">
        <v>145</v>
      </c>
    </row>
    <row r="188" spans="10:30" hidden="1" x14ac:dyDescent="0.25">
      <c r="J188" s="40"/>
      <c r="K188" s="40"/>
      <c r="L188" s="28"/>
      <c r="M188" s="28"/>
      <c r="N188" s="28"/>
      <c r="O188" s="28"/>
      <c r="P188" s="28"/>
      <c r="Q188" s="28"/>
      <c r="Z188" s="45" t="s">
        <v>21</v>
      </c>
      <c r="AB188" s="46" t="str">
        <f>IF(OR(AD_Vehiclewash=AD_Yes,AD_Vehiclewash=AD_no),AD_Yes,AD_no)</f>
        <v>No</v>
      </c>
      <c r="AD188" s="45" t="s">
        <v>146</v>
      </c>
    </row>
    <row r="189" spans="10:30" hidden="1" x14ac:dyDescent="0.25">
      <c r="J189" s="40"/>
      <c r="K189" s="40"/>
      <c r="L189" s="28"/>
      <c r="M189" s="28"/>
      <c r="N189" s="28"/>
      <c r="O189" s="28"/>
      <c r="P189" s="28"/>
      <c r="Q189" s="28"/>
      <c r="AB189" s="46" t="str">
        <f>IF(ADBT0=ADBT5,IF(OR(ADHC_option01=AD_Yes,ADHC_option01=AD_no),AD_Yes,AD_no),AD_Yes)</f>
        <v>Yes</v>
      </c>
      <c r="AD189" s="45" t="s">
        <v>147</v>
      </c>
    </row>
    <row r="190" spans="10:30" hidden="1" x14ac:dyDescent="0.25">
      <c r="J190" s="40"/>
      <c r="K190" s="40"/>
      <c r="L190" s="28"/>
      <c r="M190" s="28"/>
      <c r="N190" s="28"/>
      <c r="O190" s="28"/>
      <c r="P190" s="28"/>
      <c r="Q190" s="28"/>
      <c r="Z190" s="45" t="s">
        <v>148</v>
      </c>
      <c r="AB190" s="46" t="str">
        <f>IF(ADBT0=ADBT2,IF(OR(ADIND_option01=AD_Yes,ADIND_option01=AD_no,ADIND_option01=AD_option_na),AD_Yes,AD_no),AD_Yes)</f>
        <v>Yes</v>
      </c>
      <c r="AD190" s="45" t="s">
        <v>149</v>
      </c>
    </row>
    <row r="191" spans="10:30" hidden="1" x14ac:dyDescent="0.25">
      <c r="J191" s="40"/>
      <c r="K191" s="40"/>
      <c r="L191" s="28"/>
      <c r="M191" s="28"/>
      <c r="N191" s="28"/>
      <c r="O191" s="28"/>
      <c r="P191" s="28"/>
      <c r="Q191" s="28"/>
      <c r="Z191" s="45" t="s">
        <v>150</v>
      </c>
      <c r="AB191" s="46" t="str">
        <f>IF(ADBT0=ADBT2,IF(OR(ADIND_option02=AD_Yes,ADIND_option02=AD_no,ADIND_option02=AD_option_na),AD_Yes,AD_no),AD_Yes)</f>
        <v>Yes</v>
      </c>
      <c r="AD191" s="45"/>
    </row>
    <row r="192" spans="10:30" hidden="1" x14ac:dyDescent="0.25">
      <c r="J192" s="40"/>
      <c r="K192" s="40"/>
      <c r="L192" s="28"/>
      <c r="M192" s="28"/>
      <c r="N192" s="28"/>
      <c r="O192" s="28"/>
      <c r="P192" s="28"/>
      <c r="Q192" s="28"/>
      <c r="Z192" s="45" t="s">
        <v>151</v>
      </c>
      <c r="AB192" s="104"/>
      <c r="AD192" s="45"/>
    </row>
    <row r="193" spans="10:30" hidden="1" x14ac:dyDescent="0.25">
      <c r="J193" s="40"/>
      <c r="K193" s="40"/>
      <c r="L193" s="28"/>
      <c r="M193" s="28"/>
      <c r="N193" s="28"/>
      <c r="O193" s="28"/>
      <c r="P193" s="28"/>
      <c r="Q193" s="28"/>
      <c r="Z193" s="45" t="s">
        <v>152</v>
      </c>
      <c r="AB193" s="45"/>
      <c r="AD193" s="45"/>
    </row>
    <row r="194" spans="10:30" hidden="1" x14ac:dyDescent="0.25">
      <c r="J194" s="40"/>
      <c r="K194" s="40"/>
      <c r="L194" s="28"/>
      <c r="M194" s="28"/>
      <c r="N194" s="28"/>
      <c r="O194" s="28"/>
      <c r="P194" s="28"/>
      <c r="Q194" s="28"/>
      <c r="Z194" s="45" t="s">
        <v>153</v>
      </c>
      <c r="AD194" s="45"/>
    </row>
    <row r="195" spans="10:30" hidden="1" x14ac:dyDescent="0.25">
      <c r="J195" s="40"/>
      <c r="K195" s="40"/>
      <c r="L195" s="28"/>
      <c r="M195" s="28"/>
      <c r="N195" s="28"/>
      <c r="O195" s="28"/>
      <c r="P195" s="28"/>
      <c r="Q195" s="28"/>
      <c r="Z195" s="45" t="s">
        <v>154</v>
      </c>
      <c r="AB195" s="46">
        <f>IF(S2="remove mandatory filter",0,COUNTIF(AD_mandatory_fields,AD_no))</f>
        <v>21</v>
      </c>
      <c r="AD195" s="45"/>
    </row>
    <row r="196" spans="10:30" hidden="1" x14ac:dyDescent="0.25">
      <c r="J196" s="40"/>
      <c r="K196" s="40"/>
      <c r="L196" s="28"/>
      <c r="M196" s="28"/>
      <c r="N196" s="28"/>
      <c r="O196" s="28"/>
      <c r="P196" s="28"/>
      <c r="Q196" s="28"/>
      <c r="Z196" s="45" t="s">
        <v>155</v>
      </c>
      <c r="AD196" s="45"/>
    </row>
    <row r="197" spans="10:30" hidden="1" x14ac:dyDescent="0.25">
      <c r="J197" s="40"/>
      <c r="K197" s="40"/>
      <c r="L197" s="28"/>
      <c r="M197" s="28"/>
      <c r="N197" s="28"/>
      <c r="O197" s="28"/>
      <c r="P197" s="28"/>
      <c r="Q197" s="28"/>
      <c r="AD197" s="45"/>
    </row>
    <row r="198" spans="10:30" hidden="1" x14ac:dyDescent="0.25">
      <c r="J198" s="40"/>
      <c r="K198" s="40"/>
      <c r="L198" s="28"/>
      <c r="M198" s="28"/>
      <c r="N198" s="28"/>
      <c r="O198" s="28"/>
      <c r="P198" s="28"/>
      <c r="Q198" s="28"/>
      <c r="Z198" s="45" t="str">
        <f>IF(ADBT0=ADBT2,AD_Yes,AD_option_na)</f>
        <v>Option not applicable to building type</v>
      </c>
      <c r="AB198" s="105" t="str">
        <f>IF(AD_MultiRes_option01=AD_Yes,0%,"Option not applicable to building type")</f>
        <v>Option not applicable to building type</v>
      </c>
      <c r="AD198" s="45"/>
    </row>
    <row r="199" spans="10:30" hidden="1" x14ac:dyDescent="0.25">
      <c r="J199" s="40"/>
      <c r="K199" s="40"/>
      <c r="L199" s="28"/>
      <c r="M199" s="28"/>
      <c r="N199" s="28"/>
      <c r="O199" s="28"/>
      <c r="P199" s="28"/>
      <c r="Q199" s="28"/>
      <c r="Z199" s="45" t="str">
        <f>IF(ADBT0=ADBT2,AD_no,"")</f>
        <v/>
      </c>
      <c r="AB199" s="105" t="str">
        <f t="shared" ref="AB199:AB232" si="0">IF(AD_MultiRes_option01=AD_Yes,AB198+1%,"")</f>
        <v/>
      </c>
      <c r="AD199" s="45"/>
    </row>
    <row r="200" spans="10:30" hidden="1" x14ac:dyDescent="0.25">
      <c r="J200" s="40"/>
      <c r="K200" s="40"/>
      <c r="L200" s="28"/>
      <c r="M200" s="28"/>
      <c r="N200" s="28"/>
      <c r="O200" s="28"/>
      <c r="P200" s="28"/>
      <c r="Q200" s="28"/>
      <c r="AB200" s="105"/>
      <c r="AD200" s="45"/>
    </row>
    <row r="201" spans="10:30" hidden="1" x14ac:dyDescent="0.25">
      <c r="J201" s="40"/>
      <c r="K201" s="40"/>
      <c r="L201" s="28"/>
      <c r="M201" s="28"/>
      <c r="N201" s="28"/>
      <c r="O201" s="28"/>
      <c r="P201" s="28"/>
      <c r="Q201" s="28"/>
      <c r="AB201" s="105" t="str">
        <f>IF(AD_MultiRes_option01=AD_Yes,AB199+1%,"")</f>
        <v/>
      </c>
      <c r="AD201" s="45"/>
    </row>
    <row r="202" spans="10:30" hidden="1" x14ac:dyDescent="0.25">
      <c r="J202" s="40"/>
      <c r="K202" s="40"/>
      <c r="L202" s="28"/>
      <c r="M202" s="28"/>
      <c r="N202" s="28"/>
      <c r="O202" s="28"/>
      <c r="P202" s="28"/>
      <c r="Q202" s="28"/>
      <c r="Z202" s="45" t="str">
        <f>IF(ADBT0=ADBT5,AD_Yes,AD_option_na)</f>
        <v>Option not applicable to building type</v>
      </c>
      <c r="AB202" s="105" t="str">
        <f t="shared" si="0"/>
        <v/>
      </c>
      <c r="AD202" s="45"/>
    </row>
    <row r="203" spans="10:30" hidden="1" x14ac:dyDescent="0.25">
      <c r="J203" s="40"/>
      <c r="K203" s="40"/>
      <c r="L203" s="28"/>
      <c r="M203" s="28"/>
      <c r="N203" s="28"/>
      <c r="O203" s="28"/>
      <c r="P203" s="28"/>
      <c r="Q203" s="28"/>
      <c r="Z203" s="45" t="str">
        <f>IF(ADBT0=ADBT5,AD_no,"")</f>
        <v/>
      </c>
      <c r="AB203" s="105" t="str">
        <f t="shared" si="0"/>
        <v/>
      </c>
      <c r="AD203" s="45"/>
    </row>
    <row r="204" spans="10:30" hidden="1" x14ac:dyDescent="0.25">
      <c r="J204" s="40"/>
      <c r="K204" s="40"/>
      <c r="L204" s="28"/>
      <c r="M204" s="28"/>
      <c r="N204" s="28"/>
      <c r="O204" s="28"/>
      <c r="P204" s="28"/>
      <c r="Q204" s="28"/>
      <c r="AB204" s="105" t="str">
        <f t="shared" si="0"/>
        <v/>
      </c>
      <c r="AD204" s="45"/>
    </row>
    <row r="205" spans="10:30" hidden="1" x14ac:dyDescent="0.25">
      <c r="J205" s="40"/>
      <c r="K205" s="40"/>
      <c r="L205" s="28"/>
      <c r="M205" s="28"/>
      <c r="N205" s="28"/>
      <c r="O205" s="28"/>
      <c r="P205" s="28"/>
      <c r="Q205" s="28"/>
      <c r="Z205" s="45" t="str">
        <f>IF(OR(ADBT0=ADBT8,ADBT0=ADBT9),AD_Yes,AD_option_na)</f>
        <v>Option not applicable to building type</v>
      </c>
      <c r="AB205" s="105" t="str">
        <f t="shared" si="0"/>
        <v/>
      </c>
      <c r="AD205" s="45"/>
    </row>
    <row r="206" spans="10:30" hidden="1" x14ac:dyDescent="0.25">
      <c r="J206" s="40"/>
      <c r="K206" s="40"/>
      <c r="L206" s="28"/>
      <c r="M206" s="28"/>
      <c r="N206" s="28"/>
      <c r="O206" s="28"/>
      <c r="P206" s="28"/>
      <c r="Q206" s="28"/>
      <c r="Z206" s="45" t="str">
        <f>IF(OR(ADBT0=ADBT8,ADBT0=ADBT9),AD_no,"")</f>
        <v/>
      </c>
      <c r="AB206" s="105" t="str">
        <f t="shared" si="0"/>
        <v/>
      </c>
    </row>
    <row r="207" spans="10:30" hidden="1" x14ac:dyDescent="0.25">
      <c r="J207" s="40"/>
      <c r="K207" s="40"/>
      <c r="L207" s="28"/>
      <c r="M207" s="28"/>
      <c r="N207" s="28"/>
      <c r="O207" s="28"/>
      <c r="P207" s="28"/>
      <c r="Q207" s="28"/>
      <c r="AB207" s="105" t="str">
        <f t="shared" si="0"/>
        <v/>
      </c>
    </row>
    <row r="208" spans="10:30" hidden="1" x14ac:dyDescent="0.25">
      <c r="J208" s="40"/>
      <c r="K208" s="40"/>
      <c r="L208" s="28"/>
      <c r="M208" s="28"/>
      <c r="N208" s="28"/>
      <c r="O208" s="28"/>
      <c r="P208" s="28"/>
      <c r="Q208" s="28"/>
      <c r="Z208" s="45" t="s">
        <v>156</v>
      </c>
      <c r="AB208" s="105" t="str">
        <f t="shared" si="0"/>
        <v/>
      </c>
      <c r="AD208" s="45"/>
    </row>
    <row r="209" spans="10:30" hidden="1" x14ac:dyDescent="0.25">
      <c r="J209" s="40"/>
      <c r="K209" s="40"/>
      <c r="L209" s="28"/>
      <c r="M209" s="28"/>
      <c r="N209" s="28"/>
      <c r="O209" s="28"/>
      <c r="P209" s="28"/>
      <c r="Q209" s="28"/>
      <c r="Z209" s="45" t="s">
        <v>157</v>
      </c>
      <c r="AB209" s="105" t="str">
        <f t="shared" si="0"/>
        <v/>
      </c>
      <c r="AD209" s="45"/>
    </row>
    <row r="210" spans="10:30" hidden="1" x14ac:dyDescent="0.25">
      <c r="J210" s="40"/>
      <c r="K210" s="40"/>
      <c r="L210" s="28"/>
      <c r="M210" s="28"/>
      <c r="N210" s="28"/>
      <c r="O210" s="28"/>
      <c r="P210" s="28"/>
      <c r="Q210" s="28"/>
      <c r="Z210" s="45" t="s">
        <v>158</v>
      </c>
      <c r="AB210" s="105" t="str">
        <f t="shared" si="0"/>
        <v/>
      </c>
      <c r="AD210" s="45"/>
    </row>
    <row r="211" spans="10:30" hidden="1" x14ac:dyDescent="0.25">
      <c r="J211" s="40"/>
      <c r="K211" s="40"/>
      <c r="L211" s="28"/>
      <c r="M211" s="28"/>
      <c r="N211" s="28"/>
      <c r="O211" s="28"/>
      <c r="P211" s="28"/>
      <c r="Q211" s="28"/>
      <c r="Z211" s="45" t="s">
        <v>157</v>
      </c>
      <c r="AB211" s="105" t="str">
        <f t="shared" si="0"/>
        <v/>
      </c>
      <c r="AD211" s="45"/>
    </row>
    <row r="212" spans="10:30" hidden="1" x14ac:dyDescent="0.25">
      <c r="J212" s="40"/>
      <c r="K212" s="40"/>
      <c r="L212" s="28"/>
      <c r="M212" s="28"/>
      <c r="N212" s="28"/>
      <c r="O212" s="28"/>
      <c r="P212" s="28"/>
      <c r="Q212" s="28"/>
      <c r="AB212" s="105" t="str">
        <f t="shared" si="0"/>
        <v/>
      </c>
      <c r="AD212" s="45"/>
    </row>
    <row r="213" spans="10:30" hidden="1" x14ac:dyDescent="0.25">
      <c r="J213" s="40"/>
      <c r="K213" s="40"/>
      <c r="L213" s="28"/>
      <c r="M213" s="28"/>
      <c r="N213" s="28"/>
      <c r="O213" s="28"/>
      <c r="P213" s="28"/>
      <c r="Q213" s="28"/>
      <c r="AB213" s="105" t="str">
        <f t="shared" si="0"/>
        <v/>
      </c>
      <c r="AD213" s="45"/>
    </row>
    <row r="214" spans="10:30" hidden="1" x14ac:dyDescent="0.25">
      <c r="J214" s="40"/>
      <c r="K214" s="40"/>
      <c r="L214" s="28"/>
      <c r="M214" s="28"/>
      <c r="N214" s="28"/>
      <c r="O214" s="28"/>
      <c r="P214" s="28"/>
      <c r="Q214" s="28"/>
      <c r="AB214" s="105"/>
      <c r="AD214" s="45"/>
    </row>
    <row r="215" spans="10:30" hidden="1" x14ac:dyDescent="0.25">
      <c r="J215" s="40"/>
      <c r="K215" s="40"/>
      <c r="L215" s="28"/>
      <c r="M215" s="28"/>
      <c r="N215" s="28"/>
      <c r="O215" s="28"/>
      <c r="P215" s="28"/>
      <c r="Q215" s="28"/>
      <c r="Z215" s="45" t="s">
        <v>159</v>
      </c>
      <c r="AB215" s="105" t="str">
        <f>IF(AD_MultiRes_option01=AD_Yes,AB213+1%,"")</f>
        <v/>
      </c>
      <c r="AD215" s="45"/>
    </row>
    <row r="216" spans="10:30" hidden="1" x14ac:dyDescent="0.25">
      <c r="J216" s="40"/>
      <c r="K216" s="40"/>
      <c r="L216" s="28"/>
      <c r="M216" s="28"/>
      <c r="N216" s="28"/>
      <c r="O216" s="28"/>
      <c r="P216" s="28"/>
      <c r="Q216" s="28"/>
      <c r="Z216" s="45" t="s">
        <v>160</v>
      </c>
      <c r="AB216" s="105" t="str">
        <f t="shared" si="0"/>
        <v/>
      </c>
      <c r="AD216" s="45"/>
    </row>
    <row r="217" spans="10:30" hidden="1" x14ac:dyDescent="0.25">
      <c r="J217" s="40"/>
      <c r="K217" s="40"/>
      <c r="L217" s="28"/>
      <c r="M217" s="28"/>
      <c r="N217" s="28"/>
      <c r="O217" s="28"/>
      <c r="P217" s="28"/>
      <c r="Q217" s="28"/>
      <c r="AB217" s="105" t="str">
        <f t="shared" si="0"/>
        <v/>
      </c>
      <c r="AD217" s="45"/>
    </row>
    <row r="218" spans="10:30" hidden="1" x14ac:dyDescent="0.25">
      <c r="J218" s="40"/>
      <c r="K218" s="40"/>
      <c r="L218" s="28"/>
      <c r="M218" s="28"/>
      <c r="N218" s="28"/>
      <c r="O218" s="28"/>
      <c r="P218" s="28"/>
      <c r="Q218" s="28"/>
      <c r="AB218" s="105" t="str">
        <f t="shared" si="0"/>
        <v/>
      </c>
      <c r="AD218" s="45"/>
    </row>
    <row r="219" spans="10:30" hidden="1" x14ac:dyDescent="0.25">
      <c r="J219" s="40"/>
      <c r="K219" s="40"/>
      <c r="L219" s="28"/>
      <c r="M219" s="28"/>
      <c r="N219" s="28"/>
      <c r="O219" s="28"/>
      <c r="P219" s="28"/>
      <c r="Q219" s="28"/>
      <c r="AB219" s="105" t="str">
        <f t="shared" si="0"/>
        <v/>
      </c>
      <c r="AD219" s="45"/>
    </row>
    <row r="220" spans="10:30" hidden="1" x14ac:dyDescent="0.25">
      <c r="J220" s="40"/>
      <c r="K220" s="40"/>
      <c r="L220" s="28"/>
      <c r="M220" s="28"/>
      <c r="N220" s="28"/>
      <c r="O220" s="28"/>
      <c r="P220" s="28"/>
      <c r="Q220" s="28"/>
      <c r="AB220" s="105" t="str">
        <f t="shared" si="0"/>
        <v/>
      </c>
    </row>
    <row r="221" spans="10:30" hidden="1" x14ac:dyDescent="0.25">
      <c r="J221" s="40"/>
      <c r="K221" s="40"/>
      <c r="L221" s="28"/>
      <c r="M221" s="28"/>
      <c r="N221" s="28"/>
      <c r="O221" s="28"/>
      <c r="P221" s="28"/>
      <c r="Q221" s="28"/>
      <c r="Z221" s="45" t="s">
        <v>161</v>
      </c>
      <c r="AB221" s="105" t="str">
        <f t="shared" si="0"/>
        <v/>
      </c>
    </row>
    <row r="222" spans="10:30" hidden="1" x14ac:dyDescent="0.25">
      <c r="J222" s="40"/>
      <c r="K222" s="40"/>
      <c r="L222" s="28"/>
      <c r="M222" s="28"/>
      <c r="N222" s="28"/>
      <c r="O222" s="28"/>
      <c r="P222" s="28"/>
      <c r="Q222" s="28"/>
      <c r="Z222" s="45" t="str">
        <f>IF(ADPT=ADPT02,(AD_Yes),(AD_no))</f>
        <v>No</v>
      </c>
      <c r="AB222" s="105" t="str">
        <f t="shared" si="0"/>
        <v/>
      </c>
      <c r="AD222" s="45"/>
    </row>
    <row r="223" spans="10:30" hidden="1" x14ac:dyDescent="0.25">
      <c r="J223" s="40"/>
      <c r="K223" s="40"/>
      <c r="L223" s="28"/>
      <c r="M223" s="28"/>
      <c r="N223" s="28"/>
      <c r="O223" s="28"/>
      <c r="P223" s="28"/>
      <c r="Q223" s="28"/>
      <c r="AB223" s="105" t="str">
        <f t="shared" si="0"/>
        <v/>
      </c>
      <c r="AD223" s="45"/>
    </row>
    <row r="224" spans="10:30" hidden="1" x14ac:dyDescent="0.25">
      <c r="J224" s="40"/>
      <c r="K224" s="40"/>
      <c r="L224" s="28"/>
      <c r="M224" s="28"/>
      <c r="N224" s="28"/>
      <c r="O224" s="28"/>
      <c r="P224" s="28"/>
      <c r="Q224" s="28"/>
      <c r="Z224" s="45" t="s">
        <v>162</v>
      </c>
      <c r="AB224" s="105" t="str">
        <f t="shared" si="0"/>
        <v/>
      </c>
      <c r="AD224" s="45"/>
    </row>
    <row r="225" spans="10:28" hidden="1" x14ac:dyDescent="0.25">
      <c r="J225" s="40"/>
      <c r="K225" s="40"/>
      <c r="L225" s="28"/>
      <c r="M225" s="28"/>
      <c r="N225" s="28"/>
      <c r="O225" s="28"/>
      <c r="P225" s="28"/>
      <c r="Q225" s="28"/>
      <c r="Z225" s="45" t="str">
        <f>IF(ADPT=ADPT03,(AD_Yes),(AD_no))</f>
        <v>No</v>
      </c>
      <c r="AB225" s="105" t="str">
        <f t="shared" si="0"/>
        <v/>
      </c>
    </row>
    <row r="226" spans="10:28" hidden="1" x14ac:dyDescent="0.25">
      <c r="J226" s="40"/>
      <c r="K226" s="40"/>
      <c r="L226" s="28"/>
      <c r="M226" s="28"/>
      <c r="N226" s="28"/>
      <c r="O226" s="28"/>
      <c r="P226" s="28"/>
      <c r="Q226" s="28"/>
      <c r="Z226" s="45" t="str">
        <f>IF(ADPT=ADPT02,(AD_Yes),(AD_no))</f>
        <v>No</v>
      </c>
      <c r="AB226" s="105" t="str">
        <f t="shared" si="0"/>
        <v/>
      </c>
    </row>
    <row r="227" spans="10:28" hidden="1" x14ac:dyDescent="0.25">
      <c r="J227" s="40"/>
      <c r="K227" s="40"/>
      <c r="L227" s="28"/>
      <c r="M227" s="28"/>
      <c r="N227" s="28"/>
      <c r="O227" s="28"/>
      <c r="P227" s="28"/>
      <c r="Q227" s="28"/>
      <c r="AB227" s="105" t="str">
        <f t="shared" si="0"/>
        <v/>
      </c>
    </row>
    <row r="228" spans="10:28" hidden="1" x14ac:dyDescent="0.25">
      <c r="J228" s="40"/>
      <c r="K228" s="40"/>
      <c r="L228" s="28"/>
      <c r="M228" s="28"/>
      <c r="N228" s="28"/>
      <c r="O228" s="28"/>
      <c r="P228" s="28"/>
      <c r="Q228" s="28"/>
      <c r="Z228" s="45" t="s">
        <v>163</v>
      </c>
      <c r="AB228" s="105" t="str">
        <f t="shared" si="0"/>
        <v/>
      </c>
    </row>
    <row r="229" spans="10:28" hidden="1" x14ac:dyDescent="0.25">
      <c r="J229" s="40"/>
      <c r="K229" s="40"/>
      <c r="L229" s="28"/>
      <c r="M229" s="28"/>
      <c r="N229" s="28"/>
      <c r="O229" s="28"/>
      <c r="P229" s="28"/>
      <c r="Q229" s="28"/>
      <c r="Z229" s="45" t="s">
        <v>164</v>
      </c>
      <c r="AB229" s="105" t="str">
        <f t="shared" si="0"/>
        <v/>
      </c>
    </row>
    <row r="230" spans="10:28" hidden="1" x14ac:dyDescent="0.25">
      <c r="J230" s="40"/>
      <c r="K230" s="40"/>
      <c r="L230" s="28"/>
      <c r="M230" s="28"/>
      <c r="N230" s="28"/>
      <c r="O230" s="28"/>
      <c r="P230" s="28"/>
      <c r="Q230" s="28"/>
      <c r="Z230" s="45" t="s">
        <v>165</v>
      </c>
      <c r="AB230" s="105" t="str">
        <f t="shared" si="0"/>
        <v/>
      </c>
    </row>
    <row r="231" spans="10:28" hidden="1" x14ac:dyDescent="0.25">
      <c r="J231" s="40"/>
      <c r="K231" s="40"/>
      <c r="L231" s="28"/>
      <c r="M231" s="28"/>
      <c r="N231" s="28"/>
      <c r="O231" s="28"/>
      <c r="P231" s="28"/>
      <c r="Q231" s="28"/>
      <c r="Z231" s="45" t="s">
        <v>166</v>
      </c>
      <c r="AB231" s="105" t="str">
        <f t="shared" si="0"/>
        <v/>
      </c>
    </row>
    <row r="232" spans="10:28" hidden="1" x14ac:dyDescent="0.25">
      <c r="J232" s="40"/>
      <c r="K232" s="40"/>
      <c r="L232" s="28"/>
      <c r="M232" s="28"/>
      <c r="N232" s="28"/>
      <c r="O232" s="28"/>
      <c r="P232" s="28"/>
      <c r="Q232" s="28"/>
      <c r="Z232" s="45" t="s">
        <v>167</v>
      </c>
      <c r="AB232" s="105" t="str">
        <f t="shared" si="0"/>
        <v/>
      </c>
    </row>
    <row r="233" spans="10:28" hidden="1" x14ac:dyDescent="0.25">
      <c r="J233" s="40"/>
      <c r="K233" s="40"/>
      <c r="L233" s="28"/>
      <c r="M233" s="28"/>
      <c r="N233" s="28"/>
      <c r="O233" s="28"/>
      <c r="P233" s="28"/>
      <c r="Q233" s="28"/>
      <c r="AB233" s="105" t="str">
        <f t="shared" ref="AB233:AB262" si="1">IF(AD_MultiRes_option01=AD_Yes,AB232+1%,"")</f>
        <v/>
      </c>
    </row>
    <row r="234" spans="10:28" hidden="1" x14ac:dyDescent="0.25">
      <c r="J234" s="40"/>
      <c r="K234" s="40"/>
      <c r="L234" s="28"/>
      <c r="M234" s="28"/>
      <c r="N234" s="28"/>
      <c r="O234" s="28"/>
      <c r="P234" s="28"/>
      <c r="Q234" s="28"/>
      <c r="AB234" s="105" t="str">
        <f>IF(AD_MultiRes_option01=AD_Yes,#REF!+1%,"")</f>
        <v/>
      </c>
    </row>
    <row r="235" spans="10:28" hidden="1" x14ac:dyDescent="0.25">
      <c r="J235" s="40"/>
      <c r="K235" s="40"/>
      <c r="L235" s="28"/>
      <c r="M235" s="28"/>
      <c r="N235" s="28"/>
      <c r="O235" s="28"/>
      <c r="P235" s="28"/>
      <c r="Q235" s="28"/>
      <c r="Z235" s="45" t="str">
        <f>IF(ADBT0=ADBT8,AD_Yes,AD_option_na)</f>
        <v>Option not applicable to building type</v>
      </c>
      <c r="AB235" s="105" t="str">
        <f t="shared" si="1"/>
        <v/>
      </c>
    </row>
    <row r="236" spans="10:28" hidden="1" x14ac:dyDescent="0.25">
      <c r="J236" s="40"/>
      <c r="K236" s="40"/>
      <c r="L236" s="28"/>
      <c r="M236" s="28"/>
      <c r="N236" s="28"/>
      <c r="O236" s="28"/>
      <c r="P236" s="28"/>
      <c r="Q236" s="28"/>
      <c r="Z236" s="45" t="str">
        <f>IF(ADBT0=ADBT8,AD_no,"")</f>
        <v/>
      </c>
      <c r="AB236" s="105" t="str">
        <f t="shared" si="1"/>
        <v/>
      </c>
    </row>
    <row r="237" spans="10:28" hidden="1" x14ac:dyDescent="0.25">
      <c r="J237" s="40"/>
      <c r="K237" s="40"/>
      <c r="L237" s="28"/>
      <c r="M237" s="28"/>
      <c r="N237" s="28"/>
      <c r="O237" s="28"/>
      <c r="P237" s="28"/>
      <c r="Q237" s="28"/>
      <c r="AB237" s="105" t="str">
        <f t="shared" si="1"/>
        <v/>
      </c>
    </row>
    <row r="238" spans="10:28" hidden="1" x14ac:dyDescent="0.25">
      <c r="J238" s="40"/>
      <c r="K238" s="40"/>
      <c r="L238" s="28"/>
      <c r="M238" s="28"/>
      <c r="N238" s="28"/>
      <c r="O238" s="28"/>
      <c r="P238" s="28"/>
      <c r="Q238" s="28"/>
      <c r="Z238" s="36" t="s">
        <v>168</v>
      </c>
      <c r="AB238" s="105" t="str">
        <f t="shared" si="1"/>
        <v/>
      </c>
    </row>
    <row r="239" spans="10:28" hidden="1" x14ac:dyDescent="0.25">
      <c r="J239" s="40"/>
      <c r="K239" s="40"/>
      <c r="L239" s="28"/>
      <c r="M239" s="28"/>
      <c r="N239" s="28"/>
      <c r="O239" s="28"/>
      <c r="P239" s="28"/>
      <c r="Q239" s="28"/>
      <c r="AB239" s="105" t="str">
        <f t="shared" si="1"/>
        <v/>
      </c>
    </row>
    <row r="240" spans="10:28" hidden="1" x14ac:dyDescent="0.25">
      <c r="J240" s="40"/>
      <c r="K240" s="40"/>
      <c r="L240" s="28"/>
      <c r="M240" s="28"/>
      <c r="N240" s="28"/>
      <c r="O240" s="28"/>
      <c r="P240" s="28"/>
      <c r="Q240" s="28"/>
      <c r="AB240" s="105" t="str">
        <f t="shared" si="1"/>
        <v/>
      </c>
    </row>
    <row r="241" spans="10:28" hidden="1" x14ac:dyDescent="0.25">
      <c r="J241" s="40"/>
      <c r="K241" s="40"/>
      <c r="L241" s="28"/>
      <c r="M241" s="28"/>
      <c r="N241" s="28"/>
      <c r="O241" s="28"/>
      <c r="P241" s="28"/>
      <c r="Q241" s="28"/>
      <c r="AB241" s="105" t="str">
        <f t="shared" si="1"/>
        <v/>
      </c>
    </row>
    <row r="242" spans="10:28" hidden="1" x14ac:dyDescent="0.25">
      <c r="J242" s="40"/>
      <c r="K242" s="40"/>
      <c r="L242" s="28"/>
      <c r="M242" s="28"/>
      <c r="N242" s="28"/>
      <c r="O242" s="28"/>
      <c r="P242" s="28"/>
      <c r="Q242" s="28"/>
      <c r="AB242" s="105" t="str">
        <f t="shared" si="1"/>
        <v/>
      </c>
    </row>
    <row r="243" spans="10:28" hidden="1" x14ac:dyDescent="0.25">
      <c r="J243" s="40"/>
      <c r="K243" s="40"/>
      <c r="L243" s="28"/>
      <c r="M243" s="28"/>
      <c r="N243" s="28"/>
      <c r="O243" s="28"/>
      <c r="P243" s="28"/>
      <c r="Q243" s="28"/>
      <c r="AB243" s="105" t="str">
        <f t="shared" si="1"/>
        <v/>
      </c>
    </row>
    <row r="244" spans="10:28" hidden="1" x14ac:dyDescent="0.25">
      <c r="J244" s="40"/>
      <c r="K244" s="40"/>
      <c r="L244" s="28"/>
      <c r="M244" s="28"/>
      <c r="N244" s="28"/>
      <c r="O244" s="28"/>
      <c r="P244" s="28"/>
      <c r="Q244" s="28"/>
      <c r="AB244" s="105" t="str">
        <f t="shared" si="1"/>
        <v/>
      </c>
    </row>
    <row r="245" spans="10:28" hidden="1" x14ac:dyDescent="0.25">
      <c r="J245" s="40"/>
      <c r="K245" s="40"/>
      <c r="L245" s="28"/>
      <c r="M245" s="28"/>
      <c r="N245" s="28"/>
      <c r="O245" s="28"/>
      <c r="P245" s="28"/>
      <c r="Q245" s="28"/>
      <c r="AB245" s="105" t="str">
        <f t="shared" si="1"/>
        <v/>
      </c>
    </row>
    <row r="246" spans="10:28" hidden="1" x14ac:dyDescent="0.25">
      <c r="J246" s="40"/>
      <c r="K246" s="40"/>
      <c r="L246" s="28"/>
      <c r="M246" s="28"/>
      <c r="N246" s="28"/>
      <c r="O246" s="28"/>
      <c r="P246" s="28"/>
      <c r="Q246" s="28"/>
      <c r="AB246" s="105" t="str">
        <f t="shared" si="1"/>
        <v/>
      </c>
    </row>
    <row r="247" spans="10:28" hidden="1" x14ac:dyDescent="0.25">
      <c r="J247" s="40"/>
      <c r="K247" s="40"/>
      <c r="L247" s="28"/>
      <c r="M247" s="28"/>
      <c r="N247" s="28"/>
      <c r="O247" s="28"/>
      <c r="P247" s="28"/>
      <c r="Q247" s="28"/>
      <c r="AB247" s="105" t="str">
        <f t="shared" si="1"/>
        <v/>
      </c>
    </row>
    <row r="248" spans="10:28" hidden="1" x14ac:dyDescent="0.25">
      <c r="J248" s="40"/>
      <c r="K248" s="40"/>
      <c r="L248" s="28"/>
      <c r="M248" s="28"/>
      <c r="N248" s="28"/>
      <c r="O248" s="28"/>
      <c r="P248" s="28"/>
      <c r="Q248" s="28"/>
      <c r="AB248" s="105" t="str">
        <f t="shared" si="1"/>
        <v/>
      </c>
    </row>
    <row r="249" spans="10:28" hidden="1" x14ac:dyDescent="0.25">
      <c r="J249" s="40"/>
      <c r="K249" s="40"/>
      <c r="L249" s="28"/>
      <c r="M249" s="28"/>
      <c r="N249" s="28"/>
      <c r="O249" s="28"/>
      <c r="P249" s="28"/>
      <c r="Q249" s="28"/>
      <c r="AB249" s="105" t="str">
        <f t="shared" si="1"/>
        <v/>
      </c>
    </row>
    <row r="250" spans="10:28" hidden="1" x14ac:dyDescent="0.25">
      <c r="J250" s="40"/>
      <c r="K250" s="40"/>
      <c r="L250" s="28"/>
      <c r="M250" s="28"/>
      <c r="N250" s="28"/>
      <c r="O250" s="28"/>
      <c r="P250" s="28"/>
      <c r="Q250" s="28"/>
      <c r="AB250" s="105" t="str">
        <f t="shared" si="1"/>
        <v/>
      </c>
    </row>
    <row r="251" spans="10:28" hidden="1" x14ac:dyDescent="0.25">
      <c r="J251" s="40"/>
      <c r="K251" s="40"/>
      <c r="L251" s="28"/>
      <c r="M251" s="28"/>
      <c r="N251" s="28"/>
      <c r="O251" s="28"/>
      <c r="P251" s="28"/>
      <c r="Q251" s="28"/>
      <c r="AB251" s="105" t="str">
        <f t="shared" si="1"/>
        <v/>
      </c>
    </row>
    <row r="252" spans="10:28" hidden="1" x14ac:dyDescent="0.25">
      <c r="J252" s="40"/>
      <c r="K252" s="40"/>
      <c r="L252" s="28"/>
      <c r="M252" s="28"/>
      <c r="N252" s="28"/>
      <c r="O252" s="28"/>
      <c r="P252" s="28"/>
      <c r="Q252" s="28"/>
      <c r="AB252" s="105" t="str">
        <f t="shared" si="1"/>
        <v/>
      </c>
    </row>
    <row r="253" spans="10:28" hidden="1" x14ac:dyDescent="0.25">
      <c r="J253" s="40"/>
      <c r="K253" s="40"/>
      <c r="L253" s="28"/>
      <c r="M253" s="28"/>
      <c r="N253" s="28"/>
      <c r="O253" s="28"/>
      <c r="P253" s="28"/>
      <c r="Q253" s="28"/>
      <c r="AB253" s="105" t="str">
        <f t="shared" si="1"/>
        <v/>
      </c>
    </row>
    <row r="254" spans="10:28" hidden="1" x14ac:dyDescent="0.25">
      <c r="J254" s="40"/>
      <c r="K254" s="40"/>
      <c r="L254" s="28"/>
      <c r="M254" s="28"/>
      <c r="N254" s="28"/>
      <c r="O254" s="28"/>
      <c r="P254" s="28"/>
      <c r="Q254" s="28"/>
      <c r="AB254" s="105" t="str">
        <f t="shared" si="1"/>
        <v/>
      </c>
    </row>
    <row r="255" spans="10:28" hidden="1" x14ac:dyDescent="0.25">
      <c r="J255" s="40"/>
      <c r="K255" s="40"/>
      <c r="L255" s="28"/>
      <c r="M255" s="28"/>
      <c r="N255" s="28"/>
      <c r="O255" s="28"/>
      <c r="P255" s="28"/>
      <c r="Q255" s="28"/>
      <c r="AB255" s="105" t="str">
        <f t="shared" si="1"/>
        <v/>
      </c>
    </row>
    <row r="256" spans="10:28" hidden="1" x14ac:dyDescent="0.25">
      <c r="J256" s="40"/>
      <c r="K256" s="40"/>
      <c r="L256" s="28"/>
      <c r="M256" s="28"/>
      <c r="N256" s="28"/>
      <c r="O256" s="28"/>
      <c r="P256" s="28"/>
      <c r="Q256" s="28"/>
      <c r="AB256" s="105" t="str">
        <f t="shared" si="1"/>
        <v/>
      </c>
    </row>
    <row r="257" spans="10:28" hidden="1" x14ac:dyDescent="0.25">
      <c r="J257" s="40"/>
      <c r="K257" s="40"/>
      <c r="L257" s="28"/>
      <c r="M257" s="28"/>
      <c r="N257" s="28"/>
      <c r="O257" s="28"/>
      <c r="P257" s="28"/>
      <c r="Q257" s="28"/>
      <c r="AB257" s="105" t="str">
        <f t="shared" si="1"/>
        <v/>
      </c>
    </row>
    <row r="258" spans="10:28" hidden="1" x14ac:dyDescent="0.25">
      <c r="J258" s="40"/>
      <c r="K258" s="40"/>
      <c r="L258" s="28"/>
      <c r="M258" s="28"/>
      <c r="N258" s="28"/>
      <c r="O258" s="28"/>
      <c r="P258" s="28"/>
      <c r="Q258" s="28"/>
      <c r="AB258" s="105" t="str">
        <f t="shared" si="1"/>
        <v/>
      </c>
    </row>
    <row r="259" spans="10:28" hidden="1" x14ac:dyDescent="0.25">
      <c r="J259" s="40"/>
      <c r="K259" s="40"/>
      <c r="L259" s="28"/>
      <c r="M259" s="28"/>
      <c r="N259" s="28"/>
      <c r="O259" s="28"/>
      <c r="P259" s="28"/>
      <c r="Q259" s="28"/>
      <c r="AB259" s="105" t="str">
        <f t="shared" si="1"/>
        <v/>
      </c>
    </row>
    <row r="260" spans="10:28" hidden="1" x14ac:dyDescent="0.25">
      <c r="J260" s="40"/>
      <c r="K260" s="40"/>
      <c r="L260" s="28"/>
      <c r="M260" s="28"/>
      <c r="N260" s="28"/>
      <c r="O260" s="28"/>
      <c r="P260" s="28"/>
      <c r="Q260" s="28"/>
      <c r="AB260" s="105" t="str">
        <f t="shared" si="1"/>
        <v/>
      </c>
    </row>
    <row r="261" spans="10:28" hidden="1" x14ac:dyDescent="0.25">
      <c r="J261" s="40"/>
      <c r="K261" s="40"/>
      <c r="L261" s="28"/>
      <c r="M261" s="28"/>
      <c r="N261" s="28"/>
      <c r="O261" s="28"/>
      <c r="P261" s="28"/>
      <c r="Q261" s="28"/>
      <c r="AB261" s="105" t="str">
        <f t="shared" si="1"/>
        <v/>
      </c>
    </row>
    <row r="262" spans="10:28" hidden="1" x14ac:dyDescent="0.25">
      <c r="J262" s="40"/>
      <c r="K262" s="40"/>
      <c r="L262" s="28"/>
      <c r="M262" s="28"/>
      <c r="N262" s="28"/>
      <c r="O262" s="28"/>
      <c r="P262" s="28"/>
      <c r="Q262" s="28"/>
      <c r="AB262" s="105" t="str">
        <f t="shared" si="1"/>
        <v/>
      </c>
    </row>
    <row r="263" spans="10:28" hidden="1" x14ac:dyDescent="0.25">
      <c r="J263" s="40"/>
      <c r="K263" s="40"/>
      <c r="L263" s="28"/>
      <c r="M263" s="28"/>
      <c r="N263" s="28"/>
      <c r="O263" s="28"/>
      <c r="P263" s="28"/>
      <c r="Q263" s="28"/>
      <c r="AB263" s="105" t="str">
        <f t="shared" ref="AB263:AB298" si="2">IF(AD_MultiRes_option01=AD_Yes,AB262+1%,"")</f>
        <v/>
      </c>
    </row>
    <row r="264" spans="10:28" hidden="1" x14ac:dyDescent="0.25">
      <c r="J264" s="40"/>
      <c r="K264" s="40"/>
      <c r="L264" s="28"/>
      <c r="M264" s="28"/>
      <c r="N264" s="28"/>
      <c r="O264" s="28"/>
      <c r="P264" s="28"/>
      <c r="Q264" s="28"/>
      <c r="AB264" s="105" t="str">
        <f t="shared" si="2"/>
        <v/>
      </c>
    </row>
    <row r="265" spans="10:28" hidden="1" x14ac:dyDescent="0.25">
      <c r="J265" s="40"/>
      <c r="K265" s="40"/>
      <c r="L265" s="28"/>
      <c r="M265" s="28"/>
      <c r="N265" s="28"/>
      <c r="O265" s="28"/>
      <c r="P265" s="28"/>
      <c r="Q265" s="28"/>
      <c r="AB265" s="105" t="str">
        <f t="shared" si="2"/>
        <v/>
      </c>
    </row>
    <row r="266" spans="10:28" hidden="1" x14ac:dyDescent="0.25">
      <c r="J266" s="40"/>
      <c r="K266" s="40"/>
      <c r="L266" s="28"/>
      <c r="M266" s="28"/>
      <c r="N266" s="28"/>
      <c r="O266" s="28"/>
      <c r="P266" s="28"/>
      <c r="Q266" s="28"/>
      <c r="AB266" s="105" t="str">
        <f t="shared" si="2"/>
        <v/>
      </c>
    </row>
    <row r="267" spans="10:28" hidden="1" x14ac:dyDescent="0.25">
      <c r="J267" s="40"/>
      <c r="K267" s="40"/>
      <c r="L267" s="28"/>
      <c r="M267" s="28"/>
      <c r="N267" s="28"/>
      <c r="O267" s="28"/>
      <c r="P267" s="28"/>
      <c r="Q267" s="28"/>
      <c r="AB267" s="105" t="str">
        <f t="shared" si="2"/>
        <v/>
      </c>
    </row>
    <row r="268" spans="10:28" hidden="1" x14ac:dyDescent="0.25">
      <c r="J268" s="40"/>
      <c r="K268" s="40"/>
      <c r="L268" s="28"/>
      <c r="M268" s="28"/>
      <c r="N268" s="28"/>
      <c r="O268" s="28"/>
      <c r="P268" s="28"/>
      <c r="Q268" s="28"/>
      <c r="AB268" s="105" t="str">
        <f t="shared" si="2"/>
        <v/>
      </c>
    </row>
    <row r="269" spans="10:28" hidden="1" x14ac:dyDescent="0.25">
      <c r="J269" s="40"/>
      <c r="K269" s="40"/>
      <c r="L269" s="28"/>
      <c r="M269" s="28"/>
      <c r="N269" s="28"/>
      <c r="O269" s="28"/>
      <c r="P269" s="28"/>
      <c r="Q269" s="28"/>
      <c r="AB269" s="105" t="str">
        <f t="shared" si="2"/>
        <v/>
      </c>
    </row>
    <row r="270" spans="10:28" hidden="1" x14ac:dyDescent="0.25">
      <c r="J270" s="40"/>
      <c r="K270" s="40"/>
      <c r="L270" s="28"/>
      <c r="M270" s="28"/>
      <c r="N270" s="28"/>
      <c r="O270" s="28"/>
      <c r="P270" s="28"/>
      <c r="Q270" s="28"/>
      <c r="AB270" s="105" t="str">
        <f t="shared" si="2"/>
        <v/>
      </c>
    </row>
    <row r="271" spans="10:28" hidden="1" x14ac:dyDescent="0.25">
      <c r="J271" s="40"/>
      <c r="K271" s="40"/>
      <c r="L271" s="28"/>
      <c r="M271" s="28"/>
      <c r="N271" s="28"/>
      <c r="O271" s="28"/>
      <c r="P271" s="28"/>
      <c r="Q271" s="28"/>
      <c r="AB271" s="105" t="str">
        <f t="shared" si="2"/>
        <v/>
      </c>
    </row>
    <row r="272" spans="10:28" hidden="1" x14ac:dyDescent="0.25">
      <c r="J272" s="40"/>
      <c r="K272" s="40"/>
      <c r="L272" s="28"/>
      <c r="M272" s="28"/>
      <c r="N272" s="28"/>
      <c r="O272" s="28"/>
      <c r="P272" s="28"/>
      <c r="Q272" s="28"/>
      <c r="AB272" s="105" t="str">
        <f t="shared" si="2"/>
        <v/>
      </c>
    </row>
    <row r="273" spans="10:28" hidden="1" x14ac:dyDescent="0.25">
      <c r="J273" s="40"/>
      <c r="K273" s="40"/>
      <c r="L273" s="28"/>
      <c r="M273" s="28"/>
      <c r="N273" s="28"/>
      <c r="O273" s="28"/>
      <c r="P273" s="28"/>
      <c r="Q273" s="28"/>
      <c r="AB273" s="105" t="str">
        <f t="shared" si="2"/>
        <v/>
      </c>
    </row>
    <row r="274" spans="10:28" hidden="1" x14ac:dyDescent="0.25">
      <c r="J274" s="40"/>
      <c r="K274" s="40"/>
      <c r="L274" s="28"/>
      <c r="M274" s="28"/>
      <c r="N274" s="28"/>
      <c r="O274" s="28"/>
      <c r="P274" s="28"/>
      <c r="Q274" s="28"/>
      <c r="AB274" s="105" t="str">
        <f t="shared" si="2"/>
        <v/>
      </c>
    </row>
    <row r="275" spans="10:28" hidden="1" x14ac:dyDescent="0.25">
      <c r="J275" s="40"/>
      <c r="K275" s="40"/>
      <c r="L275" s="28"/>
      <c r="M275" s="28"/>
      <c r="N275" s="28"/>
      <c r="O275" s="28"/>
      <c r="P275" s="28"/>
      <c r="Q275" s="28"/>
      <c r="AB275" s="105" t="str">
        <f t="shared" si="2"/>
        <v/>
      </c>
    </row>
    <row r="276" spans="10:28" hidden="1" x14ac:dyDescent="0.25">
      <c r="J276" s="40"/>
      <c r="K276" s="40"/>
      <c r="L276" s="28"/>
      <c r="M276" s="28"/>
      <c r="N276" s="28"/>
      <c r="O276" s="28"/>
      <c r="P276" s="28"/>
      <c r="Q276" s="28"/>
      <c r="AB276" s="105" t="str">
        <f t="shared" si="2"/>
        <v/>
      </c>
    </row>
    <row r="277" spans="10:28" hidden="1" x14ac:dyDescent="0.25">
      <c r="J277" s="40"/>
      <c r="K277" s="40"/>
      <c r="L277" s="28"/>
      <c r="M277" s="28"/>
      <c r="N277" s="28"/>
      <c r="O277" s="28"/>
      <c r="P277" s="28"/>
      <c r="Q277" s="28"/>
      <c r="AB277" s="105" t="str">
        <f t="shared" si="2"/>
        <v/>
      </c>
    </row>
    <row r="278" spans="10:28" hidden="1" x14ac:dyDescent="0.25">
      <c r="J278" s="40"/>
      <c r="K278" s="40"/>
      <c r="L278" s="28"/>
      <c r="M278" s="28"/>
      <c r="N278" s="28"/>
      <c r="O278" s="28"/>
      <c r="P278" s="28"/>
      <c r="Q278" s="28"/>
      <c r="AB278" s="105" t="str">
        <f t="shared" si="2"/>
        <v/>
      </c>
    </row>
    <row r="279" spans="10:28" hidden="1" x14ac:dyDescent="0.25">
      <c r="J279" s="40"/>
      <c r="K279" s="40"/>
      <c r="L279" s="28"/>
      <c r="M279" s="28"/>
      <c r="N279" s="28"/>
      <c r="O279" s="28"/>
      <c r="P279" s="28"/>
      <c r="Q279" s="28"/>
      <c r="AB279" s="105" t="str">
        <f t="shared" si="2"/>
        <v/>
      </c>
    </row>
    <row r="280" spans="10:28" hidden="1" x14ac:dyDescent="0.25">
      <c r="J280" s="40"/>
      <c r="K280" s="40"/>
      <c r="L280" s="28"/>
      <c r="M280" s="28"/>
      <c r="N280" s="28"/>
      <c r="O280" s="28"/>
      <c r="P280" s="28"/>
      <c r="Q280" s="28"/>
      <c r="AB280" s="105" t="str">
        <f t="shared" si="2"/>
        <v/>
      </c>
    </row>
    <row r="281" spans="10:28" hidden="1" x14ac:dyDescent="0.25">
      <c r="J281" s="40"/>
      <c r="K281" s="40"/>
      <c r="L281" s="28"/>
      <c r="M281" s="28"/>
      <c r="N281" s="28"/>
      <c r="O281" s="28"/>
      <c r="P281" s="28"/>
      <c r="Q281" s="28"/>
      <c r="AB281" s="105" t="str">
        <f t="shared" si="2"/>
        <v/>
      </c>
    </row>
    <row r="282" spans="10:28" hidden="1" x14ac:dyDescent="0.25">
      <c r="J282" s="40"/>
      <c r="K282" s="40"/>
      <c r="L282" s="28"/>
      <c r="M282" s="28"/>
      <c r="N282" s="28"/>
      <c r="O282" s="28"/>
      <c r="P282" s="28"/>
      <c r="Q282" s="28"/>
      <c r="AB282" s="105" t="str">
        <f t="shared" si="2"/>
        <v/>
      </c>
    </row>
    <row r="283" spans="10:28" hidden="1" x14ac:dyDescent="0.25">
      <c r="AB283" s="105" t="str">
        <f t="shared" si="2"/>
        <v/>
      </c>
    </row>
    <row r="284" spans="10:28" hidden="1" x14ac:dyDescent="0.25">
      <c r="AB284" s="105" t="str">
        <f t="shared" si="2"/>
        <v/>
      </c>
    </row>
    <row r="285" spans="10:28" hidden="1" x14ac:dyDescent="0.25">
      <c r="AB285" s="105" t="str">
        <f t="shared" si="2"/>
        <v/>
      </c>
    </row>
    <row r="286" spans="10:28" hidden="1" x14ac:dyDescent="0.25">
      <c r="AB286" s="105" t="str">
        <f t="shared" si="2"/>
        <v/>
      </c>
    </row>
    <row r="287" spans="10:28" hidden="1" x14ac:dyDescent="0.25">
      <c r="AB287" s="105" t="str">
        <f t="shared" si="2"/>
        <v/>
      </c>
    </row>
    <row r="288" spans="10:28" hidden="1" x14ac:dyDescent="0.25">
      <c r="AB288" s="105" t="str">
        <f t="shared" si="2"/>
        <v/>
      </c>
    </row>
    <row r="289" spans="28:28" hidden="1" x14ac:dyDescent="0.25">
      <c r="AB289" s="105" t="str">
        <f t="shared" si="2"/>
        <v/>
      </c>
    </row>
    <row r="290" spans="28:28" hidden="1" x14ac:dyDescent="0.25">
      <c r="AB290" s="105" t="str">
        <f t="shared" si="2"/>
        <v/>
      </c>
    </row>
    <row r="291" spans="28:28" hidden="1" x14ac:dyDescent="0.25">
      <c r="AB291" s="105" t="str">
        <f t="shared" si="2"/>
        <v/>
      </c>
    </row>
    <row r="292" spans="28:28" hidden="1" x14ac:dyDescent="0.25">
      <c r="AB292" s="105" t="str">
        <f t="shared" si="2"/>
        <v/>
      </c>
    </row>
    <row r="293" spans="28:28" hidden="1" x14ac:dyDescent="0.25">
      <c r="AB293" s="105" t="str">
        <f t="shared" si="2"/>
        <v/>
      </c>
    </row>
    <row r="294" spans="28:28" hidden="1" x14ac:dyDescent="0.25">
      <c r="AB294" s="105" t="str">
        <f t="shared" si="2"/>
        <v/>
      </c>
    </row>
    <row r="295" spans="28:28" hidden="1" x14ac:dyDescent="0.25">
      <c r="AB295" s="105" t="str">
        <f t="shared" si="2"/>
        <v/>
      </c>
    </row>
    <row r="296" spans="28:28" hidden="1" x14ac:dyDescent="0.25">
      <c r="AB296" s="105" t="str">
        <f t="shared" si="2"/>
        <v/>
      </c>
    </row>
    <row r="297" spans="28:28" hidden="1" x14ac:dyDescent="0.25">
      <c r="AB297" s="105" t="str">
        <f t="shared" si="2"/>
        <v/>
      </c>
    </row>
    <row r="298" spans="28:28" hidden="1" x14ac:dyDescent="0.25">
      <c r="AB298" s="105" t="str">
        <f t="shared" si="2"/>
        <v/>
      </c>
    </row>
  </sheetData>
  <sheetProtection algorithmName="SHA-512" hashValue="oiJTs9GK9At4IOB6Kcn+Az5+0wP2dSiGSwO5+/7cxwKalXFO4+MRXZWuu8ZYARL/VmpMX49SsF2yENdiJ3H01A==" saltValue="7CJVTw/3BNjFODXrZijciA==" spinCount="100000" sheet="1" objects="1" scenarios="1" insertHyperlinks="0"/>
  <mergeCells count="70">
    <mergeCell ref="S90:X96"/>
    <mergeCell ref="J92:Q92"/>
    <mergeCell ref="J102:Q102"/>
    <mergeCell ref="J100:Q100"/>
    <mergeCell ref="J98:Q98"/>
    <mergeCell ref="J90:Q90"/>
    <mergeCell ref="J93:Q93"/>
    <mergeCell ref="J52:Q52"/>
    <mergeCell ref="J50:Q50"/>
    <mergeCell ref="J42:Q42"/>
    <mergeCell ref="J40:Q40"/>
    <mergeCell ref="J20:Q20"/>
    <mergeCell ref="J44:Q44"/>
    <mergeCell ref="J48:Q48"/>
    <mergeCell ref="J46:Q46"/>
    <mergeCell ref="B1:Q1"/>
    <mergeCell ref="J28:Q28"/>
    <mergeCell ref="J84:Q84"/>
    <mergeCell ref="J78:Q78"/>
    <mergeCell ref="J74:Q74"/>
    <mergeCell ref="J76:Q76"/>
    <mergeCell ref="J66:Q66"/>
    <mergeCell ref="J54:Q54"/>
    <mergeCell ref="J64:Q64"/>
    <mergeCell ref="J56:Q56"/>
    <mergeCell ref="J62:Q62"/>
    <mergeCell ref="J82:Q82"/>
    <mergeCell ref="J80:Q80"/>
    <mergeCell ref="J72:Q72"/>
    <mergeCell ref="J9:Q9"/>
    <mergeCell ref="J11:Q11"/>
    <mergeCell ref="B3:Q4"/>
    <mergeCell ref="J34:Q34"/>
    <mergeCell ref="J36:Q36"/>
    <mergeCell ref="J38:Q38"/>
    <mergeCell ref="J7:Q7"/>
    <mergeCell ref="J22:Q22"/>
    <mergeCell ref="J30:Q30"/>
    <mergeCell ref="J24:Q24"/>
    <mergeCell ref="J32:Q32"/>
    <mergeCell ref="J13:Q13"/>
    <mergeCell ref="J17:Q17"/>
    <mergeCell ref="J15:Q15"/>
    <mergeCell ref="S119:X119"/>
    <mergeCell ref="B123:Q123"/>
    <mergeCell ref="B133:Q133"/>
    <mergeCell ref="B124:Q124"/>
    <mergeCell ref="S124:X124"/>
    <mergeCell ref="B119:Q119"/>
    <mergeCell ref="B126:Q126"/>
    <mergeCell ref="B130:Q130"/>
    <mergeCell ref="B127:Q127"/>
    <mergeCell ref="B128:Q128"/>
    <mergeCell ref="B129:Q129"/>
    <mergeCell ref="L120:R120"/>
    <mergeCell ref="E120:H120"/>
    <mergeCell ref="J58:Q58"/>
    <mergeCell ref="J110:Q110"/>
    <mergeCell ref="J112:Q112"/>
    <mergeCell ref="J114:Q114"/>
    <mergeCell ref="J116:Q116"/>
    <mergeCell ref="J104:Q104"/>
    <mergeCell ref="J108:Q108"/>
    <mergeCell ref="J106:Q106"/>
    <mergeCell ref="J60:Q60"/>
    <mergeCell ref="J70:Q70"/>
    <mergeCell ref="J68:Q68"/>
    <mergeCell ref="J86:Q86"/>
    <mergeCell ref="J88:Q88"/>
    <mergeCell ref="J95:Q95"/>
  </mergeCells>
  <conditionalFormatting sqref="J74:Q74 J76:Q76 J78:Q78">
    <cfRule type="expression" dxfId="253" priority="1">
      <formula>$J$74=AD_Labsize03</formula>
    </cfRule>
  </conditionalFormatting>
  <conditionalFormatting sqref="J92:Q92 J94:Q94 J95">
    <cfRule type="expression" dxfId="252" priority="17" stopIfTrue="1">
      <formula>AND(AD_MultiRes_option01=AD_no,AD_MultiRes_option02&gt;0)</formula>
    </cfRule>
  </conditionalFormatting>
  <dataValidations xWindow="1110" yWindow="613" count="45">
    <dataValidation type="list" allowBlank="1" showInputMessage="1" showErrorMessage="1" sqref="Z211" xr:uid="{00000000-0002-0000-0000-000000000000}">
      <formula1>$Z$209:$Z$210</formula1>
    </dataValidation>
    <dataValidation allowBlank="1" showInputMessage="1" showErrorMessage="1" prompt="Please state the company name." sqref="J106:K106 J102:K102 J104:K104 J100:K100 J98:K98" xr:uid="{00000000-0002-0000-0000-000001000000}"/>
    <dataValidation allowBlank="1" showInputMessage="1" showErrorMessage="1" prompt="Please state the individual BREEAM AP's name and company name  e.g. Joe Bloggs (AP Services Ltd)" sqref="J108:K108" xr:uid="{00000000-0002-0000-0000-000002000000}"/>
    <dataValidation allowBlank="1" showInputMessage="1" showErrorMessage="1" prompt="Please state the company name and their role on the project e.g. JB Consulting Services (project ecologist)" sqref="J112:K112 J110:K110 J114:K114 J116:K116" xr:uid="{00000000-0002-0000-0000-000003000000}"/>
    <dataValidation type="list" allowBlank="1" showInputMessage="1" showErrorMessage="1" error="Invalid data entry, please retry." sqref="J65:K65 J67:K67 J79:K79 J81:K81 J85:K85" xr:uid="{00000000-0002-0000-0000-000004000000}">
      <formula1>$Z$174:$Z$176</formula1>
    </dataValidation>
    <dataValidation type="list" showInputMessage="1" showErrorMessage="1" error="Invalid data entry, please retry." sqref="J89:Q89" xr:uid="{00000000-0002-0000-0000-000005000000}">
      <formula1>AD_INDoption_YesNo_list</formula1>
    </dataValidation>
    <dataValidation type="list" allowBlank="1" showInputMessage="1" showErrorMessage="1" error="Invalid data entry, please retry." sqref="J79:K79 J81:K81 J85:K85" xr:uid="{00000000-0002-0000-0000-000006000000}">
      <formula1>$Z$174:$Z$175</formula1>
    </dataValidation>
    <dataValidation type="list" allowBlank="1" showInputMessage="1" showErrorMessage="1" error="Invalid data entry, please retry." sqref="J75:Q75" xr:uid="{00000000-0002-0000-0000-000007000000}">
      <formula1>$Z$179:$Z$181</formula1>
    </dataValidation>
    <dataValidation type="list" allowBlank="1" showInputMessage="1" showErrorMessage="1" error="Invalid data entry, please retry." sqref="J69:K69" xr:uid="{00000000-0002-0000-0000-000008000000}">
      <formula1>$Z$170:$Z$172</formula1>
    </dataValidation>
    <dataValidation type="list" allowBlank="1" showErrorMessage="1" error="Please review, your data entry is invalid." sqref="J36:Q36" xr:uid="{00000000-0002-0000-0000-000009000000}">
      <formula1>$AD$150:$AD$155</formula1>
    </dataValidation>
    <dataValidation type="list" allowBlank="1" showInputMessage="1" showErrorMessage="1" error="Invalid data entry, please re-try" sqref="J44:K44" xr:uid="{00000000-0002-0000-0000-00000A000000}">
      <formula1>$Z$188</formula1>
    </dataValidation>
    <dataValidation allowBlank="1" showInputMessage="1" showErrorMessage="1" error="Invalid data entry, please re-try" sqref="J46:Q46" xr:uid="{00000000-0002-0000-0000-00000B000000}"/>
    <dataValidation allowBlank="1" showInputMessage="1" showErrorMessage="1" prompt="This is the building name that will appear on the BREEAM certificate and GreenBook Live listing. If you are unable to confirm this information at present, then enter &quot;to be confirmed&quot; in this field (and confirm at a later date, prior to report submission)" sqref="J20:Q20" xr:uid="{00000000-0002-0000-0000-00000C000000}"/>
    <dataValidation allowBlank="1" showInputMessage="1" showErrorMessage="1" prompt="This is the building address that will appear on the BREEAM certificate and GreenBook Live listing." sqref="B27:I27 L23:Q23 L25:Q25 L27:Q27 B23:I23 B25:I25 J32:K32 J23:K25 J27:K28" xr:uid="{00000000-0002-0000-0000-00000D000000}"/>
    <dataValidation allowBlank="1" showInputMessage="1" showErrorMessage="1" prompt="This is a unique reference number supplied by BRE at project registration. If you wish to use this tool to begin an assessment but do not have a reference number, then enter &quot;to be confirmed&quot; in this field (and enter the reference number at a later date)." sqref="J7:Q7" xr:uid="{00000000-0002-0000-0000-00000E000000}"/>
    <dataValidation type="list" allowBlank="1" showInputMessage="1" showErrorMessage="1" prompt="These location types are those used in the Department of Transport's National Travel Survey (NTS). See notes and definitions of the NTS for further description www.dft.gov.uk" sqref="J54:Q54" xr:uid="{00000000-0002-0000-0000-00000F000000}">
      <formula1>AD_location_list</formula1>
    </dataValidation>
    <dataValidation allowBlank="1" showErrorMessage="1" errorTitle="BREEAM" error="Incorrect entry, please re-try." sqref="J34:Q34" xr:uid="{00000000-0002-0000-0000-000010000000}"/>
    <dataValidation type="list" allowBlank="1" showInputMessage="1" showErrorMessage="1" error="Invalid data entry, please retry." prompt="Select the relevant BREEAM 2014 version technical manual issue used for this assessment. Where more than one issue of the 2014 version has been used throughout the assessment, select the most recent issue used for the assessment." sqref="J48:Q48" xr:uid="{00000000-0002-0000-0000-000011000000}">
      <formula1>$Z$229</formula1>
    </dataValidation>
    <dataValidation type="list" allowBlank="1" showErrorMessage="1" error="Incorrect entry, please retry." sqref="J50:Q50" xr:uid="{00000000-0002-0000-0000-000012000000}">
      <formula1>IF(ADBT0=ADBT8,$AB$153:$AB$154,AD_project_list)</formula1>
    </dataValidation>
    <dataValidation type="list" allowBlank="1" showErrorMessage="1" error="Incorrect entry, please re-try." sqref="J52:Q52" xr:uid="{00000000-0002-0000-0000-000013000000}">
      <formula1>AD_stage_list</formula1>
    </dataValidation>
    <dataValidation type="list" allowBlank="1" showInputMessage="1" showErrorMessage="1" error="Invalid data entry, please review." sqref="J62:Q62" xr:uid="{00000000-0002-0000-0000-000014000000}">
      <formula1>AD_hotwater_list</formula1>
    </dataValidation>
    <dataValidation type="list" allowBlank="1" showInputMessage="1" showErrorMessage="1" error="Invalid data entry, please retry." sqref="J64:Q64" xr:uid="{00000000-0002-0000-0000-000015000000}">
      <formula1>AD_controls_list</formula1>
    </dataValidation>
    <dataValidation type="list" allowBlank="1" showInputMessage="1" error="Invalid data entry, please retry." prompt="This information determines, in part, the applicability of BREEAM issue Ene07 and the number of credits available for BREEAM issue Hea03." sqref="J78:Q78" xr:uid="{00000000-0002-0000-0000-000016000000}">
      <formula1>AD_YesNo</formula1>
    </dataValidation>
    <dataValidation type="list" allowBlank="1" showInputMessage="1" showErrorMessage="1" error="Invalid data entry, please retry." prompt="This information determines, in part, the applicability of BREEAM issue Ene07." sqref="J74:Q74" xr:uid="{00000000-0002-0000-0000-000017000000}">
      <formula1>AD_Labsize_list</formula1>
    </dataValidation>
    <dataValidation type="list" allowBlank="1" showInputMessage="1" error="Invalid data entry, please retry." prompt="If the building has a mixture of lab space of differeing containment levels, then select the highest contaiment level applicable. e.g. if there are level 1 and 2 category labs then select cat level 2." sqref="J76:Q76" xr:uid="{00000000-0002-0000-0000-000018000000}">
      <formula1>AD_labcat_list</formula1>
    </dataValidation>
    <dataValidation type="list" allowBlank="1" showInputMessage="1" showErrorMessage="1" error="Invalid data entry, please retry." prompt="This information determines the number of credits available for glare control and view out in the BREEAM issue Hea01 for this building type." sqref="J82:Q82 J86:Q86" xr:uid="{00000000-0002-0000-0000-000019000000}">
      <formula1>AD_HCoption_YesNo_list</formula1>
    </dataValidation>
    <dataValidation type="list" showInputMessage="1" showErrorMessage="1" error="Invalid data entry, please retry." sqref="J91:Q91" xr:uid="{00000000-0002-0000-0000-00001A000000}">
      <formula1>AD_MultiRes_option_YesNo</formula1>
    </dataValidation>
    <dataValidation type="list" allowBlank="1" showInputMessage="1" showErrorMessage="1" prompt="This information determines the applicability of BREEAM issue Pol05." sqref="J58:Q58" xr:uid="{00000000-0002-0000-0000-00001C000000}">
      <formula1>AD_heating_list</formula1>
    </dataValidation>
    <dataValidation type="list" allowBlank="1" showInputMessage="1" showErrorMessage="1" prompt="This information determines the applicability of BREEAM issue Pol05" sqref="J60:Q60" xr:uid="{00000000-0002-0000-0000-00001D000000}">
      <formula1>AD_Aircon_list</formula1>
    </dataValidation>
    <dataValidation allowBlank="1" showInputMessage="1" showErrorMessage="1" prompt="If you wish to use this tool to begin an assessment but are unable to confirm this information at present, then enter &quot;to be confirmed&quot; in this field (and confirm at a later date, prior to report submission)." sqref="J9:Q9 J30:Q30" xr:uid="{00000000-0002-0000-0000-00001E000000}"/>
    <dataValidation allowBlank="1" showInputMessage="1" showErrorMessage="1" prompt="This is the address that will appear on the BREEAM certificate and GreenBook Live listing. If you are unable to confirm this information at present, then enter &quot;to be confirmed&quot; in this field (and confirm at a later date, prior to report submission)." sqref="J22:Q22" xr:uid="{00000000-0002-0000-0000-00001F000000}"/>
    <dataValidation allowBlank="1" showInputMessage="1" showErrorMessage="1" prompt="If you wish to use this tool to begin an assessment but are unable to confirm this information at present, then enter an approximate figure and confirm the actual GIA at a later date, prior to report submission." sqref="J40:Q40" xr:uid="{00000000-0002-0000-0000-000020000000}"/>
    <dataValidation allowBlank="1" showInputMessage="1" showErrorMessage="1" prompt="If you wish to use this tool to begin an assessment but are unable to confirm this information at present, then enter an approximate figure and confirm the actual NIFA at a later date, prior to report submission." sqref="J42:Q42" xr:uid="{00000000-0002-0000-0000-000021000000}"/>
    <dataValidation type="list" showInputMessage="1" showErrorMessage="1" error="Invalid data entry, please retry." prompt="This information determines, in part, the applicability of BREEAM issues Pol01 and Pol02 to this building type." sqref="J66:Q66" xr:uid="{00000000-0002-0000-0000-000022000000}">
      <formula1>AD_INDoption_YesNo_list</formula1>
    </dataValidation>
    <dataValidation type="list" showInputMessage="1" showErrorMessage="1" error="Invalid data entry, please retry." prompt="This information determines the applicability of BREEAM issues Hea02 and, in part, Hea04, Pol01 and Pol02 and the number of available credits for issue Pol02 for this building type." sqref="J84:Q84" xr:uid="{00000000-0002-0000-0000-000023000000}">
      <formula1>AD_INDoption_YesNo_list</formula1>
    </dataValidation>
    <dataValidation type="list" allowBlank="1" showInputMessage="1" showErrorMessage="1" error="Invalid data entry, please retry." prompt="This information determines the applicability of BREEAM issue Ene05." sqref="J70:Q70" xr:uid="{00000000-0002-0000-0000-000024000000}">
      <formula1>AD_YesNo</formula1>
    </dataValidation>
    <dataValidation type="list" allowBlank="1" showInputMessage="1" showErrorMessage="1" error="Invalid data entry, please retry." prompt="This information determines, in part, the applicability of BREEAM issue Wat04." sqref="J80:Q80" xr:uid="{00000000-0002-0000-0000-000025000000}">
      <formula1>AD_YesNo</formula1>
    </dataValidation>
    <dataValidation type="list" allowBlank="1" showInputMessage="1" showErrorMessage="1" error="Invalid data entry, please retry." prompt="This information determines the applicability of BREEAM issue Ene06." sqref="J72:Q72" xr:uid="{00000000-0002-0000-0000-000026000000}">
      <formula1>AD_YesNo</formula1>
    </dataValidation>
    <dataValidation type="list" showInputMessage="1" showErrorMessage="1" error="Invalid data entry, please retry." prompt="This information is used by the Ene01 calculator to determine how the Ene01 credits should be assessed for buildings with self-contained dwellings,and therefore complying with Building Regulation Part L1a, and communal areas (Part L2a)." sqref="J90:Q90" xr:uid="{00000000-0002-0000-0000-000027000000}">
      <formula1>AD_MultiRes_option_YesNo</formula1>
    </dataValidation>
    <dataValidation type="list" showInputMessage="1" showErrorMessage="1" error="Invalid data entry, please retry." prompt="This information determines, in part, the applicability of BREEAM issues Pol01 and Pol02 to this building type." sqref="J68:Q68" xr:uid="{00000000-0002-0000-0000-00002A000000}">
      <formula1>AD_YesNo_list</formula1>
    </dataValidation>
    <dataValidation type="list" allowBlank="1" showErrorMessage="1" error="Please review, your data entry is invalid." sqref="J38:Q38" xr:uid="{00000000-0002-0000-0000-00002B000000}">
      <formula1>IF(OR(ADBT0="Office",ADBT0="Industrial",ADBT0="Retail",ADBT0="Education",ADBT0="Residential Institution",ADBT0="Residential"),INDIRECT(ADBT0),$AD$178:$AD$179)</formula1>
    </dataValidation>
    <dataValidation type="list" showInputMessage="1" showErrorMessage="1" error="Invalid data entry, please retry." promptTitle="Internal lighting" prompt="This information determines the number of credits available for BREEAM issue Ene 03 for residential building types." sqref="J88:Q88" xr:uid="{00000000-0002-0000-0000-00002C000000}">
      <formula1>AD_ene03_opt</formula1>
    </dataValidation>
    <dataValidation type="list" allowBlank="1" showInputMessage="1" prompt="This information is used by the Ene01 calculator to determine how the Ene01 credits should be assessed for buildings with self-contained dwellings,and therefore complying with Building Regulation Part L1a, and communal areas (Part L2a)." sqref="J92:Q92 J94:Q94" xr:uid="{00000000-0002-0000-0000-00001B000000}">
      <formula1>AD_percentage</formula1>
    </dataValidation>
    <dataValidation type="list" allowBlank="1" showInputMessage="1" prompt="This information is used by the Ene01 calculator to determine how the Ene01 credits should be assessed for buildings with self-contained dwellings,and therefore complying with Building Regulation Part L1a, and communal areas (Part L2a)." sqref="J95:Q95" xr:uid="{C3CC0EDC-4C2C-4E9E-A532-E05ADF48741C}">
      <formula1>AD_INDoption_YesNo_list</formula1>
    </dataValidation>
    <dataValidation type="list" showErrorMessage="1" error="Invalid data entry, please retry." prompt="This information determines, in part, the applicability of BREEAM issues Pol01 and Pol02 to this building type." sqref="J93:Q93" xr:uid="{1EA74DF6-9A3A-4608-9532-BF661D3FBBB4}">
      <formula1>IF(ADBT0=ADBT8,AD_option_na,IF(OR(ADPT=ADPT03,ADPT=ADPT02),AD_YesNo,$Z$238))</formula1>
    </dataValidation>
  </dataValidations>
  <printOptions horizontalCentered="1"/>
  <pageMargins left="1.0236220472440944" right="0.31496062992125984" top="0.6692913385826772" bottom="0.15748031496062992" header="0.27559055118110237" footer="0.15748031496062992"/>
  <pageSetup paperSize="9" scale="44" orientation="portrait" errors="blank" r:id="rId1"/>
  <headerFooter>
    <oddHeader>&amp;R&amp;G</oddHeader>
    <oddFooter xml:space="preserve">&amp;LBuilding Details&amp;C&amp;D&amp;RSection 1 - Page &amp;P </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249977111117893"/>
    <pageSetUpPr fitToPage="1"/>
  </sheetPr>
  <dimension ref="A1:AK140"/>
  <sheetViews>
    <sheetView zoomScale="70" zoomScaleNormal="70" workbookViewId="0">
      <selection activeCell="J19" sqref="J19"/>
    </sheetView>
  </sheetViews>
  <sheetFormatPr defaultColWidth="0" defaultRowHeight="15" zeroHeight="1" x14ac:dyDescent="0.25"/>
  <cols>
    <col min="1" max="1" width="2.7109375" style="3" customWidth="1"/>
    <col min="2" max="2" width="3.140625" style="3" customWidth="1"/>
    <col min="3" max="3" width="14.7109375" style="3" customWidth="1"/>
    <col min="4" max="4" width="15.28515625" style="3" customWidth="1"/>
    <col min="5" max="5" width="0.5703125" style="3" customWidth="1"/>
    <col min="6" max="6" width="15.5703125" style="3" customWidth="1"/>
    <col min="7" max="7" width="0.7109375" style="3" customWidth="1"/>
    <col min="8" max="8" width="15.28515625" style="3" customWidth="1"/>
    <col min="9" max="9" width="0.5703125" style="3" customWidth="1"/>
    <col min="10" max="10" width="15.28515625" style="3" customWidth="1"/>
    <col min="11" max="11" width="0.5703125" style="3" customWidth="1"/>
    <col min="12" max="12" width="15.28515625" style="3" customWidth="1"/>
    <col min="13" max="13" width="0.5703125" style="3" customWidth="1"/>
    <col min="14" max="14" width="15.7109375" style="3" customWidth="1"/>
    <col min="15" max="15" width="0.5703125" style="3" customWidth="1"/>
    <col min="16" max="16" width="15.28515625" style="3" customWidth="1"/>
    <col min="17" max="17" width="0.5703125" style="3" customWidth="1"/>
    <col min="18" max="18" width="15.28515625" style="3" customWidth="1"/>
    <col min="19" max="23" width="15.7109375" style="3" customWidth="1"/>
    <col min="24" max="25" width="9.140625" style="3" customWidth="1"/>
    <col min="26" max="26" width="9.140625" style="3" hidden="1" customWidth="1"/>
    <col min="27" max="27" width="36.42578125" style="106" hidden="1" customWidth="1"/>
    <col min="28" max="37" width="9.140625" style="106" hidden="1" customWidth="1"/>
    <col min="38" max="38" width="9.140625" style="3" hidden="1" customWidth="1"/>
    <col min="39" max="16384" width="9.140625" style="3" hidden="1"/>
  </cols>
  <sheetData>
    <row r="1" spans="2:27" ht="15" customHeight="1" x14ac:dyDescent="0.25"/>
    <row r="2" spans="2:27" ht="36" customHeight="1" x14ac:dyDescent="0.25">
      <c r="B2" s="341" t="str">
        <f>IF(OR(projecttype='Assessment Details'!Z209,projecttype=""),"BREEAM SE New Construction 2017 Assessment Report: Rating &amp; Key Performance Indicators","BREEAM SE Bespoke  New Construction 2017 Assessment Report: Rating &amp; Key Performance Indicators")</f>
        <v>BREEAM SE New Construction 2017 Assessment Report: Rating &amp; Key Performance Indicators</v>
      </c>
      <c r="C2" s="341"/>
      <c r="D2" s="213"/>
      <c r="E2" s="213"/>
      <c r="F2" s="213"/>
      <c r="G2" s="213"/>
      <c r="H2" s="213"/>
      <c r="I2" s="213"/>
      <c r="J2" s="213"/>
      <c r="K2" s="213"/>
      <c r="L2" s="213"/>
      <c r="M2" s="213"/>
      <c r="N2" s="213"/>
      <c r="O2" s="213"/>
      <c r="P2" s="213"/>
      <c r="Q2" s="213"/>
      <c r="R2" s="213"/>
      <c r="S2" s="11"/>
    </row>
    <row r="3" spans="2:27" ht="15" customHeight="1" x14ac:dyDescent="0.25">
      <c r="B3" s="290" t="str">
        <f>IF(AD_Mandatory_fields_text=AIS_statement09,"Warning: All Mandatory fields in the assessment details worksheet must be completed/defined to reveal the BREEAM rating andKey Performance Indicators.","")</f>
        <v>Warning: All Mandatory fields in the assessment details worksheet must be completed/defined to reveal the BREEAM rating andKey Performance Indicators.</v>
      </c>
      <c r="C3" s="47"/>
    </row>
    <row r="4" spans="2:27" ht="39.950000000000003" customHeight="1" x14ac:dyDescent="0.3">
      <c r="B4" s="367" t="s">
        <v>169</v>
      </c>
      <c r="C4" s="24"/>
      <c r="D4" s="13"/>
      <c r="E4" s="13"/>
      <c r="F4" s="22"/>
      <c r="G4" s="22"/>
      <c r="H4" s="22"/>
      <c r="I4" s="22"/>
      <c r="J4" s="22"/>
      <c r="K4" s="22"/>
      <c r="L4" s="22"/>
      <c r="M4" s="22"/>
      <c r="N4" s="22"/>
      <c r="O4" s="22"/>
      <c r="P4" s="22"/>
      <c r="Q4" s="22"/>
      <c r="R4" s="22"/>
    </row>
    <row r="5" spans="2:27" ht="15" customHeight="1" x14ac:dyDescent="0.25"/>
    <row r="6" spans="2:27" ht="18" customHeight="1" x14ac:dyDescent="0.25">
      <c r="B6" s="342"/>
      <c r="C6" s="342"/>
      <c r="D6" s="212" t="s">
        <v>9</v>
      </c>
      <c r="F6" s="226" t="str">
        <f>IF(ISBLANK(ADBN),"",ADBN)</f>
        <v/>
      </c>
      <c r="G6" s="33"/>
      <c r="H6" s="12"/>
      <c r="I6" s="12"/>
      <c r="J6" s="12"/>
      <c r="K6" s="12"/>
      <c r="L6" s="12"/>
      <c r="M6" s="12"/>
      <c r="N6" s="12"/>
      <c r="O6" s="12"/>
      <c r="P6" s="12"/>
      <c r="Q6" s="12"/>
      <c r="R6" s="12"/>
    </row>
    <row r="7" spans="2:27" ht="3" customHeight="1" x14ac:dyDescent="0.25">
      <c r="F7" s="215"/>
      <c r="G7" s="14"/>
    </row>
    <row r="8" spans="2:27" ht="18" customHeight="1" x14ac:dyDescent="0.25">
      <c r="B8" s="222"/>
      <c r="C8" s="222"/>
      <c r="D8" s="212" t="s">
        <v>170</v>
      </c>
      <c r="F8" s="226" t="str">
        <f>IF(ISERROR(IF(AD_Mandatory_fields_text=AIS_statement09,"",IF(AIS_MinStand_rating_check=AIS_No,VLOOKUP(AIS_MinStandMin,AIS_MinSt_benchmarks,3,FALSE),IF(AIS_MinStand_rating_check=AIS_Yes,VLOOKUP(AIS_BREEAM_rating_level,AIS_MinSt_benchmarks,3,FALSE))))),AIS_statement49,IF(AD_Mandatory_fields_text=AIS_statement09,"",IF(AIS_MinStand_rating_check=AIS_No,VLOOKUP(AIS_MinStandMin,AIS_MinSt_benchmarks,3,FALSE),IF(AIS_MinStand_rating_check=AIS_Yes,VLOOKUP(AIS_BREEAM_rating_level,AIS_MinSt_benchmarks,3,FALSE)))) )</f>
        <v/>
      </c>
      <c r="G8" s="33"/>
      <c r="H8" s="62" t="str">
        <f>IF(ISERROR(IF(AIS_MinStand_rating_check=AIS_No,"Note: the BREEAM rating has been pegged back to the minimum standards level achieved","")),"",IF(AIS_MinStand_rating_check=AIS_No,"Note: the BREEAM rating has been pegged back to the minimum standards level achieved",""))</f>
        <v/>
      </c>
      <c r="I8" s="12"/>
      <c r="J8" s="12"/>
      <c r="K8" s="12"/>
      <c r="L8" s="12"/>
      <c r="M8" s="12"/>
      <c r="N8" s="12"/>
      <c r="O8" s="12"/>
      <c r="P8" s="12"/>
      <c r="Q8" s="12"/>
      <c r="R8" s="12"/>
      <c r="S8" s="709" t="str">
        <f>IF(BP_BREEAMRating=AIS_statement49,"Note: BREEAM issue Tra03 requires building type definition in order to define the number of credits available for the transport section. Please define for Tra03 in the Assessment Issue Scoring worksheet.","")</f>
        <v/>
      </c>
      <c r="T8" s="709"/>
      <c r="U8" s="709"/>
      <c r="V8" s="709"/>
      <c r="W8" s="709"/>
      <c r="X8" s="709"/>
      <c r="Y8" s="709"/>
      <c r="Z8" s="709"/>
      <c r="AA8" s="534"/>
    </row>
    <row r="9" spans="2:27" ht="3" customHeight="1" x14ac:dyDescent="0.25">
      <c r="D9" s="44"/>
      <c r="F9" s="215"/>
      <c r="G9" s="14"/>
      <c r="S9" s="709"/>
      <c r="T9" s="709"/>
      <c r="U9" s="709"/>
      <c r="V9" s="709"/>
      <c r="W9" s="709"/>
      <c r="X9" s="709"/>
      <c r="Y9" s="709"/>
      <c r="Z9" s="709"/>
      <c r="AA9" s="534"/>
    </row>
    <row r="10" spans="2:27" ht="18" customHeight="1" x14ac:dyDescent="0.25">
      <c r="B10" s="222"/>
      <c r="C10" s="222"/>
      <c r="D10" s="212" t="s">
        <v>171</v>
      </c>
      <c r="F10" s="691" t="str">
        <f>IF(AA10&lt;&gt;"",ROUNDDOWN(AA10,3),"")</f>
        <v/>
      </c>
      <c r="G10" s="31"/>
      <c r="H10" s="12"/>
      <c r="I10" s="12"/>
      <c r="J10" s="12"/>
      <c r="K10" s="12"/>
      <c r="L10" s="12"/>
      <c r="M10" s="12"/>
      <c r="N10" s="12"/>
      <c r="O10" s="12"/>
      <c r="P10" s="12"/>
      <c r="Q10" s="12"/>
      <c r="R10" s="12"/>
      <c r="S10" s="709"/>
      <c r="T10" s="709"/>
      <c r="U10" s="709"/>
      <c r="V10" s="709"/>
      <c r="W10" s="709"/>
      <c r="X10" s="709"/>
      <c r="Y10" s="709"/>
      <c r="Z10" s="709"/>
      <c r="AA10" s="614" t="str">
        <f>IF(ISERROR(IF(AD_Mandatory_fields_text=AIS_statement09,"",IF(SUM(BP_Man_score+BP_HW_score+BP_Energy_score+BP_Trans_score+BP_Water_score+BP_Materials_score+BP_Waste_Score+BP_LUE_score+BP_Pollution_score+BP_Innovation_score)&gt;1,1,(SUM(BP_Man_score+BP_HW_score+BP_Energy_score+BP_Trans_score+BP_Water_score+BP_Materials_score+BP_Waste_Score+BP_LUE_score+BP_Pollution_score+BP_Innovation_score))))),AIS_statement49,IF(AD_Mandatory_fields_text=AIS_statement09,"",IF(SUM(BP_Man_score+BP_HW_score+BP_Energy_score+BP_Trans_score+BP_Water_score+BP_Materials_score+BP_Waste_Score+BP_LUE_score+BP_Pollution_score+BP_Innovation_score)&gt;1,1,(SUM(BP_Man_score+BP_HW_score+BP_Energy_score+BP_Trans_score+BP_Water_score+BP_Materials_score+BP_Waste_Score+BP_LUE_score+BP_Pollution_score+BP_Innovation_score)))))</f>
        <v/>
      </c>
    </row>
    <row r="11" spans="2:27" ht="3" customHeight="1" x14ac:dyDescent="0.25">
      <c r="D11" s="44"/>
      <c r="F11" s="215"/>
      <c r="G11" s="14"/>
      <c r="S11" s="709"/>
      <c r="T11" s="709"/>
      <c r="U11" s="709"/>
      <c r="V11" s="709"/>
      <c r="W11" s="709"/>
      <c r="X11" s="709"/>
      <c r="Y11" s="709"/>
      <c r="Z11" s="709"/>
      <c r="AA11" s="534"/>
    </row>
    <row r="12" spans="2:27" ht="18" customHeight="1" x14ac:dyDescent="0.25">
      <c r="B12" s="222"/>
      <c r="C12" s="222"/>
      <c r="D12" s="212" t="s">
        <v>172</v>
      </c>
      <c r="F12" s="227" t="str">
        <f>IF(AD_Mandatory_fields_text=AIS_statement09,"",VLOOKUP(AIS_MinStandMin,AIS_MinSt_benchmarks,2,FALSE))</f>
        <v/>
      </c>
      <c r="G12" s="15"/>
      <c r="H12" s="12"/>
      <c r="I12" s="12"/>
      <c r="J12" s="12"/>
      <c r="K12" s="12"/>
      <c r="L12" s="12"/>
      <c r="M12" s="12"/>
      <c r="N12" s="12"/>
      <c r="O12" s="12"/>
      <c r="P12" s="12"/>
      <c r="Q12" s="12"/>
      <c r="R12" s="12"/>
      <c r="S12" s="709"/>
      <c r="T12" s="709"/>
      <c r="U12" s="709"/>
      <c r="V12" s="709"/>
      <c r="W12" s="709"/>
      <c r="X12" s="709"/>
      <c r="Y12" s="709"/>
      <c r="Z12" s="709"/>
      <c r="AA12" s="534"/>
    </row>
    <row r="13" spans="2:27" ht="33" customHeight="1" x14ac:dyDescent="0.3">
      <c r="B13" s="367" t="s">
        <v>173</v>
      </c>
      <c r="C13" s="24"/>
      <c r="D13" s="13"/>
      <c r="E13" s="13"/>
      <c r="F13" s="22"/>
      <c r="G13" s="22"/>
      <c r="H13" s="22"/>
      <c r="I13" s="22"/>
      <c r="J13" s="22"/>
      <c r="K13" s="22"/>
      <c r="L13" s="22"/>
      <c r="M13" s="22"/>
      <c r="N13" s="22"/>
      <c r="O13" s="22"/>
      <c r="P13" s="22"/>
      <c r="Q13" s="22"/>
      <c r="R13" s="22"/>
      <c r="S13" s="731" t="e">
        <f>IF(SUM(BP_Man_score+BP_HW_score+BP_Energy_score+BP_Trans_score+BP_Water_score+BP_Materials_score+BP_Waste_Score+BP_LUE_score+BP_Pollution_score+BP_Innovation_score)&gt;1,AIS_statement_113,"")</f>
        <v>#N/A</v>
      </c>
      <c r="T13" s="731"/>
      <c r="U13" s="731"/>
      <c r="V13" s="731"/>
      <c r="W13" s="731"/>
      <c r="X13" s="731"/>
      <c r="Y13" s="731"/>
      <c r="Z13" s="731"/>
      <c r="AA13" s="106" t="s">
        <v>174</v>
      </c>
    </row>
    <row r="14" spans="2:27" ht="408.75" customHeight="1" x14ac:dyDescent="0.25">
      <c r="B14" s="730"/>
      <c r="C14" s="730"/>
      <c r="D14" s="730"/>
      <c r="E14" s="730"/>
      <c r="F14" s="730"/>
      <c r="G14" s="730"/>
      <c r="H14" s="730"/>
      <c r="I14" s="730"/>
      <c r="J14" s="730"/>
      <c r="K14" s="730"/>
      <c r="L14" s="730"/>
      <c r="M14" s="730"/>
      <c r="N14" s="730"/>
      <c r="O14" s="730"/>
      <c r="P14" s="730"/>
      <c r="Q14" s="730"/>
      <c r="R14" s="730"/>
    </row>
    <row r="15" spans="2:27" ht="111.6" customHeight="1" x14ac:dyDescent="0.25">
      <c r="B15" s="265" t="s">
        <v>175</v>
      </c>
      <c r="C15" s="265"/>
      <c r="D15" s="21"/>
      <c r="E15" s="21"/>
      <c r="F15" s="21"/>
      <c r="G15" s="21"/>
      <c r="H15" s="21"/>
      <c r="I15" s="21"/>
      <c r="J15" s="220" t="s">
        <v>176</v>
      </c>
      <c r="K15" s="220"/>
      <c r="L15" s="220" t="s">
        <v>177</v>
      </c>
      <c r="M15" s="220"/>
      <c r="N15" s="220" t="s">
        <v>178</v>
      </c>
      <c r="O15" s="21"/>
      <c r="P15" s="220" t="s">
        <v>179</v>
      </c>
      <c r="Q15" s="21"/>
      <c r="R15" s="220" t="s">
        <v>180</v>
      </c>
    </row>
    <row r="16" spans="2:27" ht="3" hidden="1" customHeight="1" x14ac:dyDescent="0.25">
      <c r="B16" s="32"/>
      <c r="C16" s="32"/>
      <c r="J16" s="26"/>
      <c r="K16" s="26"/>
      <c r="L16" s="26"/>
      <c r="M16" s="26"/>
      <c r="N16" s="26"/>
      <c r="P16" s="26"/>
      <c r="R16" s="26"/>
    </row>
    <row r="17" spans="2:27" ht="18" customHeight="1" x14ac:dyDescent="0.25">
      <c r="B17" s="371"/>
      <c r="C17" s="371"/>
      <c r="D17" s="371"/>
      <c r="E17" s="371"/>
      <c r="F17" s="213"/>
      <c r="G17" s="213"/>
      <c r="H17" s="212" t="s">
        <v>181</v>
      </c>
      <c r="I17" s="21"/>
      <c r="J17" s="216">
        <f>Man01_credits+Man02_credits+Man03_credits+Man04_credits+IF(Man05_credits=AIS_NA,0,Man05_credits)+IF(Man06_credits=AIS_NA,0,Man06_credits)</f>
        <v>23</v>
      </c>
      <c r="K17" s="252"/>
      <c r="L17" s="216">
        <f>Man01_Tot+Man02_Tot+Man03_Tot+Man04_tot+IF(Man05_tot=AIS_NA,0,Man05_tot)+IF(Man06_tot=AIS_NA,0,Man06_tot)</f>
        <v>0</v>
      </c>
      <c r="M17" s="252"/>
      <c r="N17" s="217">
        <f>BP_11/BP_01</f>
        <v>0</v>
      </c>
      <c r="O17" s="252"/>
      <c r="P17" s="217">
        <f>IFERROR(IF(ADBT0&lt;&gt;ADBT8,VLOOKUP(ADPT,Non_Resi_Weight,2,FALSE),IF(ADBT_sub01=ADBT_sub28,VLOOKUP(ADPT,S_Resi_Weight,2,FALSE),VLOOKUP(ADPT,M_Resi_Weight,2,FALSE))),0)</f>
        <v>0</v>
      </c>
      <c r="Q17" s="252"/>
      <c r="R17" s="217">
        <f>BP_32*BP_22</f>
        <v>0</v>
      </c>
      <c r="S17" s="21" t="str">
        <f>IF(ADPT="","Note:  Project Type must be selected in Assessment Details to define the weightings","")</f>
        <v>Note:  Project Type must be selected in Assessment Details to define the weightings</v>
      </c>
    </row>
    <row r="18" spans="2:27" ht="3" customHeight="1" x14ac:dyDescent="0.25">
      <c r="H18" s="21"/>
      <c r="I18" s="21"/>
      <c r="J18" s="252"/>
      <c r="K18" s="252"/>
      <c r="L18" s="252"/>
      <c r="M18" s="252"/>
      <c r="N18" s="252"/>
      <c r="O18" s="252"/>
      <c r="P18" s="370"/>
      <c r="Q18" s="252"/>
      <c r="R18" s="297"/>
    </row>
    <row r="19" spans="2:27" ht="18" customHeight="1" x14ac:dyDescent="0.25">
      <c r="B19" s="371"/>
      <c r="C19" s="371"/>
      <c r="D19" s="371"/>
      <c r="E19" s="371"/>
      <c r="F19" s="213"/>
      <c r="G19" s="213"/>
      <c r="H19" s="212" t="s">
        <v>182</v>
      </c>
      <c r="I19" s="21"/>
      <c r="J19" s="216">
        <f>Hea01_credits+IF(Hea02_credits=AIS_NA,0,Hea02_credits)+IF(Hea03_credits=AIS_NA,0,Hea03_credits)+IF(Hea04_credits=AIS_NA,0,Hea04_credits)+Hea05_credits+Hea06_credits+IF(Hea08_credits=AIS_NA,0,Hea08_credits)+IF(Hea09_credits=AIS_NA,0,Hea09_credits)+Hea10_credits</f>
        <v>17</v>
      </c>
      <c r="K19" s="252"/>
      <c r="L19" s="216">
        <f>Hea01_tot+IF(Hea02_tot=AIS_NA,0,Hea02_tot)+IF(Hea03_tot=AIS_NA,0,Hea03_tot)+IF(Hea04_tot=AIS_NA,0,Hea04_tot)+Hea05_tot+Hea06_tot+IF(Hea08_tot=AIS_NA,0,Hea08_tot)+Hea09_tot+Hea10_tot</f>
        <v>2</v>
      </c>
      <c r="M19" s="252"/>
      <c r="N19" s="217">
        <f>BP_12/BP_02</f>
        <v>0.11764705882352941</v>
      </c>
      <c r="O19" s="252"/>
      <c r="P19" s="217">
        <f>IFERROR(IF(ADBT0&lt;&gt;ADBT8,VLOOKUP(ADPT,Non_Resi_Weight,3,FALSE),IF(ADBT_sub01=ADBT_sub28,VLOOKUP(ADPT,S_Resi_Weight,3,FALSE),VLOOKUP(ADPT,M_Resi_Weight,3,FALSE))),0)</f>
        <v>0</v>
      </c>
      <c r="Q19" s="252"/>
      <c r="R19" s="217">
        <f>BP_33*BP_23</f>
        <v>0</v>
      </c>
    </row>
    <row r="20" spans="2:27" ht="3" customHeight="1" x14ac:dyDescent="0.25">
      <c r="H20" s="21"/>
      <c r="I20" s="21"/>
      <c r="J20" s="252"/>
      <c r="K20" s="252"/>
      <c r="L20" s="252"/>
      <c r="M20" s="252"/>
      <c r="N20" s="252"/>
      <c r="O20" s="252"/>
      <c r="P20" s="370"/>
      <c r="Q20" s="252"/>
      <c r="R20" s="297"/>
    </row>
    <row r="21" spans="2:27" ht="18" customHeight="1" x14ac:dyDescent="0.25">
      <c r="B21" s="371"/>
      <c r="C21" s="371"/>
      <c r="D21" s="371"/>
      <c r="E21" s="371"/>
      <c r="F21" s="213"/>
      <c r="G21" s="213"/>
      <c r="H21" s="212" t="s">
        <v>183</v>
      </c>
      <c r="I21" s="21"/>
      <c r="J21" s="216">
        <f>Ene01_credits+IF(Ene02_credits=AIS_NA,0,Ene02_credits)+IF(Ene02b_credits=AIS_NA,0,Ene02b_credits)+Ene03_credits+Ene04_credits+IF(Ene08_credits=AIS_NA,0,Ene08_credits)+IF(Ene05_credits=AIS_NA,0,Ene05_credits)+IF(Ene06_credits=AIS_NA,0,Ene06_credits)+IF(Ene07_credits=AIS_NA,0,Ene07_credits)+IF(Ene09_credits=AIS_NA,0,Ene09_credits)</f>
        <v>27</v>
      </c>
      <c r="K21" s="252"/>
      <c r="L21" s="216">
        <f>SEne01_Tot+IF(Ene02_tot=AIS_NA,0,Ene02_tot)+IF(Ene02b_tot=AIS_NA,0,Ene02b_tot)+Ene03_tot+Ene04_tot+IF(Ene05_tot=AIS_NA,0,Ene05_tot)+IF(Ene06_tot=AIS_NA,0,Ene06_tot)+IF(Ene07_tot=AIS_NA,0,Ene07_tot)+IF(Ene08_tot=AIS_NA,0,Ene08_tot)+IF(Ene09_tot=AIS_NA,0,Ene09_tot)</f>
        <v>0</v>
      </c>
      <c r="M21" s="252"/>
      <c r="N21" s="217">
        <f>BP_13/BP_03</f>
        <v>0</v>
      </c>
      <c r="O21" s="252"/>
      <c r="P21" s="217" t="e">
        <f>IF(ADBT0&lt;&gt;ADBT8,VLOOKUP(ADPT,Non_Resi_Weight,4,FALSE),IF(ADBT_sub01=ADBT_sub28,VLOOKUP(ADPT,S_Resi_Weight,4,FALSE),VLOOKUP(ADPT,M_Resi_Weight,4,FALSE)))</f>
        <v>#N/A</v>
      </c>
      <c r="Q21" s="252"/>
      <c r="R21" s="217" t="e">
        <f>BP_34*BP_24</f>
        <v>#N/A</v>
      </c>
    </row>
    <row r="22" spans="2:27" ht="3" customHeight="1" x14ac:dyDescent="0.25">
      <c r="H22" s="21"/>
      <c r="I22" s="21"/>
      <c r="J22" s="252"/>
      <c r="K22" s="252"/>
      <c r="L22" s="252"/>
      <c r="M22" s="252"/>
      <c r="N22" s="297"/>
      <c r="O22" s="252"/>
      <c r="P22" s="370"/>
      <c r="Q22" s="252"/>
      <c r="R22" s="297"/>
    </row>
    <row r="23" spans="2:27" ht="18" customHeight="1" x14ac:dyDescent="0.25">
      <c r="B23" s="371"/>
      <c r="C23" s="371"/>
      <c r="D23" s="371"/>
      <c r="E23" s="371"/>
      <c r="F23" s="213"/>
      <c r="G23" s="213"/>
      <c r="H23" s="212" t="s">
        <v>184</v>
      </c>
      <c r="I23" s="21"/>
      <c r="J23" s="216" t="str">
        <f>IF(ISERROR(Tra01_credits+IF(Tra03_credits=AIS_NA,0,Tra03_credits)+IF(Tra03b_credits=AIS_NA,0,Tra03b_credits)+IF(Tra05_credits=AIS_NA,0,Tra05_credits)+IF(Tra02_credits=AIS_NA,0,Tra02_credits+IF(Tra04_credits=AIS_NA,0,Tra04_credits+IF(Tra06_credits=AIS_NA,0,Tra06_credits)))),AIS_statement49, Tra01_credits+IF(Tra03_credits=AIS_NA,0,Tra03_credits)+IF(Tra03b_credits=AIS_NA,0,Tra03b_credits)+IF(Tra05_credits=AIS_NA,0,Tra05_credits)+IF(Tra02_credits=AIS_NA,0,Tra02_credits)+IF(Tra04_credits=AIS_NA,0,Tra04_credits)+IF(Tra06_credits=AIS_NA,0,Tra06_credits))</f>
        <v>See note</v>
      </c>
      <c r="K23" s="252"/>
      <c r="L23" s="216" t="str">
        <f>IFERROR(Tra01_tot+IF(Tra03_tot=AIS_NA,0,Tra03_tot)+IF(Tra03b_tot=AIS_NA,0,Tra03b_tot)+IF(Tra05_tot=AIS_NA,0,Tra05_tot)+IF(Tra06_tot=AIS_NA,0,Tra06_tot)+IF(Tra02_tot=AIS_NA,0,Tra02_tot)+IF(Tra04_tot=AIS_NA,0,Tra04_tot),"See note")</f>
        <v>See note</v>
      </c>
      <c r="M23" s="252"/>
      <c r="N23" s="217">
        <f>IF(ISERROR(BP_14/BP_04),0,BP_14/BP_04)</f>
        <v>0</v>
      </c>
      <c r="O23" s="252"/>
      <c r="P23" s="217">
        <f>IFERROR(IF(ADBT0&lt;&gt;ADBT8,VLOOKUP(ADPT,Non_Resi_Weight,5,FALSE),IF(ADBT_sub01=ADBT_sub28,VLOOKUP(ADPT,S_Resi_Weight,5,FALSE),VLOOKUP(ADPT,M_Resi_Weight,5,FALSE))),0)</f>
        <v>0</v>
      </c>
      <c r="Q23" s="252"/>
      <c r="R23" s="217">
        <f>AA23</f>
        <v>0</v>
      </c>
      <c r="S23" s="709" t="str">
        <f>IF(BP_04=AIS_statement49,"Note: BREEAM issue Tra01 requires building type definition in order to define the number of credits available for the transport section. Please confirm in Tra01 in the Assessment Issue Scoring worksheet.","")</f>
        <v>Note: BREEAM issue Tra01 requires building type definition in order to define the number of credits available for the transport section. Please confirm in Tra01 in the Assessment Issue Scoring worksheet.</v>
      </c>
      <c r="T23" s="709"/>
      <c r="U23" s="709"/>
      <c r="V23" s="709"/>
      <c r="W23" s="709"/>
      <c r="X23" s="709"/>
      <c r="Y23" s="709"/>
      <c r="Z23" s="709"/>
      <c r="AA23" s="534">
        <f>IF(ISERROR(BP_35*BP_25),"",BP_35*BP_25)</f>
        <v>0</v>
      </c>
    </row>
    <row r="24" spans="2:27" ht="3" customHeight="1" x14ac:dyDescent="0.25">
      <c r="H24" s="21"/>
      <c r="I24" s="21"/>
      <c r="J24" s="252"/>
      <c r="K24" s="252"/>
      <c r="L24" s="252"/>
      <c r="M24" s="252"/>
      <c r="N24" s="297"/>
      <c r="O24" s="252"/>
      <c r="P24" s="370"/>
      <c r="Q24" s="252"/>
      <c r="R24" s="297"/>
      <c r="S24" s="709"/>
      <c r="T24" s="709"/>
      <c r="U24" s="709"/>
      <c r="V24" s="709"/>
      <c r="W24" s="709"/>
      <c r="X24" s="709"/>
      <c r="Y24" s="709"/>
      <c r="Z24" s="709"/>
      <c r="AA24" s="534"/>
    </row>
    <row r="25" spans="2:27" ht="18" customHeight="1" x14ac:dyDescent="0.25">
      <c r="B25" s="371"/>
      <c r="C25" s="371"/>
      <c r="D25" s="371"/>
      <c r="E25" s="371"/>
      <c r="F25" s="213"/>
      <c r="G25" s="213"/>
      <c r="H25" s="212" t="s">
        <v>185</v>
      </c>
      <c r="I25" s="21"/>
      <c r="J25" s="216">
        <f>IF(Wat01_credits=AIS_NA,0,Wat01_credits)+Wat02_credits+IF(Wat03_credits=AIS_NA,0,Wat03_credits)+IF(Wat04_credits=AIS_NA,0,Wat04_credits)</f>
        <v>9</v>
      </c>
      <c r="K25" s="252"/>
      <c r="L25" s="216">
        <f>IF(Wat01_tot=AIS_NA,0,Wat01_tot)+Wat02_tot+IF(Wat03_tot=AIS_NA,0,Wat03_tot)+IF(Wat04_tot=AIS_NA,0,Wat04_tot)</f>
        <v>0</v>
      </c>
      <c r="M25" s="252"/>
      <c r="N25" s="217">
        <f>BP_15/BP_05</f>
        <v>0</v>
      </c>
      <c r="O25" s="252"/>
      <c r="P25" s="217">
        <f>IFERROR(IF(ADBT0&lt;&gt;ADBT8,VLOOKUP(ADPT,Non_Resi_Weight,6,FALSE),IF(ADBT_sub01=ADBT_sub28,VLOOKUP(ADPT,S_Resi_Weight,6,FALSE),VLOOKUP(ADPT,M_Resi_Weight,6,FALSE))),0)</f>
        <v>0</v>
      </c>
      <c r="Q25" s="252"/>
      <c r="R25" s="217">
        <f>BP_36*BP_26</f>
        <v>0</v>
      </c>
      <c r="S25" s="709"/>
      <c r="T25" s="709"/>
      <c r="U25" s="709"/>
      <c r="V25" s="709"/>
      <c r="W25" s="709"/>
      <c r="X25" s="709"/>
      <c r="Y25" s="709"/>
      <c r="Z25" s="709"/>
      <c r="AA25" s="534"/>
    </row>
    <row r="26" spans="2:27" ht="3" customHeight="1" x14ac:dyDescent="0.25">
      <c r="H26" s="21"/>
      <c r="I26" s="21"/>
      <c r="J26" s="252"/>
      <c r="K26" s="252"/>
      <c r="L26" s="252"/>
      <c r="M26" s="252"/>
      <c r="N26" s="297"/>
      <c r="O26" s="252"/>
      <c r="P26" s="370"/>
      <c r="Q26" s="252"/>
      <c r="R26" s="297"/>
      <c r="S26" s="709"/>
      <c r="T26" s="709"/>
      <c r="U26" s="709"/>
      <c r="V26" s="709"/>
      <c r="W26" s="709"/>
      <c r="X26" s="709"/>
      <c r="Y26" s="709"/>
      <c r="Z26" s="709"/>
      <c r="AA26" s="534"/>
    </row>
    <row r="27" spans="2:27" ht="18" customHeight="1" x14ac:dyDescent="0.25">
      <c r="B27" s="371"/>
      <c r="C27" s="371"/>
      <c r="D27" s="371"/>
      <c r="E27" s="371"/>
      <c r="F27" s="213"/>
      <c r="G27" s="213"/>
      <c r="H27" s="212" t="s">
        <v>186</v>
      </c>
      <c r="I27" s="21"/>
      <c r="J27" s="216">
        <f>Mat01_credits+Mat03_credits+Mat05_credits+Mat06_Credits+Mat07_credits</f>
        <v>14</v>
      </c>
      <c r="K27" s="252"/>
      <c r="L27" s="216">
        <f>Mat01_tot+Mat03_tot+Mat05_tot+Mat06_tot+Mat07_tot</f>
        <v>0</v>
      </c>
      <c r="M27" s="252"/>
      <c r="N27" s="217">
        <f>BP_16/BP_06</f>
        <v>0</v>
      </c>
      <c r="O27" s="252"/>
      <c r="P27" s="217">
        <f>IFERROR(IF(ADBT0&lt;&gt;ADBT8,VLOOKUP(ADPT,Non_Resi_Weight,7,FALSE),IF(ADBT_sub01=ADBT_sub28,VLOOKUP(ADPT,S_Resi_Weight,7,FALSE),VLOOKUP(ADPT,M_Resi_Weight,7,FALSE))),0)</f>
        <v>0</v>
      </c>
      <c r="Q27" s="252"/>
      <c r="R27" s="217">
        <f>BP_38*BP_27</f>
        <v>0</v>
      </c>
      <c r="S27" s="709"/>
      <c r="T27" s="709"/>
      <c r="U27" s="709"/>
      <c r="V27" s="709"/>
      <c r="W27" s="709"/>
      <c r="X27" s="709"/>
      <c r="Y27" s="709"/>
      <c r="Z27" s="709"/>
      <c r="AA27" s="534"/>
    </row>
    <row r="28" spans="2:27" ht="3" customHeight="1" x14ac:dyDescent="0.25">
      <c r="H28" s="21"/>
      <c r="I28" s="21"/>
      <c r="J28" s="252"/>
      <c r="K28" s="252"/>
      <c r="L28" s="252"/>
      <c r="M28" s="252"/>
      <c r="N28" s="297"/>
      <c r="O28" s="252"/>
      <c r="P28" s="370"/>
      <c r="Q28" s="252"/>
      <c r="R28" s="297"/>
      <c r="S28" s="709"/>
      <c r="T28" s="709"/>
      <c r="U28" s="709"/>
      <c r="V28" s="709"/>
      <c r="W28" s="709"/>
      <c r="X28" s="709"/>
      <c r="Y28" s="709"/>
      <c r="Z28" s="709"/>
    </row>
    <row r="29" spans="2:27" ht="18" customHeight="1" x14ac:dyDescent="0.25">
      <c r="B29" s="371"/>
      <c r="C29" s="371"/>
      <c r="D29" s="371"/>
      <c r="E29" s="371"/>
      <c r="F29" s="213"/>
      <c r="G29" s="213"/>
      <c r="H29" s="212" t="s">
        <v>187</v>
      </c>
      <c r="I29" s="21"/>
      <c r="J29" s="216">
        <f>Wst01_credits+Wst02_credits+IF(Wst03_credits=AIS_NA,0,Wst03_credits)+IF(Wst03b_credits=AIS_NA,0,Wst03b_credits)+IF(Wst04_credits=AIS_NA,0,Wst04_credits)+Wst05_Credits+IF(Wst06_Credits=AIS_NA,0,Wst06_Credits)</f>
        <v>7</v>
      </c>
      <c r="K29" s="252"/>
      <c r="L29" s="216">
        <f>Wst01_tot+Wst02_tot+IF(Wst03_tot=AIS_NA,0,Wst03_tot)+IF(Wst03b_tot=AIS_NA,0,Wst03b_tot)+IF(Wst04_tot=AIS_NA,0,Wst04_tot)+Wst05_tot+IF(Wst06_tot=AIS_NA,0,Wst06_tot)</f>
        <v>0</v>
      </c>
      <c r="M29" s="252"/>
      <c r="N29" s="217">
        <f>BP_18/BP_07</f>
        <v>0</v>
      </c>
      <c r="O29" s="252"/>
      <c r="P29" s="217">
        <f>IFERROR(IF(ADBT0&lt;&gt;ADBT8,VLOOKUP(ADPT,Non_Resi_Weight,8,FALSE),IF(ADBT_sub01=ADBT_sub28,VLOOKUP(ADPT,S_Resi_Weight,8,FALSE),VLOOKUP(ADPT,M_Resi_Weight,8,FALSE))),0)</f>
        <v>0</v>
      </c>
      <c r="Q29" s="252"/>
      <c r="R29" s="217">
        <f>BP_39*BP_28</f>
        <v>0</v>
      </c>
      <c r="S29" s="477"/>
    </row>
    <row r="30" spans="2:27" ht="3" customHeight="1" x14ac:dyDescent="0.25">
      <c r="H30" s="21"/>
      <c r="I30" s="21"/>
      <c r="J30" s="252"/>
      <c r="K30" s="252"/>
      <c r="L30" s="252"/>
      <c r="M30" s="252"/>
      <c r="N30" s="297"/>
      <c r="O30" s="252"/>
      <c r="P30" s="370"/>
      <c r="Q30" s="252"/>
      <c r="R30" s="297"/>
    </row>
    <row r="31" spans="2:27" ht="18" customHeight="1" x14ac:dyDescent="0.25">
      <c r="B31" s="371"/>
      <c r="C31" s="371"/>
      <c r="D31" s="371"/>
      <c r="E31" s="371"/>
      <c r="F31" s="213"/>
      <c r="G31" s="213"/>
      <c r="H31" s="212" t="s">
        <v>188</v>
      </c>
      <c r="I31" s="21"/>
      <c r="J31" s="216">
        <f>LE01_credits+LE02_credits+LE04_credits+LE05_credits</f>
        <v>10</v>
      </c>
      <c r="K31" s="252"/>
      <c r="L31" s="216">
        <f>LE01_tot+LE02_tot+LE04_tot+LE05_tot</f>
        <v>0</v>
      </c>
      <c r="M31" s="252"/>
      <c r="N31" s="217">
        <f>BP_19/BP_08</f>
        <v>0</v>
      </c>
      <c r="O31" s="252"/>
      <c r="P31" s="217">
        <f>IFERROR(IF(ADBT0&lt;&gt;ADBT8,VLOOKUP(ADPT,Non_Resi_Weight,9,FALSE),IF(ADBT_sub01=ADBT_sub28,VLOOKUP(ADPT,S_Resi_Weight,9,FALSE),VLOOKUP(ADPT,M_Resi_Weight,9,FALSE))),0)</f>
        <v>0</v>
      </c>
      <c r="Q31" s="252"/>
      <c r="R31" s="217">
        <f>BP_40*BP_29</f>
        <v>0</v>
      </c>
    </row>
    <row r="32" spans="2:27" ht="3" customHeight="1" x14ac:dyDescent="0.25">
      <c r="H32" s="21"/>
      <c r="I32" s="21"/>
      <c r="J32" s="252"/>
      <c r="K32" s="252"/>
      <c r="L32" s="252"/>
      <c r="M32" s="252"/>
      <c r="N32" s="297"/>
      <c r="O32" s="252"/>
      <c r="P32" s="370"/>
      <c r="Q32" s="252"/>
      <c r="R32" s="297"/>
    </row>
    <row r="33" spans="1:28" ht="18" customHeight="1" x14ac:dyDescent="0.25">
      <c r="B33" s="371"/>
      <c r="C33" s="371"/>
      <c r="D33" s="371"/>
      <c r="E33" s="371"/>
      <c r="F33" s="213"/>
      <c r="G33" s="213"/>
      <c r="H33" s="212" t="s">
        <v>189</v>
      </c>
      <c r="I33" s="21"/>
      <c r="J33" s="216" t="str">
        <f>IF(ISERROR(IF(Pol01_credits=AIS_NA,0,Pol01_credits)+IF(Pol02_credits=AIS_NA,0,Pol02_credits)+Pol03_credits+IF(Pol04_credits=AIS_NA,0,Pol04_credits)+IF(Pol05_credits=AIS_NA,0,Pol05_credits)),AIS_statement49,IF(Pol01_credits=AIS_NA,0,Pol01_credits)+IF(Pol02_credits=AIS_NA,0,Pol02_credits)+Pol03_credits+IF(Pol04_credits=AIS_NA,0,Pol04_credits)+IF(Pol05_credits=AIS_NA,0,Pol05_credits))</f>
        <v>See note</v>
      </c>
      <c r="K33" s="252"/>
      <c r="L33" s="216">
        <f>IF(Pol01_tot=AIS_NA,0,Pol01_tot)+IF(Pol02_tot=AIS_NA,0,Pol02_tot)+Pol03_tot+IF(Pol04_tot=AIS_NA,0,Pol04_tot)+IF(Pol05_tot=AIS_NA,0,Pol05_tot)</f>
        <v>0</v>
      </c>
      <c r="M33" s="252"/>
      <c r="N33" s="217">
        <f>IF(ISERROR(BP_20/BP_09),0,BP_20/BP_09)</f>
        <v>0</v>
      </c>
      <c r="O33" s="252"/>
      <c r="P33" s="217">
        <f>IFERROR(IF(ADBT0&lt;&gt;ADBT8,VLOOKUP(ADPT,Non_Resi_Weight,10,FALSE),IF(ADBT_sub01=ADBT_sub28,VLOOKUP(ADPT,S_Resi_Weight,10,FALSE),VLOOKUP(ADPT,M_Resi_Weight,10,FALSE))),0)</f>
        <v>0</v>
      </c>
      <c r="Q33" s="252"/>
      <c r="R33" s="217">
        <f>BP_41*BP_30</f>
        <v>0</v>
      </c>
      <c r="S33" s="709" t="str">
        <f>IF(BP_09=AIS_statement49,"Note: All mandatory fields in the assessment details worksheet must be completed/defined in order to confirm the number of credits available in the pollution section for the building type requiring assessment.","")</f>
        <v>Note: All mandatory fields in the assessment details worksheet must be completed/defined in order to confirm the number of credits available in the pollution section for the building type requiring assessment.</v>
      </c>
      <c r="T33" s="709"/>
      <c r="U33" s="709"/>
      <c r="V33" s="709"/>
      <c r="W33" s="709"/>
      <c r="AA33" s="535">
        <v>0.1</v>
      </c>
      <c r="AB33" s="613" t="s">
        <v>190</v>
      </c>
    </row>
    <row r="34" spans="1:28" ht="3" customHeight="1" x14ac:dyDescent="0.25">
      <c r="H34" s="21"/>
      <c r="I34" s="21"/>
      <c r="J34" s="252"/>
      <c r="K34" s="252"/>
      <c r="L34" s="252"/>
      <c r="M34" s="252"/>
      <c r="N34" s="297"/>
      <c r="O34" s="252"/>
      <c r="P34" s="370"/>
      <c r="Q34" s="252"/>
      <c r="R34" s="297"/>
      <c r="S34" s="709"/>
      <c r="T34" s="709"/>
      <c r="U34" s="709"/>
      <c r="V34" s="709"/>
      <c r="W34" s="709"/>
      <c r="AB34" s="613"/>
    </row>
    <row r="35" spans="1:28" ht="18" customHeight="1" x14ac:dyDescent="0.25">
      <c r="B35" s="371"/>
      <c r="C35" s="371"/>
      <c r="D35" s="371"/>
      <c r="E35" s="371"/>
      <c r="F35" s="213"/>
      <c r="G35" s="213"/>
      <c r="H35" s="212" t="s">
        <v>191</v>
      </c>
      <c r="I35" s="21"/>
      <c r="J35" s="216">
        <f>Inn01_credits</f>
        <v>10</v>
      </c>
      <c r="K35" s="252"/>
      <c r="L35" s="216">
        <f>Inn01_tot</f>
        <v>0</v>
      </c>
      <c r="M35" s="252"/>
      <c r="N35" s="217">
        <f>BP_21/BP_10</f>
        <v>0</v>
      </c>
      <c r="O35" s="252"/>
      <c r="P35" s="217">
        <f>IFERROR(IF(ADBT0&lt;&gt;ADBT8,VLOOKUP(ADPT,Non_Resi_Weight,11,FALSE),IF(ADBT_sub01=ADBT_sub28,VLOOKUP(ADPT,S_Resi_Weight,11,FALSE),VLOOKUP(ADPT,M_Resi_Weight,11,FALSE))),0)</f>
        <v>0</v>
      </c>
      <c r="Q35" s="252"/>
      <c r="R35" s="217">
        <f>BP_42*BP_31</f>
        <v>0</v>
      </c>
      <c r="S35" s="709"/>
      <c r="T35" s="709"/>
      <c r="U35" s="709"/>
      <c r="V35" s="709"/>
      <c r="W35" s="709"/>
      <c r="AA35" s="536">
        <f>IFERROR(BP_Innovation_score,0)</f>
        <v>0</v>
      </c>
      <c r="AB35" s="613" t="s">
        <v>192</v>
      </c>
    </row>
    <row r="36" spans="1:28" ht="36.6" customHeight="1" x14ac:dyDescent="0.35">
      <c r="B36" s="368" t="s">
        <v>193</v>
      </c>
      <c r="C36" s="24"/>
      <c r="D36" s="13"/>
      <c r="E36" s="13"/>
      <c r="F36" s="22"/>
      <c r="G36" s="22"/>
      <c r="H36" s="22"/>
      <c r="I36" s="22"/>
      <c r="J36" s="22"/>
      <c r="K36" s="22"/>
      <c r="L36" s="22"/>
      <c r="M36" s="22"/>
      <c r="N36" s="22"/>
      <c r="O36" s="22"/>
      <c r="P36" s="22"/>
      <c r="Q36" s="22"/>
      <c r="R36" s="478"/>
      <c r="S36" s="709"/>
      <c r="T36" s="709"/>
      <c r="U36" s="709"/>
      <c r="V36" s="709"/>
      <c r="W36" s="709"/>
    </row>
    <row r="37" spans="1:28" ht="36.6" customHeight="1" x14ac:dyDescent="0.25">
      <c r="B37" s="23" t="s">
        <v>194</v>
      </c>
      <c r="C37" s="23"/>
      <c r="D37" s="21"/>
      <c r="E37" s="21"/>
      <c r="F37" s="21"/>
      <c r="G37" s="21"/>
      <c r="H37" s="220" t="s">
        <v>195</v>
      </c>
      <c r="I37" s="21"/>
      <c r="J37" s="220" t="s">
        <v>196</v>
      </c>
      <c r="K37" s="21"/>
      <c r="L37" s="220" t="s">
        <v>197</v>
      </c>
      <c r="M37" s="220"/>
      <c r="N37" s="220" t="s">
        <v>198</v>
      </c>
      <c r="O37" s="220"/>
      <c r="P37" s="220" t="s">
        <v>199</v>
      </c>
      <c r="Q37" s="220"/>
      <c r="R37" s="220" t="s">
        <v>198</v>
      </c>
      <c r="S37" s="26"/>
    </row>
    <row r="38" spans="1:28" ht="3" customHeight="1" x14ac:dyDescent="0.25">
      <c r="B38" s="23"/>
      <c r="C38" s="23"/>
      <c r="D38" s="21"/>
      <c r="E38" s="21"/>
      <c r="F38" s="21"/>
      <c r="G38" s="21"/>
      <c r="H38" s="273"/>
      <c r="I38" s="21"/>
      <c r="J38" s="273"/>
      <c r="K38" s="21"/>
      <c r="L38" s="273"/>
      <c r="M38" s="273"/>
      <c r="N38" s="273"/>
      <c r="O38" s="273"/>
      <c r="P38" s="21"/>
      <c r="Q38" s="21"/>
      <c r="R38" s="21"/>
    </row>
    <row r="39" spans="1:28" ht="18" hidden="1" customHeight="1" x14ac:dyDescent="0.25">
      <c r="B39" s="325"/>
      <c r="C39" s="325"/>
      <c r="D39" s="325"/>
      <c r="E39" s="325"/>
      <c r="F39" s="212" t="s">
        <v>200</v>
      </c>
      <c r="G39" s="21"/>
      <c r="H39" s="217" t="s">
        <v>201</v>
      </c>
      <c r="I39" s="215"/>
      <c r="J39" s="369" t="s">
        <v>202</v>
      </c>
      <c r="K39" s="252"/>
      <c r="L39" s="372" t="str">
        <f>IF(Ene01_80=AIS_statement91,IF(OR(Ene01_05="",Ene01_47=""),AIS_units22,Ene01_05+Ene01_47),IF(Ene01_80=AIS_statement90,IF(Ene01_05="",AIS_units22,Ene01_05)))</f>
        <v>INA</v>
      </c>
      <c r="M39" s="215"/>
      <c r="N39" s="216" t="s">
        <v>203</v>
      </c>
      <c r="O39" s="215"/>
      <c r="P39" s="373" t="str">
        <f>IF(Ene01_80=AIS_statement91,IF(OR(Ene01_05="",Ene01_47=""),AIS_units22,BP_KPI01*AD_GIA),IF(Ene01_80=AIS_statement90,IF(Ene01_05="",AIS_units22,BP_KPI01*AD_GIA)))</f>
        <v>INA</v>
      </c>
      <c r="Q39" s="252"/>
      <c r="R39" s="369" t="s">
        <v>204</v>
      </c>
      <c r="S39" s="55"/>
      <c r="T39" s="55"/>
      <c r="U39" s="55"/>
      <c r="V39" s="55"/>
      <c r="W39" s="55"/>
      <c r="X39" s="55"/>
      <c r="Y39" s="55"/>
      <c r="Z39" s="55"/>
      <c r="AA39" s="537"/>
    </row>
    <row r="40" spans="1:28" ht="3" hidden="1" customHeight="1" x14ac:dyDescent="0.25">
      <c r="B40" s="23"/>
      <c r="C40" s="23"/>
      <c r="D40" s="21"/>
      <c r="E40" s="21"/>
      <c r="F40" s="21"/>
      <c r="G40" s="21"/>
      <c r="H40" s="215"/>
      <c r="I40" s="215"/>
      <c r="J40" s="215"/>
      <c r="K40" s="215"/>
      <c r="L40" s="215"/>
      <c r="M40" s="215"/>
      <c r="N40" s="215"/>
      <c r="O40" s="215"/>
      <c r="P40" s="215"/>
      <c r="Q40" s="215"/>
      <c r="R40" s="215"/>
      <c r="S40" s="55"/>
      <c r="T40" s="55"/>
      <c r="U40" s="55"/>
      <c r="V40" s="55"/>
      <c r="W40" s="55"/>
      <c r="X40" s="55"/>
      <c r="Y40" s="55"/>
      <c r="Z40" s="55"/>
      <c r="AA40" s="537"/>
    </row>
    <row r="41" spans="1:28" ht="18" hidden="1" customHeight="1" x14ac:dyDescent="0.25">
      <c r="B41" s="325"/>
      <c r="C41" s="325"/>
      <c r="D41" s="325"/>
      <c r="E41" s="325"/>
      <c r="F41" s="212" t="s">
        <v>205</v>
      </c>
      <c r="G41" s="21"/>
      <c r="H41" s="217" t="s">
        <v>201</v>
      </c>
      <c r="I41" s="215"/>
      <c r="J41" s="217" t="s">
        <v>202</v>
      </c>
      <c r="K41" s="215"/>
      <c r="L41" s="372" t="str">
        <f>IF(Ene01_KPI101="",AIS_units22,Ene01_KPI101)</f>
        <v>INA</v>
      </c>
      <c r="M41" s="215"/>
      <c r="N41" s="216" t="s">
        <v>203</v>
      </c>
      <c r="O41" s="252"/>
      <c r="P41" s="374" t="str">
        <f>IF(Ene04_KPI01="",AIS_units22,Ene04_KPI01)</f>
        <v>INA</v>
      </c>
      <c r="Q41" s="215"/>
      <c r="R41" s="369" t="s">
        <v>204</v>
      </c>
      <c r="S41" s="55"/>
      <c r="T41" s="55"/>
      <c r="U41" s="55"/>
      <c r="V41" s="55"/>
      <c r="W41" s="55"/>
      <c r="X41" s="55"/>
      <c r="Y41" s="55"/>
      <c r="Z41" s="55"/>
      <c r="AA41" s="537"/>
    </row>
    <row r="42" spans="1:28" ht="3" hidden="1" customHeight="1" x14ac:dyDescent="0.25">
      <c r="A42" s="11"/>
      <c r="B42" s="202"/>
      <c r="C42" s="202"/>
      <c r="D42" s="202"/>
      <c r="E42" s="202"/>
      <c r="F42" s="202"/>
      <c r="G42" s="202"/>
      <c r="H42" s="202"/>
      <c r="I42" s="202"/>
      <c r="J42" s="202"/>
      <c r="K42" s="202"/>
      <c r="L42" s="202"/>
      <c r="M42" s="202"/>
      <c r="N42" s="202"/>
      <c r="O42" s="202"/>
      <c r="P42" s="202"/>
      <c r="Q42" s="202"/>
      <c r="R42" s="202"/>
      <c r="S42" s="11"/>
    </row>
    <row r="43" spans="1:28" ht="18" customHeight="1" x14ac:dyDescent="0.25">
      <c r="B43" s="325"/>
      <c r="C43" s="325"/>
      <c r="D43" s="325"/>
      <c r="E43" s="325"/>
      <c r="F43" s="212" t="s">
        <v>206</v>
      </c>
      <c r="G43" s="21"/>
      <c r="H43" s="217" t="str">
        <f>IF(ADAS0=ADAS01,AIS_units22,AIS_construction)</f>
        <v>Construction</v>
      </c>
      <c r="I43" s="215"/>
      <c r="J43" s="369" t="str">
        <f>IF(ADAS0=ADAS01,AIS_units22,AIS_measured)</f>
        <v>Measured</v>
      </c>
      <c r="K43" s="252"/>
      <c r="L43" s="374">
        <f>IF(OR(ADAS0=ADAS01,Man03_01=AIS_No),AIS_units22,Man03_KPI02)</f>
        <v>0</v>
      </c>
      <c r="M43" s="215"/>
      <c r="N43" s="216" t="str">
        <f>IF(ADAS0=ADAS01,AIS_units22,AIS_units02)</f>
        <v>kWh/MSEK</v>
      </c>
      <c r="O43" s="215"/>
      <c r="P43" s="375">
        <f>IF(OR(ADAS0=ADAS01,Man03_01=AIS_No),AIS_units22,Man03_kPI01)</f>
        <v>0</v>
      </c>
      <c r="Q43" s="252"/>
      <c r="R43" s="216" t="str">
        <f>IF(ADAS0=ADAS01,AIS_units22,AIS_units01)</f>
        <v>kWh</v>
      </c>
      <c r="S43" s="11"/>
    </row>
    <row r="44" spans="1:28" ht="3" customHeight="1" x14ac:dyDescent="0.25">
      <c r="B44" s="21"/>
      <c r="C44" s="21"/>
      <c r="D44" s="21"/>
      <c r="E44" s="21"/>
      <c r="F44" s="21"/>
      <c r="G44" s="21"/>
      <c r="H44" s="215"/>
      <c r="I44" s="215"/>
      <c r="J44" s="215"/>
      <c r="K44" s="215"/>
      <c r="L44" s="376"/>
      <c r="M44" s="299"/>
      <c r="N44" s="299"/>
      <c r="O44" s="215"/>
      <c r="P44" s="215"/>
      <c r="Q44" s="215"/>
      <c r="R44" s="215"/>
    </row>
    <row r="45" spans="1:28" ht="18" customHeight="1" x14ac:dyDescent="0.25">
      <c r="B45" s="325"/>
      <c r="C45" s="325"/>
      <c r="D45" s="325"/>
      <c r="E45" s="325"/>
      <c r="F45" s="212" t="s">
        <v>207</v>
      </c>
      <c r="G45" s="21"/>
      <c r="H45" s="217" t="str">
        <f>IF(ADAS0=ADAS01,AIS_units22,AIS_construction)</f>
        <v>Construction</v>
      </c>
      <c r="I45" s="215"/>
      <c r="J45" s="369" t="str">
        <f>IF(ADAS0=ADAS01,AIS_units22,AIS_measured)</f>
        <v>Measured</v>
      </c>
      <c r="K45" s="252"/>
      <c r="L45" s="377" t="str">
        <f>IF(ISERROR(IF(OR(ADAS0=ADAS01,Man03_03=AIS_No),AIS_units22,Man03_KPI09+Man03_KPI14)),AIS_units22,IF(OR(ADAS0=ADAS01,Man03_03=AIS_No),AIS_units22,Man03_KPI09+Man03_KPI14) )</f>
        <v>INA</v>
      </c>
      <c r="M45" s="299"/>
      <c r="N45" s="216" t="str">
        <f>IF(ADAS0=ADAS01,AIS_units22,AIS_units10)</f>
        <v>Litres/km</v>
      </c>
      <c r="O45" s="215"/>
      <c r="P45" s="375" t="str">
        <f>IF(OR(ADAS0=ADAS01,Man03_03=AIS_No,AND(Man03_KPI08="",Man03_KPI13="")),AIS_units22,Man03_KPI08+Man03_KPI13)</f>
        <v>INA</v>
      </c>
      <c r="Q45" s="252"/>
      <c r="R45" s="216" t="str">
        <f>IF(ADAS0=ADAS01,AIS_units22,AIS_units08)</f>
        <v>Litres of fuel</v>
      </c>
      <c r="S45" s="11"/>
    </row>
    <row r="46" spans="1:28" ht="3" customHeight="1" x14ac:dyDescent="0.25">
      <c r="B46" s="21"/>
      <c r="C46" s="21"/>
      <c r="D46" s="21"/>
      <c r="E46" s="21"/>
      <c r="F46" s="21"/>
      <c r="G46" s="21"/>
      <c r="H46" s="215"/>
      <c r="I46" s="215"/>
      <c r="J46" s="215"/>
      <c r="K46" s="215"/>
      <c r="L46" s="376"/>
      <c r="M46" s="299"/>
      <c r="N46" s="299"/>
      <c r="O46" s="215"/>
      <c r="P46" s="215"/>
      <c r="Q46" s="215"/>
      <c r="R46" s="215"/>
      <c r="S46" s="11"/>
    </row>
    <row r="47" spans="1:28" ht="24.95" customHeight="1" x14ac:dyDescent="0.25">
      <c r="B47" s="23" t="s">
        <v>208</v>
      </c>
      <c r="C47" s="23"/>
      <c r="D47" s="21"/>
      <c r="E47" s="21"/>
      <c r="F47" s="21"/>
      <c r="G47" s="21"/>
      <c r="H47" s="215"/>
      <c r="I47" s="215"/>
      <c r="J47" s="215"/>
      <c r="K47" s="215"/>
      <c r="L47" s="215"/>
      <c r="M47" s="215"/>
      <c r="N47" s="215"/>
      <c r="O47" s="215"/>
      <c r="P47" s="215"/>
      <c r="Q47" s="215"/>
      <c r="R47" s="215"/>
    </row>
    <row r="48" spans="1:28" ht="3" customHeight="1" x14ac:dyDescent="0.25">
      <c r="B48" s="21"/>
      <c r="C48" s="21"/>
      <c r="D48" s="21"/>
      <c r="E48" s="21"/>
      <c r="F48" s="21"/>
      <c r="G48" s="21"/>
      <c r="H48" s="376"/>
      <c r="I48" s="215"/>
      <c r="J48" s="215"/>
      <c r="K48" s="215"/>
      <c r="L48" s="215"/>
      <c r="M48" s="215"/>
      <c r="N48" s="215"/>
      <c r="O48" s="215"/>
      <c r="P48" s="215"/>
      <c r="Q48" s="215"/>
      <c r="R48" s="215"/>
    </row>
    <row r="49" spans="2:19" ht="18.75" hidden="1" x14ac:dyDescent="0.25">
      <c r="B49" s="325"/>
      <c r="C49" s="325"/>
      <c r="D49" s="325"/>
      <c r="E49" s="325"/>
      <c r="F49" s="212" t="s">
        <v>200</v>
      </c>
      <c r="G49" s="21"/>
      <c r="H49" s="217" t="s">
        <v>201</v>
      </c>
      <c r="I49" s="215"/>
      <c r="J49" s="369" t="s">
        <v>202</v>
      </c>
      <c r="K49" s="252"/>
      <c r="L49" s="372" t="str">
        <f>IF(Ene01_80=AIS_statement91,IF(OR(Ene01_07="",Ene01_49=""),AIS_units22,Ene01_07+Ene01_49),IF(Ene01_80=AIS_statement90,IF(Ene01_07="",AIS_units22,Ene01_07)))</f>
        <v>INA</v>
      </c>
      <c r="M49" s="299"/>
      <c r="N49" s="216" t="s">
        <v>209</v>
      </c>
      <c r="O49" s="215"/>
      <c r="P49" s="375" t="str">
        <f>IF(Ene01_80=AIS_statement91,IF(OR(Ene01_07="",Ene01_49=""),AIS_units22,BP_KPI09*AD_GIA),IF(Ene01_80=AIS_statement90,IF(Ene01_07="",AIS_units22,BP_KPI09*AD_GIA)))</f>
        <v>INA</v>
      </c>
      <c r="Q49" s="252"/>
      <c r="R49" s="216" t="s">
        <v>210</v>
      </c>
      <c r="S49" s="11"/>
    </row>
    <row r="50" spans="2:19" ht="3" hidden="1" customHeight="1" x14ac:dyDescent="0.25">
      <c r="B50" s="21"/>
      <c r="C50" s="21"/>
      <c r="D50" s="21"/>
      <c r="E50" s="21"/>
      <c r="F50" s="378"/>
      <c r="G50" s="21"/>
      <c r="H50" s="215"/>
      <c r="I50" s="215"/>
      <c r="J50" s="215"/>
      <c r="K50" s="215"/>
      <c r="L50" s="215"/>
      <c r="M50" s="215"/>
      <c r="N50" s="215"/>
      <c r="O50" s="215"/>
      <c r="P50" s="215"/>
      <c r="Q50" s="215"/>
      <c r="R50" s="215"/>
    </row>
    <row r="51" spans="2:19" ht="18.75" hidden="1" x14ac:dyDescent="0.25">
      <c r="B51" s="325"/>
      <c r="C51" s="325"/>
      <c r="D51" s="325"/>
      <c r="E51" s="325"/>
      <c r="F51" s="212" t="s">
        <v>211</v>
      </c>
      <c r="G51" s="21"/>
      <c r="H51" s="217" t="s">
        <v>212</v>
      </c>
      <c r="I51" s="215"/>
      <c r="J51" s="369" t="s">
        <v>213</v>
      </c>
      <c r="K51" s="252"/>
      <c r="L51" s="372" t="str">
        <f>IF(Mat01_KPI01=AIS_Missing_data,AIS_units22,Mat01_KPI02)</f>
        <v>INA</v>
      </c>
      <c r="M51" s="299"/>
      <c r="N51" s="216" t="s">
        <v>214</v>
      </c>
      <c r="O51" s="215"/>
      <c r="P51" s="375" t="str">
        <f>IF(Mat01_KPI01=AIS_Missing_data,AIS_units22,Mat01_KPI01)</f>
        <v>INA</v>
      </c>
      <c r="Q51" s="252"/>
      <c r="R51" s="216" t="s">
        <v>215</v>
      </c>
      <c r="S51" s="11"/>
    </row>
    <row r="52" spans="2:19" ht="3" hidden="1" customHeight="1" x14ac:dyDescent="0.25">
      <c r="B52" s="21"/>
      <c r="C52" s="21"/>
      <c r="D52" s="21"/>
      <c r="E52" s="21"/>
      <c r="F52" s="21"/>
      <c r="G52" s="21"/>
      <c r="H52" s="21"/>
      <c r="I52" s="21"/>
      <c r="J52" s="21"/>
      <c r="K52" s="21"/>
      <c r="L52" s="21"/>
      <c r="M52" s="21"/>
      <c r="N52" s="21"/>
      <c r="O52" s="21"/>
      <c r="P52" s="21"/>
      <c r="Q52" s="21"/>
      <c r="R52" s="21"/>
    </row>
    <row r="53" spans="2:19" ht="18" hidden="1" customHeight="1" x14ac:dyDescent="0.25">
      <c r="B53" s="21"/>
      <c r="C53" s="21"/>
      <c r="D53" s="21"/>
      <c r="E53" s="21"/>
      <c r="F53" s="21"/>
      <c r="G53" s="21"/>
      <c r="H53" s="21"/>
      <c r="I53" s="21"/>
      <c r="J53" s="21"/>
      <c r="K53" s="21"/>
      <c r="L53" s="21"/>
      <c r="M53" s="21"/>
      <c r="N53" s="21"/>
      <c r="O53" s="21"/>
      <c r="P53" s="225" t="s">
        <v>216</v>
      </c>
      <c r="Q53" s="21"/>
      <c r="R53" s="217" t="str">
        <f>IF(Mat01_KPI01=AIS_Missing_data,AIS_units22,Mat01_KPI03)</f>
        <v>INA</v>
      </c>
    </row>
    <row r="54" spans="2:19" ht="3" customHeight="1" x14ac:dyDescent="0.25">
      <c r="B54" s="21"/>
      <c r="C54" s="21"/>
      <c r="D54" s="21"/>
      <c r="E54" s="21"/>
      <c r="F54" s="378"/>
      <c r="G54" s="21"/>
      <c r="H54" s="215"/>
      <c r="I54" s="215"/>
      <c r="J54" s="215"/>
      <c r="K54" s="215"/>
      <c r="L54" s="215"/>
      <c r="M54" s="215"/>
      <c r="N54" s="215"/>
      <c r="O54" s="215"/>
      <c r="P54" s="215"/>
      <c r="Q54" s="215"/>
      <c r="R54" s="215"/>
    </row>
    <row r="55" spans="2:19" ht="18" customHeight="1" x14ac:dyDescent="0.25">
      <c r="B55" s="325"/>
      <c r="C55" s="325"/>
      <c r="D55" s="325"/>
      <c r="E55" s="325"/>
      <c r="F55" s="212" t="s">
        <v>206</v>
      </c>
      <c r="G55" s="21"/>
      <c r="H55" s="217" t="str">
        <f>IF(ADAS0=ADAS01,AIS_units22,AIS_construction)</f>
        <v>Construction</v>
      </c>
      <c r="I55" s="215"/>
      <c r="J55" s="369" t="str">
        <f>IF(ADAS0=ADAS01,AIS_units22,AIS_measured)</f>
        <v>Measured</v>
      </c>
      <c r="K55" s="252"/>
      <c r="L55" s="374">
        <f>IF(OR(ADAS0=ADAS01,Man03_01=AIS_No),AIS_units22,Man03_KPI04)</f>
        <v>0</v>
      </c>
      <c r="M55" s="299"/>
      <c r="N55" s="216" t="str">
        <f>IF(ADAS0=ADAS01,AIS_units22,AIS_units03)</f>
        <v>KgCO2eq /MSEK</v>
      </c>
      <c r="O55" s="215"/>
      <c r="P55" s="375">
        <f>IF(OR(ADAS0=ADAS01,Man03_01=AIS_No),AIS_units22,Man03_KPI03)</f>
        <v>0</v>
      </c>
      <c r="Q55" s="252"/>
      <c r="R55" s="216" t="str">
        <f>IF(ADAS0=ADAS01,AIS_units22,AIS_units05)</f>
        <v>KgCO2eq</v>
      </c>
    </row>
    <row r="56" spans="2:19" ht="3" customHeight="1" x14ac:dyDescent="0.25">
      <c r="B56" s="21"/>
      <c r="C56" s="21"/>
      <c r="D56" s="21"/>
      <c r="E56" s="21"/>
      <c r="F56" s="378"/>
      <c r="G56" s="21"/>
      <c r="H56" s="215"/>
      <c r="I56" s="215"/>
      <c r="J56" s="215"/>
      <c r="K56" s="215"/>
      <c r="L56" s="215"/>
      <c r="M56" s="215"/>
      <c r="N56" s="215"/>
      <c r="O56" s="215"/>
      <c r="P56" s="215"/>
      <c r="Q56" s="215"/>
      <c r="R56" s="215"/>
    </row>
    <row r="57" spans="2:19" ht="18" customHeight="1" x14ac:dyDescent="0.25">
      <c r="B57" s="325"/>
      <c r="C57" s="325"/>
      <c r="D57" s="325"/>
      <c r="E57" s="325"/>
      <c r="F57" s="212" t="s">
        <v>207</v>
      </c>
      <c r="G57" s="21"/>
      <c r="H57" s="217" t="str">
        <f>IF(ADAS0=ADAS01,AIS_units22,AIS_construction)</f>
        <v>Construction</v>
      </c>
      <c r="I57" s="215"/>
      <c r="J57" s="369" t="str">
        <f>IF(ADAS0=ADAS01,AIS_units22,AIS_measured)</f>
        <v>Measured</v>
      </c>
      <c r="K57" s="252"/>
      <c r="L57" s="372" t="str">
        <f>IF(ISERROR(IF(OR(ADAS0=ADAS01,Man03_03=AIS_No),AIS_units22,Man03_KPI11+Man03_KPI16)),AIS_units22,IF(OR(ADAS0=ADAS01,Man03_03=AIS_No),AIS_units22,Man03_KPI11+Man03_KPI16))</f>
        <v>INA</v>
      </c>
      <c r="M57" s="299"/>
      <c r="N57" s="216" t="str">
        <f>IF(ADAS0=ADAS01,AIS_units22,AIS_units04)</f>
        <v>KgCO2eq /km</v>
      </c>
      <c r="O57" s="215"/>
      <c r="P57" s="375" t="str">
        <f>IF(OR(ADAS0=ADAS01,Man03_03=AIS_No,AND(Man03_KPI10="",Man03_KPI15="")),AIS_units22,Man03_KPI10+Man03_KPI15)</f>
        <v>INA</v>
      </c>
      <c r="Q57" s="252"/>
      <c r="R57" s="216" t="str">
        <f>IF(ADAS0=ADAS01,AIS_units22,AIS_units05)</f>
        <v>KgCO2eq</v>
      </c>
      <c r="S57" s="11"/>
    </row>
    <row r="58" spans="2:19" ht="3" customHeight="1" x14ac:dyDescent="0.25">
      <c r="B58" s="21"/>
      <c r="C58" s="21"/>
      <c r="D58" s="21"/>
      <c r="E58" s="21"/>
      <c r="F58" s="21"/>
      <c r="G58" s="21"/>
      <c r="H58" s="21"/>
      <c r="I58" s="21"/>
      <c r="J58" s="225"/>
      <c r="K58" s="21"/>
      <c r="L58" s="21"/>
      <c r="M58" s="21"/>
      <c r="N58" s="21"/>
      <c r="O58" s="21"/>
      <c r="P58" s="21"/>
      <c r="Q58" s="21"/>
      <c r="R58" s="21"/>
    </row>
    <row r="59" spans="2:19" ht="18.75" x14ac:dyDescent="0.25">
      <c r="B59" s="325"/>
      <c r="C59" s="325"/>
      <c r="D59" s="325"/>
      <c r="E59" s="325"/>
      <c r="F59" s="212" t="s">
        <v>217</v>
      </c>
      <c r="G59" s="21"/>
      <c r="H59" s="217" t="s">
        <v>201</v>
      </c>
      <c r="I59" s="215"/>
      <c r="J59" s="369" t="s">
        <v>202</v>
      </c>
      <c r="K59" s="252"/>
      <c r="L59" s="372" t="str">
        <f>IF(Pol01_02=AIS_No,0,IF(Pol01_07="",AIS_units22,Pol01_07))</f>
        <v>INA</v>
      </c>
      <c r="M59" s="299"/>
      <c r="N59" s="216" t="s">
        <v>218</v>
      </c>
      <c r="O59" s="215"/>
      <c r="P59" s="375" t="str">
        <f>IF(ISERROR(IF(Pol01_02=AIS_No,0,IF(Pol01_07="",AIS_units22,BP_KPI17*Pol01_21))),AIS_units22,IF(Pol01_02=AIS_No,0,IF(Pol01_07="",AIS_units22,BP_KPI17*Pol01_21)))</f>
        <v>INA</v>
      </c>
      <c r="Q59" s="252"/>
      <c r="R59" s="216" t="s">
        <v>219</v>
      </c>
      <c r="S59" s="48"/>
    </row>
    <row r="60" spans="2:19" ht="24.95" customHeight="1" x14ac:dyDescent="0.25">
      <c r="B60" s="23" t="s">
        <v>220</v>
      </c>
      <c r="C60" s="23"/>
      <c r="D60" s="21"/>
      <c r="E60" s="21"/>
      <c r="F60" s="21"/>
      <c r="G60" s="21"/>
      <c r="H60" s="21"/>
      <c r="I60" s="21"/>
      <c r="J60" s="21"/>
      <c r="K60" s="21"/>
      <c r="L60" s="21"/>
      <c r="M60" s="21"/>
      <c r="N60" s="21"/>
      <c r="O60" s="21"/>
      <c r="P60" s="21"/>
      <c r="Q60" s="21"/>
      <c r="R60" s="21"/>
    </row>
    <row r="61" spans="2:19" ht="3" customHeight="1" x14ac:dyDescent="0.25">
      <c r="B61" s="21"/>
      <c r="C61" s="21"/>
      <c r="D61" s="21"/>
      <c r="E61" s="21"/>
      <c r="F61" s="21"/>
      <c r="G61" s="21"/>
      <c r="H61" s="215"/>
      <c r="I61" s="215"/>
      <c r="J61" s="215"/>
      <c r="K61" s="215"/>
      <c r="L61" s="215"/>
      <c r="M61" s="215"/>
      <c r="N61" s="215"/>
      <c r="O61" s="215"/>
      <c r="P61" s="215"/>
      <c r="Q61" s="215"/>
      <c r="R61" s="215"/>
    </row>
    <row r="62" spans="2:19" ht="18" customHeight="1" x14ac:dyDescent="0.25">
      <c r="B62" s="325"/>
      <c r="C62" s="325"/>
      <c r="D62" s="325"/>
      <c r="E62" s="325"/>
      <c r="F62" s="212" t="s">
        <v>221</v>
      </c>
      <c r="G62" s="21"/>
      <c r="H62" s="217" t="s">
        <v>201</v>
      </c>
      <c r="I62" s="215"/>
      <c r="J62" s="369" t="s">
        <v>213</v>
      </c>
      <c r="K62" s="252"/>
      <c r="L62" s="372" t="str">
        <f>IF(OR(Pol02_20="",AIS_units22),AIS_units22,SUM(IF(OR(Pol02_29="INA",Pol02_29="N/A"),0,Pol02_29))+(IF(OR(Pol02_21="INA",Pol02_21="N/A"),0,Pol02_21))+(IF(OR(Pol02_20="INA",Pol02_20="N/A",Pol02_20="HIB"),0,Pol02_20)))</f>
        <v>INA</v>
      </c>
      <c r="M62" s="299"/>
      <c r="N62" s="372" t="s">
        <v>222</v>
      </c>
      <c r="O62" s="215"/>
      <c r="P62" s="379" t="str">
        <f>IF(OR(Pol01_KPI02="",Pol01_KPI02=AIS_units22),AIS_units22,(Pol01_KPI02*AD_GIA)*(Pol02_20+Pol02_29)/1000000)</f>
        <v>INA</v>
      </c>
      <c r="Q62" s="252"/>
      <c r="R62" s="216" t="s">
        <v>223</v>
      </c>
      <c r="S62" s="11"/>
    </row>
    <row r="63" spans="2:19" ht="24.95" customHeight="1" x14ac:dyDescent="0.25">
      <c r="B63" s="23" t="s">
        <v>224</v>
      </c>
      <c r="C63" s="23"/>
      <c r="D63" s="21"/>
      <c r="E63" s="21"/>
      <c r="F63" s="21"/>
      <c r="G63" s="21"/>
      <c r="H63" s="215"/>
      <c r="I63" s="215"/>
      <c r="J63" s="215"/>
      <c r="K63" s="215"/>
      <c r="L63" s="215"/>
      <c r="M63" s="215"/>
      <c r="N63" s="215"/>
      <c r="O63" s="215"/>
      <c r="P63" s="215"/>
      <c r="Q63" s="215"/>
      <c r="R63" s="215"/>
      <c r="S63" s="11"/>
    </row>
    <row r="64" spans="2:19" ht="3" customHeight="1" x14ac:dyDescent="0.25">
      <c r="B64" s="21"/>
      <c r="C64" s="21"/>
      <c r="D64" s="21"/>
      <c r="E64" s="21"/>
      <c r="F64" s="21"/>
      <c r="G64" s="21"/>
      <c r="H64" s="215"/>
      <c r="I64" s="215"/>
      <c r="J64" s="215"/>
      <c r="K64" s="215"/>
      <c r="L64" s="215"/>
      <c r="M64" s="215"/>
      <c r="N64" s="215"/>
      <c r="O64" s="215"/>
      <c r="P64" s="215"/>
      <c r="Q64" s="215"/>
      <c r="R64" s="215"/>
    </row>
    <row r="65" spans="2:19" ht="18" customHeight="1" x14ac:dyDescent="0.25">
      <c r="B65" s="325"/>
      <c r="C65" s="325"/>
      <c r="D65" s="325"/>
      <c r="E65" s="325"/>
      <c r="F65" s="212" t="s">
        <v>225</v>
      </c>
      <c r="G65" s="21"/>
      <c r="H65" s="217" t="str">
        <f>IF(Wat01_01=AIS_option09,AIS_use,AIS_units22)</f>
        <v>Use</v>
      </c>
      <c r="I65" s="215"/>
      <c r="J65" s="369" t="str">
        <f>IF(Wat01_01=AIS_option09,AIS_Modelled,AIS_units22)</f>
        <v>Modelled</v>
      </c>
      <c r="K65" s="252"/>
      <c r="L65" s="372" t="str">
        <f>IF(OR(Wat01_KPI01="",Wat01_KPI01=AIS_units22),AIS_units22,IF(Wat01_01=AIS_option09,Wat01_KPI01,AIS_units22))</f>
        <v>INA</v>
      </c>
      <c r="M65" s="299"/>
      <c r="N65" s="216" t="str">
        <f>IF(Wat01_01=AIS_option09,AIS_units14,AIS_units22)</f>
        <v>m3/person/yr</v>
      </c>
      <c r="O65" s="215"/>
      <c r="P65" s="375" t="str">
        <f>IF(OR(Wat01_KPI02="",Wat01_KPI01="",Wat01_KPI02=AIS_units22,Wat01_KPI01=AIS_units22),AIS_units22,IF(Wat01_01=AIS_option09,Wat01_KPI02*Wat01_KPI01,AIS_units22))</f>
        <v>INA</v>
      </c>
      <c r="Q65" s="252"/>
      <c r="R65" s="216" t="str">
        <f>IF(Wat01_01=AIS_option09,AIS_units26,AIS_units22)</f>
        <v>m3/yr</v>
      </c>
      <c r="S65" s="11"/>
    </row>
    <row r="66" spans="2:19" ht="3" customHeight="1" x14ac:dyDescent="0.25">
      <c r="B66" s="21"/>
      <c r="C66" s="21"/>
      <c r="D66" s="21"/>
      <c r="E66" s="21"/>
      <c r="F66" s="21"/>
      <c r="G66" s="21"/>
      <c r="H66" s="215"/>
      <c r="I66" s="215"/>
      <c r="J66" s="215"/>
      <c r="K66" s="215"/>
      <c r="L66" s="215"/>
      <c r="M66" s="215"/>
      <c r="N66" s="215"/>
      <c r="O66" s="215"/>
      <c r="P66" s="215"/>
      <c r="Q66" s="215"/>
      <c r="R66" s="215"/>
    </row>
    <row r="67" spans="2:19" ht="18" customHeight="1" x14ac:dyDescent="0.25">
      <c r="B67" s="325"/>
      <c r="C67" s="325"/>
      <c r="D67" s="325"/>
      <c r="E67" s="325"/>
      <c r="F67" s="212" t="s">
        <v>226</v>
      </c>
      <c r="G67" s="21"/>
      <c r="H67" s="217" t="str">
        <f>IF(ADAS0=ADAS01,AIS_units22,AIS_use)</f>
        <v>Use</v>
      </c>
      <c r="I67" s="215"/>
      <c r="J67" s="369" t="str">
        <f>IF(ADAS0=ADAS01,AIS_units22,AIS_measured)</f>
        <v>Measured</v>
      </c>
      <c r="K67" s="252"/>
      <c r="L67" s="372">
        <f>IF(OR(ADAS0=ADAS01,Man03_02=AIS_No),AIS_units22,Man03_KPI06)</f>
        <v>0</v>
      </c>
      <c r="M67" s="299"/>
      <c r="N67" s="372" t="str">
        <f>IF(ADAS0=ADAS01,AIS_units22,AIS_units06)</f>
        <v>m3/MSEK</v>
      </c>
      <c r="O67" s="215"/>
      <c r="P67" s="375">
        <f>IF(OR(ADAS0=ADAS01,Man03_02=AIS_No),AIS_units22,Man03_KPI05)</f>
        <v>0</v>
      </c>
      <c r="Q67" s="252"/>
      <c r="R67" s="216" t="str">
        <f>IF(ADAS0=ADAS01,AIS_units22,AIS_units07)</f>
        <v>m3</v>
      </c>
      <c r="S67" s="11"/>
    </row>
    <row r="68" spans="2:19" ht="24.95" customHeight="1" x14ac:dyDescent="0.25">
      <c r="B68" s="23" t="s">
        <v>227</v>
      </c>
      <c r="C68" s="23"/>
      <c r="D68" s="21"/>
      <c r="E68" s="21"/>
      <c r="F68" s="21"/>
      <c r="G68" s="21"/>
      <c r="H68" s="21"/>
      <c r="I68" s="21"/>
      <c r="J68" s="21"/>
      <c r="K68" s="21"/>
      <c r="L68" s="21"/>
      <c r="M68" s="21"/>
      <c r="N68" s="21"/>
      <c r="O68" s="21"/>
      <c r="P68" s="21"/>
      <c r="Q68" s="21"/>
      <c r="R68" s="21"/>
    </row>
    <row r="69" spans="2:19" ht="3" customHeight="1" x14ac:dyDescent="0.25">
      <c r="B69" s="21"/>
      <c r="C69" s="21"/>
      <c r="D69" s="21"/>
      <c r="E69" s="21"/>
      <c r="F69" s="21"/>
      <c r="G69" s="21"/>
      <c r="H69" s="215"/>
      <c r="I69" s="215"/>
      <c r="J69" s="215"/>
      <c r="K69" s="215"/>
      <c r="L69" s="215"/>
      <c r="M69" s="215"/>
      <c r="N69" s="215"/>
      <c r="O69" s="215"/>
      <c r="P69" s="215"/>
      <c r="Q69" s="215"/>
      <c r="R69" s="215"/>
    </row>
    <row r="70" spans="2:19" ht="18" customHeight="1" x14ac:dyDescent="0.25">
      <c r="B70" s="325"/>
      <c r="C70" s="325"/>
      <c r="D70" s="325"/>
      <c r="E70" s="325"/>
      <c r="F70" s="212" t="s">
        <v>228</v>
      </c>
      <c r="G70" s="21"/>
      <c r="H70" s="217" t="str">
        <f>AIS_construction</f>
        <v>Construction</v>
      </c>
      <c r="I70" s="215"/>
      <c r="J70" s="369" t="str">
        <f>IF(ADAS0=ADAS01,AIS_target,AIS_measured)</f>
        <v>Measured</v>
      </c>
      <c r="K70" s="252"/>
      <c r="L70" s="372">
        <f>Wst01_67</f>
        <v>0</v>
      </c>
      <c r="M70" s="299"/>
      <c r="N70" s="372" t="str">
        <f>Wst01_73</f>
        <v>m3</v>
      </c>
      <c r="O70" s="215"/>
      <c r="P70" s="381" t="s">
        <v>229</v>
      </c>
      <c r="Q70" s="252"/>
      <c r="R70" s="381" t="s">
        <v>229</v>
      </c>
      <c r="S70" s="50"/>
    </row>
    <row r="71" spans="2:19" ht="3" customHeight="1" x14ac:dyDescent="0.25">
      <c r="B71" s="21"/>
      <c r="C71" s="21"/>
      <c r="D71" s="21"/>
      <c r="E71" s="21"/>
      <c r="F71" s="21"/>
      <c r="G71" s="21"/>
      <c r="H71" s="215"/>
      <c r="I71" s="215"/>
      <c r="J71" s="215"/>
      <c r="K71" s="215"/>
      <c r="L71" s="215"/>
      <c r="M71" s="215"/>
      <c r="N71" s="215"/>
      <c r="O71" s="215"/>
      <c r="P71" s="215"/>
      <c r="Q71" s="215"/>
      <c r="R71" s="215"/>
      <c r="S71" s="6"/>
    </row>
    <row r="72" spans="2:19" ht="18" customHeight="1" x14ac:dyDescent="0.25">
      <c r="B72" s="325"/>
      <c r="C72" s="325"/>
      <c r="D72" s="325"/>
      <c r="E72" s="325"/>
      <c r="F72" s="212" t="s">
        <v>230</v>
      </c>
      <c r="G72" s="21"/>
      <c r="H72" s="217" t="str">
        <f>AIS_construction</f>
        <v>Construction</v>
      </c>
      <c r="I72" s="215"/>
      <c r="J72" s="369" t="str">
        <f>IF(ADAS0=ADAS01,AIS_target,AIS_measured)</f>
        <v>Measured</v>
      </c>
      <c r="K72" s="252"/>
      <c r="L72" s="689">
        <f>Wst01_72</f>
        <v>0</v>
      </c>
      <c r="M72" s="299"/>
      <c r="N72" s="372" t="s">
        <v>231</v>
      </c>
      <c r="O72" s="215"/>
      <c r="P72" s="381" t="s">
        <v>229</v>
      </c>
      <c r="Q72" s="252"/>
      <c r="R72" s="381" t="s">
        <v>229</v>
      </c>
      <c r="S72" s="50"/>
    </row>
    <row r="73" spans="2:19" ht="3" customHeight="1" x14ac:dyDescent="0.25">
      <c r="B73" s="21"/>
      <c r="C73" s="21"/>
      <c r="D73" s="21"/>
      <c r="E73" s="21"/>
      <c r="F73" s="21"/>
      <c r="G73" s="21"/>
      <c r="H73" s="215"/>
      <c r="I73" s="215"/>
      <c r="J73" s="215"/>
      <c r="K73" s="215"/>
      <c r="L73" s="215"/>
      <c r="M73" s="215"/>
      <c r="N73" s="215"/>
      <c r="O73" s="215"/>
      <c r="P73" s="215"/>
      <c r="Q73" s="215"/>
      <c r="R73" s="215"/>
      <c r="S73" s="6"/>
    </row>
    <row r="74" spans="2:19" ht="18" hidden="1" customHeight="1" x14ac:dyDescent="0.25">
      <c r="B74" s="325"/>
      <c r="C74" s="325"/>
      <c r="D74" s="325"/>
      <c r="E74" s="325"/>
      <c r="F74" s="212" t="s">
        <v>232</v>
      </c>
      <c r="G74" s="21"/>
      <c r="H74" s="217" t="str">
        <f>IF(Wst01_15=AIS_NA,"-",AIS_construction)</f>
        <v>Construction</v>
      </c>
      <c r="I74" s="215"/>
      <c r="J74" s="369" t="str">
        <f>IF(Wst01_15=AIS_NA,"-",IF(ADAS0=ADAS01,AIS_target,AIS_measured))</f>
        <v>Measured</v>
      </c>
      <c r="K74" s="252"/>
      <c r="L74" s="217" t="str">
        <f>IF(Wst01_15=AIS_NA,"-",IF(OR(Wst01_01=AIS_No,Wst01_15=AIS_No),AIS_units22,IF(OR(Wst01_07="",Wst01_07=AIS_units22),AIS_units22,Wst01_07)))</f>
        <v>INA</v>
      </c>
      <c r="M74" s="299"/>
      <c r="N74" s="372" t="str">
        <f>IF(Wst01_15=AIS_NA,"-",AIS_units12)</f>
        <v>%</v>
      </c>
      <c r="O74" s="215"/>
      <c r="P74" s="375" t="str">
        <f>IF(Wst01_15=AIS_NA,"-",IF(OR(Wst01_01=AIS_No,Wst01_15=AIS_No,ADAS0=ADAS01),AIS_units22,IF(OR(Wst01_29="",Wst01_29=AIS_units22),AIS_units22,Wst01_29)))</f>
        <v>INA</v>
      </c>
      <c r="Q74" s="252"/>
      <c r="R74" s="216" t="str">
        <f>IF(Wst01_15=AIS_NA,"-",IF(AND(Wst01_15=AIS_No,Wst01_04=AIS_units18),AIS_units20,IF(AND(Wst01_15=AIS_No,Wst01_04=AIS_units21),AIS_units21,IF(ADAS0=ADAS01,AIS_units22,IF(Wst01_04=AIS_units18,AIS_units20,AIS_units21)))))</f>
        <v>tonnes</v>
      </c>
      <c r="S74" s="50"/>
    </row>
    <row r="75" spans="2:19" ht="3" customHeight="1" x14ac:dyDescent="0.25">
      <c r="B75" s="21"/>
      <c r="C75" s="21"/>
      <c r="D75" s="21"/>
      <c r="E75" s="21"/>
      <c r="F75" s="21"/>
      <c r="G75" s="21"/>
      <c r="H75" s="215"/>
      <c r="I75" s="215"/>
      <c r="J75" s="215"/>
      <c r="K75" s="215"/>
      <c r="L75" s="215"/>
      <c r="M75" s="215"/>
      <c r="N75" s="215"/>
      <c r="O75" s="215"/>
      <c r="P75" s="215"/>
      <c r="Q75" s="215"/>
      <c r="R75" s="215"/>
    </row>
    <row r="76" spans="2:19" ht="18" hidden="1" customHeight="1" x14ac:dyDescent="0.25">
      <c r="B76" s="325"/>
      <c r="C76" s="325"/>
      <c r="D76" s="325"/>
      <c r="E76" s="325"/>
      <c r="F76" s="212" t="s">
        <v>233</v>
      </c>
      <c r="G76" s="21"/>
      <c r="H76" s="217" t="str">
        <f>IF(Wst01_15=AIS_NA,"-",AIS_construction)</f>
        <v>Construction</v>
      </c>
      <c r="I76" s="215"/>
      <c r="J76" s="369" t="str">
        <f>IF(Wst01_15=AIS_NA,"-",IF(ADAS0=ADAS01,AIS_target,AIS_measured))</f>
        <v>Measured</v>
      </c>
      <c r="K76" s="252"/>
      <c r="L76" s="217" t="str">
        <f>IF(Wst01_15=AIS_NA,"-",IF(OR(Wst01_01=AIS_No,Wst01_15=AIS_No),AIS_units22,IF(OR(Wst01_29="",Wst01_29=AIS_units22),AIS_units22,1-BP_KPI31)))</f>
        <v>INA</v>
      </c>
      <c r="M76" s="299"/>
      <c r="N76" s="372" t="str">
        <f>IF(Wst01_15=AIS_NA,"-",AIS_units12)</f>
        <v>%</v>
      </c>
      <c r="O76" s="215"/>
      <c r="P76" s="375" t="str">
        <f>IF(Wst01_15=AIS_NA,"-",IF(OR(Wst01_01=AIS_No,Wst01_15=AIS_No,ADAS0=ADAS01),AIS_units22,IF(OR(Wst01_29="",Wst01_29=AIS_units22),AIS_units22,Wst01_08)))</f>
        <v>INA</v>
      </c>
      <c r="Q76" s="252"/>
      <c r="R76" s="216" t="str">
        <f>IF(Wst01_15=AIS_NA,"-",IF(AND(Wst01_15=AIS_No,Wst01_04=AIS_units18),AIS_units20,IF(AND(Wst01_15=AIS_No,Wst01_04=AIS_units21),AIS_units21,IF(ADAS0=ADAS01,AIS_units22,IF(Wst01_04=AIS_units18,AIS_units20,AIS_units21)))))</f>
        <v>tonnes</v>
      </c>
      <c r="S76" s="50"/>
    </row>
    <row r="77" spans="2:19" ht="3" hidden="1" customHeight="1" x14ac:dyDescent="0.25">
      <c r="B77" s="21"/>
      <c r="C77" s="21"/>
      <c r="D77" s="21"/>
      <c r="E77" s="21"/>
      <c r="F77" s="21"/>
      <c r="G77" s="21"/>
      <c r="H77" s="215"/>
      <c r="I77" s="215"/>
      <c r="J77" s="215"/>
      <c r="K77" s="215"/>
      <c r="L77" s="215"/>
      <c r="M77" s="215"/>
      <c r="N77" s="215"/>
      <c r="O77" s="215"/>
      <c r="P77" s="215"/>
      <c r="Q77" s="215"/>
      <c r="R77" s="215"/>
    </row>
    <row r="78" spans="2:19" ht="18" hidden="1" customHeight="1" x14ac:dyDescent="0.25">
      <c r="B78" s="325"/>
      <c r="C78" s="325"/>
      <c r="D78" s="325"/>
      <c r="E78" s="325"/>
      <c r="F78" s="212" t="s">
        <v>234</v>
      </c>
      <c r="G78" s="21"/>
      <c r="H78" s="217" t="str">
        <f>AIS_construction</f>
        <v>Construction</v>
      </c>
      <c r="I78" s="215"/>
      <c r="J78" s="369" t="str">
        <f>IF(ADAS0=ADAS01,AIS_target,AIS_measured)</f>
        <v>Measured</v>
      </c>
      <c r="K78" s="252"/>
      <c r="L78" s="372" t="str">
        <f>IF(OR(Wst01_01=AIS_No,Wst01_15=AIS_No),AIS_units22,IF(OR(Wst01_09="",Wst01_09=AIS_units22),AIS_units22,BP_KPI38/AD_GIA))</f>
        <v>INA</v>
      </c>
      <c r="M78" s="299"/>
      <c r="N78" s="372" t="str">
        <f>IF(Wst01_04=AIS_units18,AIS_units16,AIS_units17)</f>
        <v>tonnes/100m2</v>
      </c>
      <c r="O78" s="215"/>
      <c r="P78" s="375" t="str">
        <f>IF(OR(Wst01_01=AIS_No,Wst01_15=AIS_No),AIS_units22,IF(OR(Wst01_09="",Wst01_09=AIS_units22),AIS_units22,Wst01_09))</f>
        <v>INA</v>
      </c>
      <c r="Q78" s="252"/>
      <c r="R78" s="216" t="str">
        <f>IF(Wst01_04=AIS_units18,AIS_units20,AIS_units21)</f>
        <v>tonnes</v>
      </c>
      <c r="S78" s="11"/>
    </row>
    <row r="79" spans="2:19" ht="3" hidden="1" customHeight="1" x14ac:dyDescent="0.25">
      <c r="B79" s="21"/>
      <c r="C79" s="21"/>
      <c r="D79" s="21"/>
      <c r="E79" s="21"/>
      <c r="F79" s="21"/>
      <c r="G79" s="21"/>
      <c r="H79" s="215"/>
      <c r="I79" s="215"/>
      <c r="J79" s="215"/>
      <c r="K79" s="215"/>
      <c r="L79" s="215"/>
      <c r="M79" s="215"/>
      <c r="N79" s="215"/>
      <c r="O79" s="215"/>
      <c r="P79" s="215"/>
      <c r="Q79" s="215"/>
      <c r="R79" s="215"/>
    </row>
    <row r="80" spans="2:19" ht="18" hidden="1" customHeight="1" x14ac:dyDescent="0.25">
      <c r="B80" s="325"/>
      <c r="C80" s="325"/>
      <c r="D80" s="325"/>
      <c r="E80" s="325"/>
      <c r="F80" s="212" t="s">
        <v>235</v>
      </c>
      <c r="G80" s="21"/>
      <c r="H80" s="217" t="str">
        <f>AIS_construction</f>
        <v>Construction</v>
      </c>
      <c r="I80" s="215"/>
      <c r="J80" s="369" t="str">
        <f>IF(ADAS0=ADAS01,AIS_target,AIS_measured)</f>
        <v>Measured</v>
      </c>
      <c r="K80" s="252"/>
      <c r="L80" s="372" t="str">
        <f>IF(OR(Wst01_01=AIS_No,Wst01_15=AIS_No),AIS_units22,IF(OR(Wst01_10="",Wst01_10=AIS_units22),AIS_units22,BP_KPI40/AD_GIA))</f>
        <v>INA</v>
      </c>
      <c r="M80" s="299"/>
      <c r="N80" s="372" t="str">
        <f>IF(Wst01_04=AIS_units18,AIS_units16,AIS_units17)</f>
        <v>tonnes/100m2</v>
      </c>
      <c r="O80" s="215"/>
      <c r="P80" s="375" t="str">
        <f>IF(OR(Wst01_01=AIS_No,Wst01_15=AIS_No),AIS_units22,IF(OR(Wst01_10="",Wst01_10=AIS_units22),AIS_units22,Wst01_10))</f>
        <v>INA</v>
      </c>
      <c r="Q80" s="252"/>
      <c r="R80" s="216" t="str">
        <f>IF(Wst01_04=AIS_units18,AIS_units20,AIS_units21)</f>
        <v>tonnes</v>
      </c>
      <c r="S80" s="11"/>
    </row>
    <row r="81" spans="2:19" ht="3" hidden="1" customHeight="1" x14ac:dyDescent="0.25">
      <c r="B81" s="21"/>
      <c r="C81" s="21"/>
      <c r="D81" s="21"/>
      <c r="E81" s="21"/>
      <c r="F81" s="21"/>
      <c r="G81" s="21"/>
      <c r="H81" s="215"/>
      <c r="I81" s="215"/>
      <c r="J81" s="215"/>
      <c r="K81" s="215"/>
      <c r="L81" s="215"/>
      <c r="M81" s="215"/>
      <c r="N81" s="215"/>
      <c r="O81" s="215"/>
      <c r="P81" s="215"/>
      <c r="Q81" s="215"/>
      <c r="R81" s="215"/>
    </row>
    <row r="82" spans="2:19" ht="18" hidden="1" customHeight="1" x14ac:dyDescent="0.25">
      <c r="B82" s="325"/>
      <c r="C82" s="325"/>
      <c r="D82" s="325"/>
      <c r="E82" s="325"/>
      <c r="F82" s="212" t="s">
        <v>236</v>
      </c>
      <c r="G82" s="21"/>
      <c r="H82" s="217" t="str">
        <f>AIS_construction</f>
        <v>Construction</v>
      </c>
      <c r="I82" s="215"/>
      <c r="J82" s="369" t="str">
        <f>IF(ADAS0=ADAS01,AIS_target,AIS_measured)</f>
        <v>Measured</v>
      </c>
      <c r="K82" s="252"/>
      <c r="L82" s="372" t="str">
        <f>IF(OR(Wst01_01=AIS_No,Wst01_15=AIS_No),AIS_units22,IF(OR(Wst01_11="",Wst01_11=AIS_units22),AIS_units22,BP_KPI42/AD_GIA))</f>
        <v>INA</v>
      </c>
      <c r="M82" s="299"/>
      <c r="N82" s="372" t="str">
        <f>IF(Wst01_04=AIS_units18,AIS_units16,AIS_units17)</f>
        <v>tonnes/100m2</v>
      </c>
      <c r="O82" s="215"/>
      <c r="P82" s="375" t="str">
        <f>IF(OR(Wst01_01=AIS_No,Wst01_15=AIS_No),AIS_units22,IF(OR(Wst01_11="",Wst01_11=AIS_units22),AIS_units22,Wst01_11))</f>
        <v>INA</v>
      </c>
      <c r="Q82" s="252"/>
      <c r="R82" s="216" t="str">
        <f>IF(Wst01_04=AIS_units18,AIS_units20,AIS_units21)</f>
        <v>tonnes</v>
      </c>
      <c r="S82" s="11"/>
    </row>
    <row r="83" spans="2:19" ht="3" hidden="1" customHeight="1" x14ac:dyDescent="0.25">
      <c r="B83" s="21"/>
      <c r="C83" s="21"/>
      <c r="D83" s="21"/>
      <c r="E83" s="21"/>
      <c r="F83" s="21"/>
      <c r="G83" s="21"/>
      <c r="H83" s="215"/>
      <c r="I83" s="215"/>
      <c r="J83" s="215"/>
      <c r="K83" s="215"/>
      <c r="L83" s="215"/>
      <c r="M83" s="215"/>
      <c r="N83" s="215"/>
      <c r="O83" s="215"/>
      <c r="P83" s="215"/>
      <c r="Q83" s="215"/>
      <c r="R83" s="215"/>
    </row>
    <row r="84" spans="2:19" ht="18" hidden="1" customHeight="1" x14ac:dyDescent="0.25">
      <c r="B84" s="325"/>
      <c r="C84" s="325"/>
      <c r="D84" s="325"/>
      <c r="E84" s="325"/>
      <c r="F84" s="212" t="s">
        <v>237</v>
      </c>
      <c r="G84" s="21"/>
      <c r="H84" s="217" t="str">
        <f>AIS_construction</f>
        <v>Construction</v>
      </c>
      <c r="I84" s="215"/>
      <c r="J84" s="369" t="str">
        <f>IF(ADAS0=ADAS01,AIS_target,AIS_measured)</f>
        <v>Measured</v>
      </c>
      <c r="K84" s="252"/>
      <c r="L84" s="380" t="str">
        <f>IF(OR(Wst01_01=AIS_No,Wst01_15=AIS_No),AIS_units22,IF(OR(Wst01_12="",Wst01_12=AIS_units22),AIS_units22,BP_KPI36/AD_GIA))</f>
        <v>INA</v>
      </c>
      <c r="M84" s="299"/>
      <c r="N84" s="372" t="str">
        <f>IF(Wst01_04=AIS_units18,AIS_units16,AIS_units17)</f>
        <v>tonnes/100m2</v>
      </c>
      <c r="O84" s="215"/>
      <c r="P84" s="379" t="str">
        <f>IF(OR(Wst01_01=AIS_No,Wst01_15=AIS_No),AIS_units22,IF(OR(Wst01_12="",Wst01_12=AIS_units22),AIS_units22,Wst01_12))</f>
        <v>INA</v>
      </c>
      <c r="Q84" s="252"/>
      <c r="R84" s="216" t="str">
        <f>IF(Wst01_04=AIS_units18,AIS_units20,AIS_units21)</f>
        <v>tonnes</v>
      </c>
      <c r="S84" s="11"/>
    </row>
    <row r="85" spans="2:19" ht="24.95" customHeight="1" x14ac:dyDescent="0.25">
      <c r="B85" s="23" t="s">
        <v>238</v>
      </c>
      <c r="C85" s="23"/>
      <c r="D85" s="21"/>
      <c r="E85" s="21"/>
      <c r="F85" s="21"/>
      <c r="G85" s="21"/>
      <c r="H85" s="21"/>
      <c r="I85" s="21"/>
      <c r="J85" s="21"/>
      <c r="K85" s="21"/>
      <c r="L85" s="21"/>
      <c r="M85" s="21"/>
      <c r="N85" s="21"/>
      <c r="O85" s="21"/>
      <c r="P85" s="21"/>
      <c r="Q85" s="21"/>
      <c r="R85" s="21"/>
    </row>
    <row r="86" spans="2:19" ht="3" customHeight="1" x14ac:dyDescent="0.25">
      <c r="B86" s="21"/>
      <c r="C86" s="21"/>
      <c r="D86" s="21"/>
      <c r="E86" s="21"/>
      <c r="F86" s="21"/>
      <c r="G86" s="21"/>
      <c r="H86" s="215"/>
      <c r="I86" s="215"/>
      <c r="J86" s="215"/>
      <c r="K86" s="215"/>
      <c r="L86" s="215"/>
      <c r="M86" s="215"/>
      <c r="N86" s="215"/>
      <c r="O86" s="215"/>
      <c r="P86" s="215"/>
      <c r="Q86" s="215"/>
      <c r="R86" s="215"/>
    </row>
    <row r="87" spans="2:19" ht="18" customHeight="1" x14ac:dyDescent="0.25">
      <c r="B87" s="325"/>
      <c r="C87" s="325"/>
      <c r="D87" s="325"/>
      <c r="E87" s="325"/>
      <c r="F87" s="212" t="s">
        <v>239</v>
      </c>
      <c r="G87" s="21"/>
      <c r="H87" s="217" t="s">
        <v>240</v>
      </c>
      <c r="I87" s="215"/>
      <c r="J87" s="369" t="s">
        <v>213</v>
      </c>
      <c r="K87" s="252"/>
      <c r="L87" s="381">
        <f>IF(Mat03_03=AIS_No,AIS_units22,Mat03_03)</f>
        <v>0</v>
      </c>
      <c r="M87" s="299"/>
      <c r="N87" s="377" t="s">
        <v>231</v>
      </c>
      <c r="O87" s="215"/>
      <c r="P87" s="381" t="s">
        <v>229</v>
      </c>
      <c r="Q87" s="252"/>
      <c r="R87" s="382" t="s">
        <v>229</v>
      </c>
      <c r="S87" s="11"/>
    </row>
    <row r="88" spans="2:19" ht="24.95" customHeight="1" x14ac:dyDescent="0.25">
      <c r="B88" s="23" t="s">
        <v>241</v>
      </c>
      <c r="C88" s="23"/>
      <c r="D88" s="21"/>
      <c r="E88" s="21"/>
      <c r="F88" s="21"/>
      <c r="G88" s="21"/>
      <c r="H88" s="21"/>
      <c r="I88" s="21"/>
      <c r="J88" s="21"/>
      <c r="K88" s="21"/>
      <c r="L88" s="21"/>
      <c r="M88" s="21"/>
      <c r="N88" s="21"/>
      <c r="O88" s="21"/>
      <c r="P88" s="21"/>
      <c r="Q88" s="21"/>
      <c r="R88" s="21"/>
    </row>
    <row r="89" spans="2:19" ht="3" customHeight="1" x14ac:dyDescent="0.25">
      <c r="B89" s="21"/>
      <c r="C89" s="21"/>
      <c r="D89" s="21"/>
      <c r="E89" s="21"/>
      <c r="F89" s="21"/>
      <c r="G89" s="21"/>
      <c r="H89" s="215"/>
      <c r="I89" s="215"/>
      <c r="J89" s="215"/>
      <c r="K89" s="215"/>
      <c r="L89" s="215"/>
      <c r="M89" s="215"/>
      <c r="N89" s="215"/>
      <c r="O89" s="215"/>
      <c r="P89" s="215"/>
      <c r="Q89" s="215"/>
      <c r="R89" s="215"/>
    </row>
    <row r="90" spans="2:19" ht="18" customHeight="1" x14ac:dyDescent="0.25">
      <c r="B90" s="325"/>
      <c r="C90" s="325"/>
      <c r="D90" s="325"/>
      <c r="E90" s="325"/>
      <c r="F90" s="212" t="s">
        <v>242</v>
      </c>
      <c r="G90" s="21"/>
      <c r="H90" s="217" t="s">
        <v>201</v>
      </c>
      <c r="I90" s="215"/>
      <c r="J90" s="369" t="s">
        <v>202</v>
      </c>
      <c r="K90" s="252"/>
      <c r="L90" s="468" t="str">
        <f>IF(OR(Hea04_15="",Hea04_15=AIS_units22),AIS_units22,Hea04_15)</f>
        <v>INA</v>
      </c>
      <c r="M90" s="299"/>
      <c r="N90" s="216" t="s">
        <v>243</v>
      </c>
      <c r="O90" s="215"/>
      <c r="P90" s="372" t="s">
        <v>229</v>
      </c>
      <c r="Q90" s="252"/>
      <c r="R90" s="216" t="s">
        <v>229</v>
      </c>
      <c r="S90" s="11"/>
    </row>
    <row r="91" spans="2:19" ht="3" customHeight="1" x14ac:dyDescent="0.25">
      <c r="B91" s="21"/>
      <c r="C91" s="21"/>
      <c r="D91" s="21"/>
      <c r="E91" s="21"/>
      <c r="F91" s="21"/>
      <c r="G91" s="21"/>
      <c r="H91" s="215"/>
      <c r="I91" s="215"/>
      <c r="J91" s="215"/>
      <c r="K91" s="215"/>
      <c r="L91" s="215"/>
      <c r="M91" s="215"/>
      <c r="N91" s="215"/>
      <c r="O91" s="215"/>
      <c r="P91" s="215"/>
      <c r="Q91" s="215"/>
      <c r="R91" s="215"/>
    </row>
    <row r="92" spans="2:19" ht="18" customHeight="1" x14ac:dyDescent="0.25">
      <c r="B92" s="325"/>
      <c r="C92" s="325"/>
      <c r="D92" s="325"/>
      <c r="E92" s="325"/>
      <c r="F92" s="212" t="s">
        <v>244</v>
      </c>
      <c r="G92" s="21"/>
      <c r="H92" s="217" t="s">
        <v>201</v>
      </c>
      <c r="I92" s="215"/>
      <c r="J92" s="369" t="s">
        <v>202</v>
      </c>
      <c r="K92" s="252"/>
      <c r="L92" s="369" t="str">
        <f>IF(OR(Hea04_16="",Hea04_16=AIS_units22),AIS_units22,Hea04_16)</f>
        <v>INA</v>
      </c>
      <c r="M92" s="299"/>
      <c r="N92" s="216" t="s">
        <v>231</v>
      </c>
      <c r="O92" s="215"/>
      <c r="P92" s="372" t="s">
        <v>229</v>
      </c>
      <c r="Q92" s="252"/>
      <c r="R92" s="216" t="s">
        <v>229</v>
      </c>
      <c r="S92" s="11"/>
    </row>
    <row r="93" spans="2:19" ht="24.95" customHeight="1" x14ac:dyDescent="0.25">
      <c r="B93" s="23" t="s">
        <v>245</v>
      </c>
      <c r="C93" s="23"/>
      <c r="D93" s="21"/>
      <c r="E93" s="21"/>
      <c r="F93" s="21"/>
      <c r="G93" s="21"/>
      <c r="H93" s="21"/>
      <c r="I93" s="21"/>
      <c r="J93" s="21"/>
      <c r="K93" s="21"/>
      <c r="L93" s="21"/>
      <c r="M93" s="21"/>
      <c r="N93" s="21"/>
      <c r="O93" s="21"/>
      <c r="P93" s="21"/>
      <c r="Q93" s="21"/>
      <c r="R93" s="21"/>
    </row>
    <row r="94" spans="2:19" ht="3" customHeight="1" x14ac:dyDescent="0.25">
      <c r="B94" s="21"/>
      <c r="C94" s="21"/>
      <c r="D94" s="21"/>
      <c r="E94" s="21"/>
      <c r="F94" s="21"/>
      <c r="G94" s="21"/>
      <c r="H94" s="215"/>
      <c r="I94" s="215"/>
      <c r="J94" s="215"/>
      <c r="K94" s="215"/>
      <c r="L94" s="215"/>
      <c r="M94" s="215"/>
      <c r="N94" s="215"/>
      <c r="O94" s="215"/>
      <c r="P94" s="215"/>
      <c r="Q94" s="215"/>
      <c r="R94" s="215"/>
    </row>
    <row r="95" spans="2:19" ht="18" customHeight="1" x14ac:dyDescent="0.25">
      <c r="B95" s="325"/>
      <c r="C95" s="325"/>
      <c r="D95" s="325"/>
      <c r="E95" s="325"/>
      <c r="F95" s="212" t="s">
        <v>246</v>
      </c>
      <c r="G95" s="21"/>
      <c r="H95" s="217" t="str">
        <f>IF(ADAS0=ADAS01,AIS_units22,AIS_use)</f>
        <v>Use</v>
      </c>
      <c r="I95" s="215"/>
      <c r="J95" s="369" t="str">
        <f>IF(ADAS0=ADAS01,AIS_units22,AIS_measured)</f>
        <v>Measured</v>
      </c>
      <c r="K95" s="252"/>
      <c r="L95" s="372" t="str">
        <f>IF(ADAS0=ADAS01,"-",IF(Hea02_03=AIS_No,AIS_units22,IF(OR(Hea02_KPI01="",Hea02_KPI01=AIS_units22),AIS_units22,Hea02_KPI01)))</f>
        <v>INA</v>
      </c>
      <c r="M95" s="299"/>
      <c r="N95" s="372" t="str">
        <f>IF(ADAS0=ADAS01,AIS_units22,AIS_units11)</f>
        <v>µg/m3</v>
      </c>
      <c r="O95" s="215"/>
      <c r="P95" s="375" t="str">
        <f>AIS_units22</f>
        <v>INA</v>
      </c>
      <c r="Q95" s="252"/>
      <c r="R95" s="216" t="str">
        <f>AIS_units22</f>
        <v>INA</v>
      </c>
      <c r="S95" s="11"/>
    </row>
    <row r="96" spans="2:19" ht="3" customHeight="1" x14ac:dyDescent="0.25">
      <c r="B96" s="21"/>
      <c r="C96" s="21"/>
      <c r="D96" s="21"/>
      <c r="E96" s="21"/>
      <c r="F96" s="21"/>
      <c r="G96" s="21"/>
      <c r="H96" s="215"/>
      <c r="I96" s="215"/>
      <c r="J96" s="215"/>
      <c r="K96" s="215"/>
      <c r="L96" s="215"/>
      <c r="M96" s="215"/>
      <c r="N96" s="215"/>
      <c r="O96" s="215"/>
      <c r="P96" s="215"/>
      <c r="Q96" s="215"/>
      <c r="R96" s="215"/>
    </row>
    <row r="97" spans="2:37" ht="18" customHeight="1" x14ac:dyDescent="0.25">
      <c r="B97" s="325"/>
      <c r="C97" s="325"/>
      <c r="D97" s="325"/>
      <c r="E97" s="325"/>
      <c r="F97" s="212" t="s">
        <v>247</v>
      </c>
      <c r="G97" s="21"/>
      <c r="H97" s="217" t="str">
        <f>IF(ADAS0=ADAS01,AIS_units22,AIS_construction)</f>
        <v>Construction</v>
      </c>
      <c r="I97" s="215"/>
      <c r="J97" s="369" t="str">
        <f>IF(ADAS0=ADAS01,AIS_units22,AIS_measured)</f>
        <v>Measured</v>
      </c>
      <c r="K97" s="252"/>
      <c r="L97" s="372" t="str">
        <f>IF(ADAS0=ADAS01,AIS_units22,IF(Hea02_03=AIS_No,AIS_units22,IF(OR(Hea02_KPI02="",Hea02_KPI02=AIS_units22),AIS_units22,Hea02_KPI02)))</f>
        <v>INA</v>
      </c>
      <c r="M97" s="299"/>
      <c r="N97" s="372" t="str">
        <f>IF(ADAS0=ADAS01,AIS_units22,AIS_units11)</f>
        <v>µg/m3</v>
      </c>
      <c r="O97" s="215"/>
      <c r="P97" s="375" t="str">
        <f>AIS_units22</f>
        <v>INA</v>
      </c>
      <c r="Q97" s="252"/>
      <c r="R97" s="216" t="str">
        <f>AIS_units22</f>
        <v>INA</v>
      </c>
      <c r="S97" s="11"/>
    </row>
    <row r="98" spans="2:37" ht="15" customHeight="1" x14ac:dyDescent="0.25">
      <c r="S98" s="11"/>
    </row>
    <row r="99" spans="2:37" ht="15" customHeight="1" x14ac:dyDescent="0.25">
      <c r="B99" s="23" t="s">
        <v>248</v>
      </c>
      <c r="C99" s="25"/>
    </row>
    <row r="100" spans="2:37" ht="3" customHeight="1" x14ac:dyDescent="0.25"/>
    <row r="101" spans="2:37" s="59" customFormat="1" ht="38.25" hidden="1" customHeight="1" x14ac:dyDescent="0.2">
      <c r="B101" s="60">
        <v>1</v>
      </c>
      <c r="C101" s="728" t="s">
        <v>249</v>
      </c>
      <c r="D101" s="729"/>
      <c r="E101" s="729"/>
      <c r="F101" s="729"/>
      <c r="G101" s="729"/>
      <c r="H101" s="729"/>
      <c r="I101" s="729"/>
      <c r="J101" s="729"/>
      <c r="K101" s="729"/>
      <c r="L101" s="729"/>
      <c r="M101" s="729"/>
      <c r="N101" s="729"/>
      <c r="O101" s="729"/>
      <c r="P101" s="729"/>
      <c r="Q101" s="729"/>
      <c r="R101" s="729"/>
      <c r="AA101" s="538"/>
      <c r="AB101" s="538"/>
      <c r="AC101" s="538"/>
      <c r="AD101" s="538"/>
      <c r="AE101" s="538"/>
      <c r="AF101" s="538"/>
      <c r="AG101" s="538"/>
      <c r="AH101" s="538"/>
      <c r="AI101" s="538"/>
      <c r="AJ101" s="538"/>
      <c r="AK101" s="538"/>
    </row>
    <row r="102" spans="2:37" s="59" customFormat="1" ht="24.75" hidden="1" customHeight="1" x14ac:dyDescent="0.2">
      <c r="B102" s="61">
        <v>2</v>
      </c>
      <c r="C102" s="728" t="s">
        <v>250</v>
      </c>
      <c r="D102" s="729"/>
      <c r="E102" s="729"/>
      <c r="F102" s="729"/>
      <c r="G102" s="729"/>
      <c r="H102" s="729"/>
      <c r="I102" s="729"/>
      <c r="J102" s="729"/>
      <c r="K102" s="729"/>
      <c r="L102" s="729"/>
      <c r="M102" s="729"/>
      <c r="N102" s="729"/>
      <c r="O102" s="729"/>
      <c r="P102" s="729"/>
      <c r="Q102" s="729"/>
      <c r="R102" s="729"/>
      <c r="AA102" s="538"/>
      <c r="AB102" s="538"/>
      <c r="AC102" s="538"/>
      <c r="AD102" s="538"/>
      <c r="AE102" s="538"/>
      <c r="AF102" s="538"/>
      <c r="AG102" s="538"/>
      <c r="AH102" s="538"/>
      <c r="AI102" s="538"/>
      <c r="AJ102" s="538"/>
      <c r="AK102" s="538"/>
    </row>
    <row r="103" spans="2:37" s="59" customFormat="1" ht="26.25" customHeight="1" x14ac:dyDescent="0.2">
      <c r="B103" s="61">
        <v>1</v>
      </c>
      <c r="C103" s="728" t="s">
        <v>251</v>
      </c>
      <c r="D103" s="729"/>
      <c r="E103" s="729"/>
      <c r="F103" s="729"/>
      <c r="G103" s="729"/>
      <c r="H103" s="729"/>
      <c r="I103" s="729"/>
      <c r="J103" s="729"/>
      <c r="K103" s="729"/>
      <c r="L103" s="729"/>
      <c r="M103" s="729"/>
      <c r="N103" s="729"/>
      <c r="O103" s="729"/>
      <c r="P103" s="729"/>
      <c r="Q103" s="729"/>
      <c r="R103" s="729"/>
      <c r="AA103" s="538"/>
      <c r="AB103" s="538"/>
      <c r="AC103" s="538"/>
      <c r="AD103" s="538"/>
      <c r="AE103" s="538"/>
      <c r="AF103" s="538"/>
      <c r="AG103" s="538"/>
      <c r="AH103" s="538"/>
      <c r="AI103" s="538"/>
      <c r="AJ103" s="538"/>
      <c r="AK103" s="538"/>
    </row>
    <row r="104" spans="2:37" s="59" customFormat="1" ht="37.5" customHeight="1" x14ac:dyDescent="0.25">
      <c r="B104" s="61">
        <v>2</v>
      </c>
      <c r="C104" s="728" t="s">
        <v>252</v>
      </c>
      <c r="D104" s="729"/>
      <c r="E104" s="729"/>
      <c r="F104" s="729"/>
      <c r="G104" s="729"/>
      <c r="H104" s="729"/>
      <c r="I104" s="729"/>
      <c r="J104" s="729"/>
      <c r="K104" s="729"/>
      <c r="L104" s="729"/>
      <c r="M104" s="729"/>
      <c r="N104" s="729"/>
      <c r="O104" s="729"/>
      <c r="P104" s="729"/>
      <c r="Q104" s="729"/>
      <c r="R104" s="729"/>
      <c r="U104" s="3"/>
      <c r="AA104" s="538"/>
      <c r="AB104" s="538"/>
      <c r="AC104" s="538"/>
      <c r="AD104" s="538"/>
      <c r="AE104" s="538"/>
      <c r="AF104" s="538"/>
      <c r="AG104" s="538"/>
      <c r="AH104" s="538"/>
      <c r="AI104" s="538"/>
      <c r="AJ104" s="538"/>
      <c r="AK104" s="538"/>
    </row>
    <row r="105" spans="2:37" s="59" customFormat="1" ht="51" hidden="1" customHeight="1" x14ac:dyDescent="0.25">
      <c r="B105" s="61">
        <v>5</v>
      </c>
      <c r="C105" s="728" t="s">
        <v>253</v>
      </c>
      <c r="D105" s="729"/>
      <c r="E105" s="729"/>
      <c r="F105" s="729"/>
      <c r="G105" s="729"/>
      <c r="H105" s="729"/>
      <c r="I105" s="729"/>
      <c r="J105" s="729"/>
      <c r="K105" s="729"/>
      <c r="L105" s="729"/>
      <c r="M105" s="729"/>
      <c r="N105" s="729"/>
      <c r="O105" s="729"/>
      <c r="P105" s="729"/>
      <c r="Q105" s="729"/>
      <c r="R105" s="729"/>
      <c r="U105" s="3"/>
      <c r="AA105" s="538"/>
      <c r="AB105" s="538"/>
      <c r="AC105" s="538"/>
      <c r="AD105" s="538"/>
      <c r="AE105" s="538"/>
      <c r="AF105" s="538"/>
      <c r="AG105" s="538"/>
      <c r="AH105" s="538"/>
      <c r="AI105" s="538"/>
      <c r="AJ105" s="538"/>
      <c r="AK105" s="538"/>
    </row>
    <row r="106" spans="2:37" s="59" customFormat="1" ht="27" customHeight="1" x14ac:dyDescent="0.25">
      <c r="B106" s="61">
        <v>3</v>
      </c>
      <c r="C106" s="728" t="s">
        <v>254</v>
      </c>
      <c r="D106" s="729"/>
      <c r="E106" s="729"/>
      <c r="F106" s="729"/>
      <c r="G106" s="729"/>
      <c r="H106" s="729"/>
      <c r="I106" s="729"/>
      <c r="J106" s="729"/>
      <c r="K106" s="729"/>
      <c r="L106" s="729"/>
      <c r="M106" s="729"/>
      <c r="N106" s="729"/>
      <c r="O106" s="729"/>
      <c r="P106" s="729"/>
      <c r="Q106" s="729"/>
      <c r="R106" s="729"/>
      <c r="U106" s="3"/>
      <c r="AA106" s="538"/>
      <c r="AB106" s="538"/>
      <c r="AC106" s="538"/>
      <c r="AD106" s="538"/>
      <c r="AE106" s="538"/>
      <c r="AF106" s="538"/>
      <c r="AG106" s="538"/>
      <c r="AH106" s="538"/>
      <c r="AI106" s="538"/>
      <c r="AJ106" s="538"/>
      <c r="AK106" s="538"/>
    </row>
    <row r="107" spans="2:37" s="59" customFormat="1" ht="15.75" customHeight="1" x14ac:dyDescent="0.2">
      <c r="B107" s="61">
        <v>4</v>
      </c>
      <c r="C107" s="728" t="s">
        <v>255</v>
      </c>
      <c r="D107" s="728"/>
      <c r="E107" s="728"/>
      <c r="F107" s="728"/>
      <c r="G107" s="728"/>
      <c r="H107" s="728"/>
      <c r="I107" s="728"/>
      <c r="J107" s="728"/>
      <c r="K107" s="728"/>
      <c r="L107" s="728"/>
      <c r="M107" s="728"/>
      <c r="N107" s="728"/>
      <c r="O107" s="728"/>
      <c r="P107" s="728"/>
      <c r="Q107" s="728"/>
      <c r="R107" s="728"/>
      <c r="AA107" s="538"/>
      <c r="AB107" s="538"/>
      <c r="AC107" s="538"/>
      <c r="AD107" s="538"/>
      <c r="AE107" s="538"/>
      <c r="AF107" s="538"/>
      <c r="AG107" s="538"/>
      <c r="AH107" s="538"/>
      <c r="AI107" s="538"/>
      <c r="AJ107" s="538"/>
      <c r="AK107" s="538"/>
    </row>
    <row r="108" spans="2:37" s="59" customFormat="1" ht="38.25" customHeight="1" x14ac:dyDescent="0.2">
      <c r="B108" s="60">
        <v>5</v>
      </c>
      <c r="C108" s="728" t="s">
        <v>256</v>
      </c>
      <c r="D108" s="728"/>
      <c r="E108" s="728"/>
      <c r="F108" s="728"/>
      <c r="G108" s="728"/>
      <c r="H108" s="728"/>
      <c r="I108" s="728"/>
      <c r="J108" s="728"/>
      <c r="K108" s="728"/>
      <c r="L108" s="728"/>
      <c r="M108" s="728"/>
      <c r="N108" s="728"/>
      <c r="O108" s="728"/>
      <c r="P108" s="728"/>
      <c r="Q108" s="728"/>
      <c r="R108" s="728"/>
      <c r="AA108" s="538"/>
      <c r="AB108" s="538"/>
      <c r="AC108" s="538"/>
      <c r="AD108" s="538"/>
      <c r="AE108" s="538"/>
      <c r="AF108" s="538"/>
      <c r="AG108" s="538"/>
      <c r="AH108" s="538"/>
      <c r="AI108" s="538"/>
      <c r="AJ108" s="538"/>
      <c r="AK108" s="538"/>
    </row>
    <row r="109" spans="2:37" s="59" customFormat="1" ht="25.5" customHeight="1" x14ac:dyDescent="0.2">
      <c r="B109" s="60">
        <v>6</v>
      </c>
      <c r="C109" s="728" t="s">
        <v>257</v>
      </c>
      <c r="D109" s="728"/>
      <c r="E109" s="728"/>
      <c r="F109" s="728"/>
      <c r="G109" s="728"/>
      <c r="H109" s="728"/>
      <c r="I109" s="728"/>
      <c r="J109" s="728"/>
      <c r="K109" s="728"/>
      <c r="L109" s="728"/>
      <c r="M109" s="728"/>
      <c r="N109" s="728"/>
      <c r="O109" s="728"/>
      <c r="P109" s="728"/>
      <c r="Q109" s="728"/>
      <c r="R109" s="728"/>
      <c r="AA109" s="538"/>
      <c r="AB109" s="538"/>
      <c r="AC109" s="538"/>
      <c r="AD109" s="538"/>
      <c r="AE109" s="538"/>
      <c r="AF109" s="538"/>
      <c r="AG109" s="538"/>
      <c r="AH109" s="538"/>
      <c r="AI109" s="538"/>
      <c r="AJ109" s="538"/>
      <c r="AK109" s="538"/>
    </row>
    <row r="110" spans="2:37" s="59" customFormat="1" ht="25.5" customHeight="1" x14ac:dyDescent="0.2">
      <c r="B110" s="60">
        <v>7</v>
      </c>
      <c r="C110" s="728" t="s">
        <v>258</v>
      </c>
      <c r="D110" s="728"/>
      <c r="E110" s="728"/>
      <c r="F110" s="728"/>
      <c r="G110" s="728"/>
      <c r="H110" s="728"/>
      <c r="I110" s="728"/>
      <c r="J110" s="728"/>
      <c r="K110" s="728"/>
      <c r="L110" s="728"/>
      <c r="M110" s="728"/>
      <c r="N110" s="728"/>
      <c r="O110" s="728"/>
      <c r="P110" s="728"/>
      <c r="Q110" s="728"/>
      <c r="R110" s="728"/>
      <c r="AA110" s="538"/>
      <c r="AB110" s="538"/>
      <c r="AC110" s="538"/>
      <c r="AD110" s="538"/>
      <c r="AE110" s="538"/>
      <c r="AF110" s="538"/>
      <c r="AG110" s="538"/>
      <c r="AH110" s="538"/>
      <c r="AI110" s="538"/>
      <c r="AJ110" s="538"/>
      <c r="AK110" s="538"/>
    </row>
    <row r="111" spans="2:37" s="59" customFormat="1" ht="27" hidden="1" customHeight="1" x14ac:dyDescent="0.2">
      <c r="B111" s="60">
        <v>11</v>
      </c>
      <c r="C111" s="728" t="s">
        <v>259</v>
      </c>
      <c r="D111" s="728"/>
      <c r="E111" s="728"/>
      <c r="F111" s="728"/>
      <c r="G111" s="728"/>
      <c r="H111" s="728"/>
      <c r="I111" s="728"/>
      <c r="J111" s="728"/>
      <c r="K111" s="728"/>
      <c r="L111" s="728"/>
      <c r="M111" s="728"/>
      <c r="N111" s="728"/>
      <c r="O111" s="728"/>
      <c r="P111" s="728"/>
      <c r="Q111" s="728"/>
      <c r="R111" s="728"/>
      <c r="AA111" s="538"/>
      <c r="AB111" s="538"/>
      <c r="AC111" s="538"/>
      <c r="AD111" s="538"/>
      <c r="AE111" s="538"/>
      <c r="AF111" s="538"/>
      <c r="AG111" s="538"/>
      <c r="AH111" s="538"/>
      <c r="AI111" s="538"/>
      <c r="AJ111" s="538"/>
      <c r="AK111" s="538"/>
    </row>
    <row r="112" spans="2:37" s="59" customFormat="1" ht="15" hidden="1" customHeight="1" x14ac:dyDescent="0.2">
      <c r="B112" s="60">
        <v>12</v>
      </c>
      <c r="C112" s="728" t="s">
        <v>260</v>
      </c>
      <c r="D112" s="728"/>
      <c r="E112" s="728"/>
      <c r="F112" s="728"/>
      <c r="G112" s="728"/>
      <c r="H112" s="728"/>
      <c r="I112" s="728"/>
      <c r="J112" s="728"/>
      <c r="K112" s="728"/>
      <c r="L112" s="728"/>
      <c r="M112" s="728"/>
      <c r="N112" s="728"/>
      <c r="O112" s="728"/>
      <c r="P112" s="728"/>
      <c r="Q112" s="728"/>
      <c r="R112" s="728"/>
      <c r="AA112" s="538"/>
      <c r="AB112" s="538"/>
      <c r="AC112" s="538"/>
      <c r="AD112" s="538"/>
      <c r="AE112" s="538"/>
      <c r="AF112" s="538"/>
      <c r="AG112" s="538"/>
      <c r="AH112" s="538"/>
      <c r="AI112" s="538"/>
      <c r="AJ112" s="538"/>
      <c r="AK112" s="538"/>
    </row>
    <row r="113" spans="2:37" s="59" customFormat="1" ht="26.25" customHeight="1" x14ac:dyDescent="0.2">
      <c r="B113" s="60">
        <v>8</v>
      </c>
      <c r="C113" s="728" t="s">
        <v>261</v>
      </c>
      <c r="D113" s="728"/>
      <c r="E113" s="728"/>
      <c r="F113" s="728"/>
      <c r="G113" s="728"/>
      <c r="H113" s="728"/>
      <c r="I113" s="728"/>
      <c r="J113" s="728"/>
      <c r="K113" s="728"/>
      <c r="L113" s="728"/>
      <c r="M113" s="728"/>
      <c r="N113" s="728"/>
      <c r="O113" s="728"/>
      <c r="P113" s="728"/>
      <c r="Q113" s="728"/>
      <c r="R113" s="728"/>
      <c r="AA113" s="538"/>
      <c r="AB113" s="538"/>
      <c r="AC113" s="538"/>
      <c r="AD113" s="538"/>
      <c r="AE113" s="538"/>
      <c r="AF113" s="538"/>
      <c r="AG113" s="538"/>
      <c r="AH113" s="538"/>
      <c r="AI113" s="538"/>
      <c r="AJ113" s="538"/>
      <c r="AK113" s="538"/>
    </row>
    <row r="114" spans="2:37" s="59" customFormat="1" ht="53.25" customHeight="1" x14ac:dyDescent="0.2">
      <c r="B114" s="60">
        <v>9</v>
      </c>
      <c r="C114" s="728" t="s">
        <v>262</v>
      </c>
      <c r="D114" s="728"/>
      <c r="E114" s="728"/>
      <c r="F114" s="728"/>
      <c r="G114" s="728"/>
      <c r="H114" s="728"/>
      <c r="I114" s="728"/>
      <c r="J114" s="728"/>
      <c r="K114" s="728"/>
      <c r="L114" s="728"/>
      <c r="M114" s="728"/>
      <c r="N114" s="728"/>
      <c r="O114" s="728"/>
      <c r="P114" s="728"/>
      <c r="Q114" s="728"/>
      <c r="R114" s="728"/>
      <c r="AA114" s="538"/>
      <c r="AB114" s="538"/>
      <c r="AC114" s="538"/>
      <c r="AD114" s="538"/>
      <c r="AE114" s="538"/>
      <c r="AF114" s="538"/>
      <c r="AG114" s="538"/>
      <c r="AH114" s="538"/>
      <c r="AI114" s="538"/>
      <c r="AJ114" s="538"/>
      <c r="AK114" s="538"/>
    </row>
    <row r="115" spans="2:37" s="59" customFormat="1" ht="27" customHeight="1" x14ac:dyDescent="0.2">
      <c r="C115" s="728" t="s">
        <v>263</v>
      </c>
      <c r="D115" s="728"/>
      <c r="E115" s="728"/>
      <c r="F115" s="728"/>
      <c r="G115" s="728"/>
      <c r="H115" s="728"/>
      <c r="I115" s="728"/>
      <c r="J115" s="728"/>
      <c r="K115" s="728"/>
      <c r="L115" s="728"/>
      <c r="M115" s="728"/>
      <c r="N115" s="728"/>
      <c r="O115" s="728"/>
      <c r="P115" s="728"/>
      <c r="Q115" s="728"/>
      <c r="R115" s="728"/>
      <c r="AA115" s="538"/>
      <c r="AB115" s="538"/>
      <c r="AC115" s="538"/>
      <c r="AD115" s="538"/>
      <c r="AE115" s="538"/>
      <c r="AF115" s="538"/>
      <c r="AG115" s="538"/>
      <c r="AH115" s="538"/>
      <c r="AI115" s="538"/>
      <c r="AJ115" s="538"/>
      <c r="AK115" s="538"/>
    </row>
    <row r="116" spans="2:37" s="59" customFormat="1" ht="12" customHeight="1" x14ac:dyDescent="0.2">
      <c r="C116" s="728" t="s">
        <v>264</v>
      </c>
      <c r="D116" s="728"/>
      <c r="E116" s="728"/>
      <c r="F116" s="728"/>
      <c r="G116" s="728"/>
      <c r="H116" s="728"/>
      <c r="I116" s="728"/>
      <c r="J116" s="728"/>
      <c r="K116" s="728"/>
      <c r="L116" s="728"/>
      <c r="M116" s="728"/>
      <c r="N116" s="728"/>
      <c r="O116" s="728"/>
      <c r="P116" s="728"/>
      <c r="Q116" s="728"/>
      <c r="R116" s="728"/>
      <c r="AA116" s="538"/>
      <c r="AB116" s="538"/>
      <c r="AC116" s="538"/>
      <c r="AD116" s="538"/>
      <c r="AE116" s="538"/>
      <c r="AF116" s="538"/>
      <c r="AG116" s="538"/>
      <c r="AH116" s="538"/>
      <c r="AI116" s="538"/>
      <c r="AJ116" s="538"/>
      <c r="AK116" s="538"/>
    </row>
    <row r="117" spans="2:37" x14ac:dyDescent="0.25"/>
    <row r="118" spans="2:37" x14ac:dyDescent="0.25"/>
    <row r="119" spans="2:37" x14ac:dyDescent="0.25"/>
    <row r="120" spans="2:37" ht="15.75" x14ac:dyDescent="0.25">
      <c r="AA120" s="539" t="s">
        <v>265</v>
      </c>
      <c r="AB120" s="106" t="s">
        <v>266</v>
      </c>
      <c r="AC120" s="106" t="s">
        <v>267</v>
      </c>
      <c r="AD120" s="106" t="s">
        <v>268</v>
      </c>
      <c r="AE120" s="106" t="s">
        <v>269</v>
      </c>
      <c r="AF120" s="106" t="s">
        <v>270</v>
      </c>
      <c r="AG120" s="106" t="s">
        <v>266</v>
      </c>
      <c r="AH120" s="106" t="s">
        <v>270</v>
      </c>
      <c r="AI120" s="106" t="s">
        <v>271</v>
      </c>
      <c r="AJ120" s="106" t="s">
        <v>272</v>
      </c>
      <c r="AK120" s="106" t="s">
        <v>273</v>
      </c>
    </row>
    <row r="121" spans="2:37" ht="15.75" x14ac:dyDescent="0.25">
      <c r="AA121" s="530" t="s">
        <v>274</v>
      </c>
      <c r="AB121" s="635">
        <v>9.9199999999999997E-2</v>
      </c>
      <c r="AC121" s="635">
        <v>0.1767</v>
      </c>
      <c r="AD121" s="635">
        <v>0.17369999999999999</v>
      </c>
      <c r="AE121" s="635">
        <v>6.7900000000000002E-2</v>
      </c>
      <c r="AF121" s="635">
        <v>3.8800000000000001E-2</v>
      </c>
      <c r="AG121" s="635">
        <v>0.1855</v>
      </c>
      <c r="AH121" s="635">
        <v>7.6399999999999996E-2</v>
      </c>
      <c r="AI121" s="635">
        <v>0.1091</v>
      </c>
      <c r="AJ121" s="635">
        <v>7.2700000000000001E-2</v>
      </c>
      <c r="AK121" s="635">
        <v>0.1</v>
      </c>
    </row>
    <row r="122" spans="2:37" ht="15.75" x14ac:dyDescent="0.25">
      <c r="AA122" s="530" t="s">
        <v>90</v>
      </c>
      <c r="AB122" s="635">
        <v>9.4700000000000006E-2</v>
      </c>
      <c r="AC122" s="635">
        <v>0.17710000000000001</v>
      </c>
      <c r="AD122" s="635">
        <v>0.19470000000000001</v>
      </c>
      <c r="AE122" s="635">
        <v>7.2900000000000006E-2</v>
      </c>
      <c r="AF122" s="635">
        <v>3.6999999999999998E-2</v>
      </c>
      <c r="AG122" s="635">
        <v>0.17710000000000001</v>
      </c>
      <c r="AH122" s="635">
        <v>7.2900000000000006E-2</v>
      </c>
      <c r="AI122" s="635">
        <v>0.1042</v>
      </c>
      <c r="AJ122" s="635">
        <v>6.9400000000000003E-2</v>
      </c>
      <c r="AK122" s="635">
        <v>0.1</v>
      </c>
    </row>
    <row r="123" spans="2:37" ht="15.75" x14ac:dyDescent="0.25">
      <c r="AA123" s="539"/>
      <c r="AB123" s="539"/>
      <c r="AC123" s="539"/>
    </row>
    <row r="124" spans="2:37" ht="15.75" x14ac:dyDescent="0.25">
      <c r="AA124" s="539" t="s">
        <v>275</v>
      </c>
      <c r="AB124" s="106" t="s">
        <v>266</v>
      </c>
      <c r="AC124" s="106" t="s">
        <v>267</v>
      </c>
      <c r="AD124" s="106" t="s">
        <v>268</v>
      </c>
      <c r="AE124" s="106" t="s">
        <v>269</v>
      </c>
      <c r="AF124" s="106" t="s">
        <v>270</v>
      </c>
      <c r="AG124" s="106" t="s">
        <v>266</v>
      </c>
      <c r="AH124" s="106" t="s">
        <v>270</v>
      </c>
      <c r="AI124" s="106" t="s">
        <v>271</v>
      </c>
      <c r="AJ124" s="106" t="s">
        <v>272</v>
      </c>
      <c r="AK124" s="106" t="s">
        <v>273</v>
      </c>
    </row>
    <row r="125" spans="2:37" ht="15.75" x14ac:dyDescent="0.25">
      <c r="AA125" s="530" t="s">
        <v>274</v>
      </c>
      <c r="AB125" s="635">
        <v>0.11360000000000001</v>
      </c>
      <c r="AC125" s="635">
        <v>0.17560000000000001</v>
      </c>
      <c r="AD125" s="635">
        <v>0.16450000000000001</v>
      </c>
      <c r="AE125" s="635">
        <v>7.2300000000000003E-2</v>
      </c>
      <c r="AF125" s="635">
        <v>3.6700000000000003E-2</v>
      </c>
      <c r="AG125" s="635">
        <v>0.17560000000000001</v>
      </c>
      <c r="AH125" s="635">
        <v>8.2600000000000007E-2</v>
      </c>
      <c r="AI125" s="635">
        <v>0.1033</v>
      </c>
      <c r="AJ125" s="635">
        <v>7.5800000000000006E-2</v>
      </c>
      <c r="AK125" s="635">
        <v>0.1</v>
      </c>
    </row>
    <row r="126" spans="2:37" ht="15.75" x14ac:dyDescent="0.25">
      <c r="AA126" s="530" t="s">
        <v>90</v>
      </c>
      <c r="AB126" s="635">
        <v>0.1082</v>
      </c>
      <c r="AC126" s="635">
        <v>0.17530000000000001</v>
      </c>
      <c r="AD126" s="635">
        <v>0.184</v>
      </c>
      <c r="AE126" s="635">
        <v>7.6499999999999999E-2</v>
      </c>
      <c r="AF126" s="635">
        <v>3.9399999999999998E-2</v>
      </c>
      <c r="AG126" s="635">
        <v>0.1673</v>
      </c>
      <c r="AH126" s="635">
        <v>7.8700000000000006E-2</v>
      </c>
      <c r="AI126" s="635">
        <v>9.8400000000000001E-2</v>
      </c>
      <c r="AJ126" s="635">
        <v>7.22E-2</v>
      </c>
      <c r="AK126" s="635">
        <v>0.1</v>
      </c>
    </row>
    <row r="127" spans="2:37" ht="15.75" x14ac:dyDescent="0.25">
      <c r="AA127" s="539"/>
      <c r="AB127" s="539"/>
      <c r="AC127" s="539"/>
    </row>
    <row r="128" spans="2:37" ht="15.75" x14ac:dyDescent="0.25">
      <c r="AA128" s="539"/>
      <c r="AB128" s="539"/>
      <c r="AC128" s="539"/>
    </row>
    <row r="129" spans="27:37" ht="15.75" x14ac:dyDescent="0.25">
      <c r="AA129" s="539"/>
      <c r="AB129" s="539"/>
      <c r="AC129" s="539"/>
    </row>
    <row r="130" spans="27:37" ht="15.75" x14ac:dyDescent="0.25">
      <c r="AA130" s="539"/>
    </row>
    <row r="131" spans="27:37" ht="15.75" x14ac:dyDescent="0.25">
      <c r="AA131" s="539" t="s">
        <v>276</v>
      </c>
      <c r="AB131" s="106" t="s">
        <v>266</v>
      </c>
      <c r="AC131" s="106" t="s">
        <v>267</v>
      </c>
      <c r="AD131" s="106" t="s">
        <v>268</v>
      </c>
      <c r="AE131" s="106" t="s">
        <v>269</v>
      </c>
      <c r="AF131" s="106" t="s">
        <v>270</v>
      </c>
      <c r="AG131" s="106" t="s">
        <v>266</v>
      </c>
      <c r="AH131" s="106" t="s">
        <v>270</v>
      </c>
      <c r="AI131" s="106" t="s">
        <v>271</v>
      </c>
      <c r="AJ131" s="106" t="s">
        <v>272</v>
      </c>
      <c r="AK131" s="106" t="s">
        <v>273</v>
      </c>
    </row>
    <row r="132" spans="27:37" ht="15.75" x14ac:dyDescent="0.25">
      <c r="AA132" s="540">
        <v>0</v>
      </c>
      <c r="AB132" s="635">
        <v>0</v>
      </c>
      <c r="AC132" s="635">
        <v>0</v>
      </c>
      <c r="AD132" s="635">
        <v>0</v>
      </c>
      <c r="AE132" s="635">
        <v>0</v>
      </c>
      <c r="AF132" s="635">
        <v>0</v>
      </c>
      <c r="AG132" s="635">
        <v>0</v>
      </c>
      <c r="AH132" s="635">
        <v>0</v>
      </c>
      <c r="AI132" s="635">
        <v>0</v>
      </c>
      <c r="AJ132" s="635">
        <v>0</v>
      </c>
      <c r="AK132" s="635">
        <v>0</v>
      </c>
    </row>
    <row r="133" spans="27:37" ht="15.75" x14ac:dyDescent="0.25">
      <c r="AA133" s="530" t="s">
        <v>90</v>
      </c>
      <c r="AB133" s="635">
        <v>0.11</v>
      </c>
      <c r="AC133" s="635">
        <v>0.17</v>
      </c>
      <c r="AD133" s="635">
        <v>0.18</v>
      </c>
      <c r="AE133" s="635">
        <v>7.0000000000000007E-2</v>
      </c>
      <c r="AF133" s="635">
        <v>0.04</v>
      </c>
      <c r="AG133" s="635">
        <v>0.17</v>
      </c>
      <c r="AH133" s="635">
        <v>0.08</v>
      </c>
      <c r="AI133" s="635">
        <v>0.1</v>
      </c>
      <c r="AJ133" s="635">
        <v>0.08</v>
      </c>
      <c r="AK133" s="635">
        <v>0.1</v>
      </c>
    </row>
    <row r="134" spans="27:37" ht="15.75" x14ac:dyDescent="0.25">
      <c r="AA134" s="530" t="s">
        <v>94</v>
      </c>
      <c r="AB134" s="635">
        <v>0.1072</v>
      </c>
      <c r="AC134" s="635">
        <v>0.11749999999999999</v>
      </c>
      <c r="AD134" s="635">
        <v>0.1643</v>
      </c>
      <c r="AE134" s="635">
        <v>9.2299999999999993E-2</v>
      </c>
      <c r="AF134" s="635">
        <v>1.7600000000000001E-2</v>
      </c>
      <c r="AG134" s="635">
        <v>0.22420000000000001</v>
      </c>
      <c r="AH134" s="635">
        <v>9.2299999999999993E-2</v>
      </c>
      <c r="AI134" s="635">
        <v>0.13189999999999999</v>
      </c>
      <c r="AJ134" s="635">
        <v>5.2699999999999997E-2</v>
      </c>
      <c r="AK134" s="635">
        <v>0.1</v>
      </c>
    </row>
    <row r="135" spans="27:37" ht="15.75" x14ac:dyDescent="0.25">
      <c r="AA135" s="530" t="s">
        <v>277</v>
      </c>
      <c r="AB135" s="635">
        <v>0.1056</v>
      </c>
      <c r="AC135" s="635">
        <v>0.13400000000000001</v>
      </c>
      <c r="AD135" s="635">
        <v>0.1757</v>
      </c>
      <c r="AE135" s="635">
        <v>7.7200000000000005E-2</v>
      </c>
      <c r="AF135" s="635">
        <v>4.41E-2</v>
      </c>
      <c r="AG135" s="635">
        <v>0.18759999999999999</v>
      </c>
      <c r="AH135" s="635">
        <v>7.7200000000000005E-2</v>
      </c>
      <c r="AI135" s="635">
        <v>0.1103</v>
      </c>
      <c r="AJ135" s="635">
        <v>8.8300000000000003E-2</v>
      </c>
      <c r="AK135" s="635">
        <v>0.1</v>
      </c>
    </row>
    <row r="136" spans="27:37" ht="15.75" x14ac:dyDescent="0.25">
      <c r="AB136" s="539"/>
      <c r="AC136" s="539"/>
      <c r="AD136" s="539"/>
      <c r="AE136" s="539"/>
      <c r="AF136" s="539"/>
      <c r="AG136" s="539"/>
      <c r="AH136" s="539"/>
      <c r="AI136" s="539"/>
      <c r="AJ136" s="539"/>
      <c r="AK136" s="539"/>
    </row>
    <row r="137" spans="27:37" x14ac:dyDescent="0.25"/>
    <row r="138" spans="27:37" ht="15.75" x14ac:dyDescent="0.25">
      <c r="AB138" s="539"/>
      <c r="AC138" s="539"/>
      <c r="AD138" s="539"/>
      <c r="AE138" s="539"/>
      <c r="AF138" s="539"/>
      <c r="AG138" s="539"/>
      <c r="AH138" s="539"/>
      <c r="AI138" s="539"/>
      <c r="AJ138" s="539"/>
      <c r="AK138" s="539"/>
    </row>
    <row r="139" spans="27:37" x14ac:dyDescent="0.25"/>
    <row r="140" spans="27:37" x14ac:dyDescent="0.25"/>
  </sheetData>
  <sheetProtection algorithmName="SHA-512" hashValue="WNWiYpOtMJdtDYORDfeUeWf7I4isdQjbnlA2tg2fXX8IAYQnCjOhMMDi22Q4iy8qGVfi3fayXE6bFkmtzp2bww==" saltValue="ThFMDf1ELTH3TkdQrX1iQA==" spinCount="100000" sheet="1" objects="1" scenarios="1"/>
  <mergeCells count="21">
    <mergeCell ref="S8:Z12"/>
    <mergeCell ref="S23:Z28"/>
    <mergeCell ref="B14:R14"/>
    <mergeCell ref="S33:W36"/>
    <mergeCell ref="C101:R101"/>
    <mergeCell ref="S13:Z13"/>
    <mergeCell ref="C102:R102"/>
    <mergeCell ref="C103:R103"/>
    <mergeCell ref="C104:R104"/>
    <mergeCell ref="C116:R116"/>
    <mergeCell ref="C115:R115"/>
    <mergeCell ref="C114:R114"/>
    <mergeCell ref="C109:R109"/>
    <mergeCell ref="C112:R112"/>
    <mergeCell ref="C113:R113"/>
    <mergeCell ref="C111:R111"/>
    <mergeCell ref="C108:R108"/>
    <mergeCell ref="C110:R110"/>
    <mergeCell ref="C106:R106"/>
    <mergeCell ref="C107:R107"/>
    <mergeCell ref="C105:R105"/>
  </mergeCells>
  <dataValidations disablePrompts="1" count="1">
    <dataValidation allowBlank="1" showInputMessage="1" showErrorMessage="1" promptTitle="Irene Scudu" prompt="Calculation of the total scoring" sqref="AA10" xr:uid="{00000000-0002-0000-0100-000000000000}"/>
  </dataValidations>
  <pageMargins left="1.0236220472440944" right="0.19685039370078741" top="0.65" bottom="0.39370078740157483" header="0.31496062992125984" footer="0.31496062992125984"/>
  <pageSetup paperSize="9" scale="62" fitToHeight="0" orientation="portrait" r:id="rId1"/>
  <headerFooter>
    <oddHeader>&amp;R&amp;G</oddHeader>
    <oddFooter>&amp;LAssessment Rating &amp; KPIs&amp;C&amp;D&amp;RSection 2 - Page &amp;P</oddFooter>
  </headerFooter>
  <rowBreaks count="1" manualBreakCount="1">
    <brk id="35" max="16383" man="1"/>
  </rowBreaks>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249977111117893"/>
    <pageSetUpPr fitToPage="1"/>
  </sheetPr>
  <dimension ref="A1:BO44645"/>
  <sheetViews>
    <sheetView tabSelected="1" topLeftCell="A3" zoomScale="90" zoomScaleNormal="90" workbookViewId="0">
      <pane ySplit="4" topLeftCell="A385" activePane="bottomLeft" state="frozen"/>
      <selection activeCell="A3" sqref="A3"/>
      <selection pane="bottomLeft" activeCell="B385" sqref="B385"/>
    </sheetView>
  </sheetViews>
  <sheetFormatPr defaultColWidth="0" defaultRowHeight="15.75" zeroHeight="1" x14ac:dyDescent="0.25"/>
  <cols>
    <col min="1" max="1" width="2.7109375" style="3" customWidth="1"/>
    <col min="2" max="2" width="15.7109375" style="21" customWidth="1"/>
    <col min="3" max="4" width="14.7109375" style="21" customWidth="1"/>
    <col min="5" max="5" width="0.5703125" style="21" customWidth="1"/>
    <col min="6" max="6" width="20.42578125" style="21" customWidth="1"/>
    <col min="7" max="7" width="0.5703125" style="21" customWidth="1"/>
    <col min="8" max="8" width="15.7109375" style="21" customWidth="1"/>
    <col min="9" max="9" width="0.5703125" style="21" customWidth="1"/>
    <col min="10" max="10" width="16" style="21" customWidth="1"/>
    <col min="11" max="11" width="0.5703125" style="21" customWidth="1"/>
    <col min="12" max="12" width="16.42578125" style="21" customWidth="1"/>
    <col min="13" max="13" width="0.7109375" style="21" customWidth="1"/>
    <col min="14" max="14" width="16.7109375" style="21" customWidth="1"/>
    <col min="15" max="15" width="0.5703125" style="21" customWidth="1"/>
    <col min="16" max="16" width="15.7109375" style="21" customWidth="1"/>
    <col min="17" max="17" width="1.28515625" style="21" customWidth="1"/>
    <col min="18" max="18" width="7" style="209" customWidth="1"/>
    <col min="19" max="19" width="4.5703125" style="3" customWidth="1"/>
    <col min="20" max="21" width="18" style="3" customWidth="1"/>
    <col min="22" max="22" width="18.85546875" style="3" customWidth="1"/>
    <col min="23" max="23" width="18" style="3" customWidth="1"/>
    <col min="24" max="24" width="88.85546875" style="3" customWidth="1"/>
    <col min="25" max="25" width="10.7109375" style="18" hidden="1" customWidth="1"/>
    <col min="26" max="26" width="71.7109375" style="501" hidden="1" customWidth="1"/>
    <col min="27" max="27" width="22.5703125" style="501" hidden="1" customWidth="1"/>
    <col min="28" max="28" width="28.42578125" style="501" hidden="1" customWidth="1"/>
    <col min="29" max="29" width="57.7109375" style="501" hidden="1" customWidth="1"/>
    <col min="30" max="30" width="51" style="501" hidden="1" customWidth="1"/>
    <col min="31" max="32" width="34.140625" style="501" hidden="1" customWidth="1"/>
    <col min="33" max="33" width="49" style="501" hidden="1" customWidth="1"/>
    <col min="34" max="34" width="42.42578125" style="501" hidden="1" customWidth="1"/>
    <col min="35" max="35" width="9.5703125" style="501" hidden="1" customWidth="1"/>
    <col min="36" max="36" width="42.140625" style="501" hidden="1" customWidth="1"/>
    <col min="37" max="37" width="20.140625" style="501" hidden="1" customWidth="1"/>
    <col min="38" max="38" width="14.7109375" style="501" hidden="1" customWidth="1"/>
    <col min="39" max="39" width="18.28515625" style="501" hidden="1" customWidth="1"/>
    <col min="40" max="40" width="17.140625" style="501" hidden="1" customWidth="1"/>
    <col min="41" max="41" width="18.28515625" style="501" hidden="1" customWidth="1"/>
    <col min="42" max="43" width="59.85546875" style="501" hidden="1" customWidth="1"/>
    <col min="44" max="44" width="12.85546875" style="501" hidden="1" customWidth="1"/>
    <col min="45" max="45" width="13.42578125" style="501" hidden="1" customWidth="1"/>
    <col min="46" max="46" width="25.140625" style="501" hidden="1" customWidth="1"/>
    <col min="47" max="47" width="10.42578125" style="501" hidden="1" customWidth="1"/>
    <col min="48" max="48" width="25.140625" style="501" hidden="1" customWidth="1"/>
    <col min="49" max="49" width="7.42578125" style="502" hidden="1" customWidth="1"/>
    <col min="50" max="53" width="22.140625" style="503" hidden="1" customWidth="1"/>
    <col min="54" max="60" width="20.7109375" style="503" hidden="1" customWidth="1"/>
    <col min="61" max="61" width="9.140625" style="18" hidden="1" customWidth="1"/>
    <col min="62" max="62" width="9.140625" style="3" hidden="1" customWidth="1"/>
    <col min="63" max="63" width="14.42578125" style="3" hidden="1" customWidth="1"/>
    <col min="64" max="64" width="23.85546875" style="3" hidden="1" customWidth="1"/>
    <col min="65" max="65" width="6.85546875" style="3" hidden="1" customWidth="1"/>
    <col min="66" max="66" width="15.28515625" style="3" hidden="1" customWidth="1"/>
    <col min="67" max="67" width="14.140625" style="3" hidden="1" customWidth="1"/>
    <col min="68" max="16384" width="9.140625" style="3" hidden="1"/>
  </cols>
  <sheetData>
    <row r="1" spans="2:67" ht="15.6" hidden="1" customHeight="1" x14ac:dyDescent="0.25">
      <c r="B1" s="229" t="s">
        <v>278</v>
      </c>
      <c r="C1" s="230"/>
      <c r="D1" s="230"/>
      <c r="E1" s="230"/>
      <c r="F1" s="230"/>
      <c r="G1" s="230"/>
      <c r="H1" s="230"/>
      <c r="I1" s="230"/>
      <c r="J1" s="230"/>
      <c r="K1" s="230"/>
      <c r="L1" s="230"/>
      <c r="M1" s="230"/>
      <c r="N1" s="230"/>
      <c r="O1" s="230"/>
      <c r="P1" s="230"/>
      <c r="Q1" s="230"/>
      <c r="R1" s="231"/>
      <c r="S1" s="2"/>
      <c r="T1" s="2"/>
      <c r="U1" s="2"/>
      <c r="V1" s="2"/>
      <c r="W1" s="2"/>
      <c r="X1" s="4" t="s">
        <v>278</v>
      </c>
      <c r="Y1" s="504"/>
      <c r="AP1" s="505" t="s">
        <v>278</v>
      </c>
    </row>
    <row r="2" spans="2:67" ht="14.25" hidden="1" customHeight="1" x14ac:dyDescent="0.25">
      <c r="B2" s="229"/>
      <c r="C2" s="231"/>
      <c r="D2" s="231"/>
      <c r="E2" s="231"/>
      <c r="F2" s="231"/>
      <c r="G2" s="231"/>
      <c r="H2" s="231"/>
      <c r="I2" s="231"/>
      <c r="J2" s="231"/>
      <c r="K2" s="231"/>
      <c r="L2" s="231"/>
      <c r="M2" s="231"/>
      <c r="N2" s="231"/>
      <c r="O2" s="231"/>
      <c r="P2" s="231"/>
      <c r="Q2" s="231"/>
      <c r="R2" s="231"/>
      <c r="S2" s="5"/>
      <c r="T2" s="5"/>
      <c r="U2" s="5"/>
      <c r="V2" s="5"/>
      <c r="W2" s="5"/>
      <c r="X2" s="5"/>
      <c r="Y2" s="503"/>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7"/>
    </row>
    <row r="3" spans="2:67" ht="15" customHeight="1" x14ac:dyDescent="0.25">
      <c r="S3" s="11"/>
      <c r="W3" s="6"/>
      <c r="X3" s="6"/>
      <c r="Y3" s="501"/>
      <c r="AH3" s="502"/>
      <c r="AT3" s="508"/>
      <c r="AU3" s="508"/>
      <c r="AV3" s="508"/>
      <c r="BI3" s="3"/>
    </row>
    <row r="4" spans="2:67" ht="36" customHeight="1" x14ac:dyDescent="0.25">
      <c r="B4" s="187" t="str">
        <f>IF(OR(projecttype='Assessment Details'!Z209,projecttype=""),"BREEAM SE New Construction 2017 Assessment Report: Assessment Issue Scoring","BREEAM SE Bespoke New Construction 2017 Assessment Report: Assessment Issue Scoring")</f>
        <v>BREEAM SE New Construction 2017 Assessment Report: Assessment Issue Scoring</v>
      </c>
      <c r="C4" s="222"/>
      <c r="D4" s="222"/>
      <c r="E4" s="222"/>
      <c r="F4" s="222"/>
      <c r="G4" s="222"/>
      <c r="H4" s="222"/>
      <c r="I4" s="222"/>
      <c r="J4" s="222"/>
      <c r="K4" s="222"/>
      <c r="L4" s="222"/>
      <c r="M4" s="222"/>
      <c r="N4" s="222"/>
      <c r="O4" s="222"/>
      <c r="P4" s="222"/>
      <c r="Q4" s="222"/>
      <c r="S4" s="346"/>
      <c r="T4" s="7"/>
      <c r="U4" s="7"/>
      <c r="V4" s="7"/>
      <c r="W4" s="7"/>
      <c r="X4" s="7"/>
      <c r="Y4" s="501"/>
      <c r="AH4" s="502"/>
      <c r="AT4" s="509"/>
      <c r="AU4" s="509"/>
      <c r="AV4" s="509"/>
      <c r="BI4" s="3"/>
    </row>
    <row r="5" spans="2:67" ht="15" customHeight="1" x14ac:dyDescent="0.25">
      <c r="B5" s="786" t="str">
        <f>IF(AD_Mandatory_fields_text=AIS_statement09,"Warning: All Mandatory fields in the assessment details worksheet must be completed/defined to reveal the applicable assessment issues.","")</f>
        <v>Warning: All Mandatory fields in the assessment details worksheet must be completed/defined to reveal the applicable assessment issues.</v>
      </c>
      <c r="C5" s="786"/>
      <c r="D5" s="786"/>
      <c r="E5" s="786"/>
      <c r="F5" s="786"/>
      <c r="G5" s="786"/>
      <c r="H5" s="786"/>
      <c r="I5" s="786"/>
      <c r="J5" s="786"/>
      <c r="K5" s="786"/>
      <c r="L5" s="786"/>
      <c r="M5" s="786"/>
      <c r="N5" s="786"/>
      <c r="O5" s="786"/>
      <c r="P5" s="786"/>
      <c r="Q5" s="399"/>
      <c r="S5" s="11"/>
      <c r="T5" s="8"/>
      <c r="U5" s="8"/>
      <c r="V5" s="8"/>
      <c r="W5" s="9"/>
      <c r="X5" s="9"/>
      <c r="Y5" s="501"/>
      <c r="AH5" s="502"/>
      <c r="AT5" s="509"/>
      <c r="AU5" s="509"/>
      <c r="AV5" s="509"/>
      <c r="BI5" s="3"/>
    </row>
    <row r="6" spans="2:67" ht="30" customHeight="1" x14ac:dyDescent="0.25">
      <c r="B6" s="399"/>
      <c r="C6" s="399"/>
      <c r="D6" s="399"/>
      <c r="E6" s="399"/>
      <c r="F6" s="399"/>
      <c r="G6" s="399"/>
      <c r="H6" s="399"/>
      <c r="I6" s="399"/>
      <c r="J6" s="399"/>
      <c r="K6" s="399"/>
      <c r="L6" s="399"/>
      <c r="M6" s="399"/>
      <c r="N6" s="399"/>
      <c r="O6" s="399"/>
      <c r="P6" s="399"/>
      <c r="Q6" s="399"/>
      <c r="S6" s="11"/>
      <c r="T6" s="8"/>
      <c r="U6" s="8"/>
      <c r="V6" s="8"/>
      <c r="W6" s="9"/>
      <c r="X6" s="9"/>
      <c r="Y6" s="501"/>
      <c r="AH6" s="502"/>
      <c r="AT6" s="509"/>
      <c r="AU6" s="509"/>
      <c r="AV6" s="509"/>
      <c r="BI6" s="3"/>
    </row>
    <row r="7" spans="2:67" ht="3" customHeight="1" x14ac:dyDescent="0.25">
      <c r="B7" s="399"/>
      <c r="C7" s="399"/>
      <c r="D7" s="399"/>
      <c r="E7" s="399"/>
      <c r="F7" s="399"/>
      <c r="G7" s="399"/>
      <c r="H7" s="399"/>
      <c r="I7" s="399"/>
      <c r="J7" s="399"/>
      <c r="K7" s="399"/>
      <c r="L7" s="399"/>
      <c r="M7" s="399"/>
      <c r="N7" s="399"/>
      <c r="O7" s="399"/>
      <c r="P7" s="399"/>
      <c r="Q7" s="399"/>
      <c r="S7" s="11"/>
      <c r="T7" s="8"/>
      <c r="U7" s="8"/>
      <c r="V7" s="8"/>
      <c r="W7" s="9"/>
      <c r="X7" s="9"/>
      <c r="Y7" s="501"/>
      <c r="AH7" s="502"/>
      <c r="AT7" s="509"/>
      <c r="AU7" s="509"/>
      <c r="AV7" s="509"/>
      <c r="BI7" s="106"/>
      <c r="BJ7" s="106"/>
      <c r="BK7" s="106"/>
      <c r="BL7" s="106"/>
      <c r="BM7" s="106"/>
      <c r="BN7" s="106"/>
      <c r="BO7" s="106"/>
    </row>
    <row r="8" spans="2:67" ht="14.45" customHeight="1" x14ac:dyDescent="0.25">
      <c r="B8" s="399"/>
      <c r="C8" s="399"/>
      <c r="D8" s="399"/>
      <c r="E8" s="399"/>
      <c r="F8" s="399"/>
      <c r="G8" s="399"/>
      <c r="H8" s="399"/>
      <c r="I8" s="399"/>
      <c r="J8" s="399"/>
      <c r="K8" s="399"/>
      <c r="L8" s="399"/>
      <c r="M8" s="399"/>
      <c r="N8" s="399"/>
      <c r="O8" s="399"/>
      <c r="P8" s="399"/>
      <c r="Q8" s="399"/>
      <c r="S8" s="11"/>
      <c r="T8" s="8"/>
      <c r="U8" s="8"/>
      <c r="V8" s="8"/>
      <c r="W8" s="9"/>
      <c r="X8" s="9"/>
      <c r="Y8" s="501"/>
      <c r="AH8" s="502"/>
      <c r="AT8" s="509"/>
      <c r="AU8" s="509"/>
      <c r="AV8" s="509"/>
      <c r="BI8" s="106"/>
      <c r="BJ8" s="106"/>
      <c r="BK8" s="106"/>
      <c r="BL8" s="106"/>
      <c r="BM8" s="106"/>
      <c r="BN8" s="106"/>
      <c r="BO8" s="106"/>
    </row>
    <row r="9" spans="2:67" ht="15" customHeight="1" x14ac:dyDescent="0.25">
      <c r="B9" s="321"/>
      <c r="C9" s="321"/>
      <c r="D9" s="365"/>
      <c r="E9" s="321"/>
      <c r="F9" s="212" t="s">
        <v>9</v>
      </c>
      <c r="H9" s="768" t="str">
        <f>IF(ISBLANK(ADBN),"",ADBN)</f>
        <v/>
      </c>
      <c r="I9" s="768"/>
      <c r="J9" s="768"/>
      <c r="K9" s="768"/>
      <c r="L9" s="768"/>
      <c r="M9" s="768"/>
      <c r="N9" s="768"/>
      <c r="O9" s="768"/>
      <c r="P9" s="768"/>
      <c r="Q9" s="226"/>
      <c r="T9" s="10"/>
      <c r="U9" s="10"/>
      <c r="V9" s="10"/>
      <c r="W9" s="10"/>
      <c r="X9" s="10"/>
      <c r="Y9" s="501"/>
      <c r="AH9" s="502"/>
      <c r="AT9" s="509"/>
      <c r="AU9" s="509"/>
      <c r="AV9" s="509"/>
      <c r="BI9" s="106"/>
      <c r="BJ9" s="106"/>
      <c r="BK9" s="106"/>
      <c r="BL9" s="106"/>
      <c r="BM9" s="106"/>
      <c r="BN9" s="106"/>
      <c r="BO9" s="106"/>
    </row>
    <row r="10" spans="2:67" ht="3" customHeight="1" x14ac:dyDescent="0.25">
      <c r="B10" s="232"/>
      <c r="C10" s="232"/>
      <c r="D10" s="232"/>
      <c r="E10" s="232"/>
      <c r="F10" s="209"/>
      <c r="I10" s="232"/>
      <c r="J10" s="232"/>
      <c r="T10" s="10"/>
      <c r="U10" s="10"/>
      <c r="V10" s="10"/>
      <c r="W10" s="10"/>
      <c r="X10" s="10"/>
      <c r="Y10" s="501"/>
      <c r="AH10" s="502"/>
      <c r="AT10" s="509"/>
      <c r="AU10" s="509"/>
      <c r="AV10" s="509"/>
      <c r="BI10" s="106"/>
      <c r="BJ10" s="106"/>
      <c r="BK10" s="106"/>
      <c r="BL10" s="106"/>
      <c r="BM10" s="106"/>
      <c r="BN10" s="106"/>
      <c r="BO10" s="106"/>
    </row>
    <row r="11" spans="2:67" ht="15" customHeight="1" x14ac:dyDescent="0.25">
      <c r="B11" s="321"/>
      <c r="C11" s="321"/>
      <c r="D11" s="321"/>
      <c r="E11" s="321"/>
      <c r="F11" s="212" t="s">
        <v>279</v>
      </c>
      <c r="H11" s="233" t="str">
        <f>BP_OverallScore</f>
        <v/>
      </c>
      <c r="I11" s="232"/>
      <c r="J11" s="232"/>
      <c r="T11" s="10"/>
      <c r="U11" s="10"/>
      <c r="V11" s="10"/>
      <c r="W11" s="10"/>
      <c r="X11" s="10"/>
      <c r="Y11" s="501"/>
      <c r="AH11" s="502"/>
      <c r="AT11" s="509"/>
      <c r="AU11" s="509"/>
      <c r="AV11" s="509"/>
      <c r="BI11" s="106"/>
      <c r="BJ11" s="106"/>
      <c r="BK11" s="106"/>
      <c r="BL11" s="106"/>
      <c r="BM11" s="106"/>
      <c r="BN11" s="106"/>
      <c r="BO11" s="106"/>
    </row>
    <row r="12" spans="2:67" ht="3" customHeight="1" x14ac:dyDescent="0.25">
      <c r="B12" s="232"/>
      <c r="C12" s="232"/>
      <c r="D12" s="232"/>
      <c r="E12" s="232"/>
      <c r="F12" s="209"/>
      <c r="H12" s="202"/>
      <c r="I12" s="232"/>
      <c r="J12" s="232"/>
      <c r="T12" s="10"/>
      <c r="U12" s="10"/>
      <c r="V12" s="10"/>
      <c r="W12" s="10"/>
      <c r="X12" s="10"/>
      <c r="Y12" s="501"/>
      <c r="AH12" s="502"/>
      <c r="AT12" s="509"/>
      <c r="AU12" s="509"/>
      <c r="AV12" s="509"/>
      <c r="BI12" s="106"/>
      <c r="BJ12" s="106"/>
      <c r="BK12" s="106"/>
      <c r="BL12" s="106"/>
      <c r="BM12" s="106"/>
      <c r="BN12" s="106"/>
      <c r="BO12" s="106"/>
    </row>
    <row r="13" spans="2:67" ht="15" customHeight="1" x14ac:dyDescent="0.25">
      <c r="B13" s="321"/>
      <c r="C13" s="321"/>
      <c r="D13" s="322"/>
      <c r="E13" s="322"/>
      <c r="F13" s="212" t="s">
        <v>280</v>
      </c>
      <c r="H13" s="233" t="str">
        <f>BP_BREEAMRating</f>
        <v/>
      </c>
      <c r="I13" s="232"/>
      <c r="J13" s="232"/>
      <c r="T13" s="10"/>
      <c r="U13" s="10"/>
      <c r="V13" s="10"/>
      <c r="W13" s="10"/>
      <c r="X13" s="10"/>
      <c r="Y13" s="501"/>
      <c r="AH13" s="502"/>
      <c r="AT13" s="509"/>
      <c r="AU13" s="509"/>
      <c r="AV13" s="509"/>
      <c r="BI13" s="106"/>
      <c r="BJ13" s="106"/>
      <c r="BK13" s="106"/>
      <c r="BL13" s="106"/>
      <c r="BM13" s="106"/>
      <c r="BN13" s="106"/>
      <c r="BO13" s="106"/>
    </row>
    <row r="14" spans="2:67" ht="3" customHeight="1" x14ac:dyDescent="0.25">
      <c r="B14" s="232"/>
      <c r="C14" s="232"/>
      <c r="D14" s="232"/>
      <c r="E14" s="232"/>
      <c r="F14" s="209"/>
      <c r="H14" s="202"/>
      <c r="I14" s="232"/>
      <c r="J14" s="232"/>
      <c r="T14" s="10"/>
      <c r="U14" s="10"/>
      <c r="V14" s="10"/>
      <c r="W14" s="10"/>
      <c r="X14" s="10"/>
      <c r="Y14" s="501"/>
      <c r="AH14" s="502"/>
      <c r="AT14" s="509"/>
      <c r="AU14" s="509"/>
      <c r="AV14" s="509"/>
      <c r="BI14" s="106"/>
      <c r="BJ14" s="106"/>
      <c r="BK14" s="106"/>
      <c r="BL14" s="106"/>
      <c r="BM14" s="106"/>
      <c r="BN14" s="106"/>
      <c r="BO14" s="106"/>
    </row>
    <row r="15" spans="2:67" ht="15" customHeight="1" x14ac:dyDescent="0.25">
      <c r="B15" s="321"/>
      <c r="C15" s="321"/>
      <c r="D15" s="322"/>
      <c r="E15" s="322"/>
      <c r="F15" s="212" t="s">
        <v>281</v>
      </c>
      <c r="H15" s="312" t="str">
        <f>BP_MinStandards</f>
        <v/>
      </c>
      <c r="I15" s="234"/>
      <c r="J15" s="234"/>
      <c r="K15" s="234"/>
      <c r="L15" s="234"/>
      <c r="M15" s="228"/>
      <c r="N15" s="228"/>
      <c r="T15" s="10"/>
      <c r="U15" s="10"/>
      <c r="V15" s="10"/>
      <c r="W15" s="10"/>
      <c r="X15" s="10"/>
      <c r="Y15" s="501"/>
      <c r="AH15" s="502"/>
      <c r="AT15" s="509"/>
      <c r="AU15" s="509"/>
      <c r="AV15" s="509"/>
      <c r="BI15" s="106"/>
      <c r="BJ15" s="106"/>
      <c r="BK15" s="106"/>
      <c r="BL15" s="106"/>
      <c r="BM15" s="106"/>
      <c r="BN15" s="106"/>
      <c r="BO15" s="106"/>
    </row>
    <row r="16" spans="2:67" ht="15" customHeight="1" x14ac:dyDescent="0.25">
      <c r="Y16" s="501"/>
      <c r="AH16" s="502"/>
      <c r="AT16" s="509"/>
      <c r="AU16" s="509"/>
      <c r="AV16" s="509"/>
      <c r="BI16" s="106"/>
      <c r="BJ16" s="106"/>
      <c r="BK16" s="106"/>
      <c r="BL16" s="106"/>
      <c r="BM16" s="106"/>
      <c r="BN16" s="106"/>
      <c r="BO16" s="106"/>
    </row>
    <row r="17" spans="2:67" ht="24.95" customHeight="1" x14ac:dyDescent="0.25">
      <c r="B17" s="323" t="s">
        <v>282</v>
      </c>
      <c r="C17" s="324"/>
      <c r="D17" s="324"/>
      <c r="E17" s="324"/>
      <c r="F17" s="324"/>
      <c r="G17" s="324"/>
      <c r="H17" s="324"/>
      <c r="I17" s="324"/>
      <c r="J17" s="324"/>
      <c r="K17" s="324"/>
      <c r="L17" s="324"/>
      <c r="M17" s="324"/>
      <c r="N17" s="325"/>
      <c r="O17" s="326"/>
      <c r="P17" s="327"/>
      <c r="Q17" s="327"/>
      <c r="S17" s="20"/>
      <c r="T17" s="11"/>
      <c r="Y17" s="501"/>
      <c r="AH17" s="502"/>
      <c r="AT17" s="509"/>
      <c r="AU17" s="509"/>
      <c r="AV17" s="509"/>
      <c r="BI17" s="106"/>
      <c r="BJ17" s="106"/>
      <c r="BK17" s="106"/>
      <c r="BL17" s="106"/>
      <c r="BM17" s="106"/>
      <c r="BN17" s="106"/>
      <c r="BO17" s="106"/>
    </row>
    <row r="18" spans="2:67" x14ac:dyDescent="0.25">
      <c r="B18" s="23"/>
      <c r="Y18" s="501"/>
      <c r="AH18" s="502"/>
      <c r="AT18" s="509"/>
      <c r="AU18" s="509"/>
      <c r="AV18" s="509"/>
      <c r="BI18" s="106"/>
      <c r="BJ18" s="106"/>
      <c r="BK18" s="106"/>
      <c r="BL18" s="106"/>
      <c r="BM18" s="106"/>
      <c r="BN18" s="106"/>
      <c r="BO18" s="106"/>
    </row>
    <row r="19" spans="2:67" ht="16.5" customHeight="1" x14ac:dyDescent="0.25">
      <c r="B19" s="27" t="s">
        <v>283</v>
      </c>
      <c r="C19" s="13"/>
      <c r="D19" s="13"/>
      <c r="E19" s="22"/>
      <c r="F19" s="22"/>
      <c r="G19" s="22"/>
      <c r="H19" s="22"/>
      <c r="I19" s="22"/>
      <c r="J19" s="22"/>
      <c r="K19" s="22"/>
      <c r="L19" s="22"/>
      <c r="M19" s="22"/>
      <c r="N19" s="22"/>
      <c r="O19" s="22"/>
      <c r="P19" s="22"/>
      <c r="Y19" s="501"/>
      <c r="AH19" s="502"/>
      <c r="AT19" s="509"/>
      <c r="AU19" s="509"/>
      <c r="AV19" s="509"/>
      <c r="BI19" s="106"/>
      <c r="BJ19" s="106"/>
      <c r="BK19" s="106"/>
      <c r="BL19" s="106"/>
      <c r="BM19" s="106"/>
      <c r="BN19" s="106"/>
      <c r="BO19" s="106"/>
    </row>
    <row r="20" spans="2:67" x14ac:dyDescent="0.25">
      <c r="Y20" s="501"/>
      <c r="AH20" s="502"/>
      <c r="AT20" s="509"/>
      <c r="AU20" s="509"/>
      <c r="AV20" s="509"/>
      <c r="BI20" s="106"/>
      <c r="BJ20" s="106"/>
      <c r="BK20" s="106"/>
      <c r="BL20" s="106"/>
      <c r="BM20" s="106"/>
      <c r="BN20" s="106"/>
      <c r="BO20" s="106"/>
    </row>
    <row r="21" spans="2:67" x14ac:dyDescent="0.25">
      <c r="B21" s="222"/>
      <c r="C21" s="221"/>
      <c r="D21" s="221"/>
      <c r="E21" s="221"/>
      <c r="F21" s="212" t="s">
        <v>284</v>
      </c>
      <c r="G21" s="215"/>
      <c r="H21" s="216">
        <v>4</v>
      </c>
      <c r="I21" s="215"/>
      <c r="J21" s="222"/>
      <c r="K21" s="222"/>
      <c r="L21" s="222"/>
      <c r="M21" s="222"/>
      <c r="N21" s="212" t="s">
        <v>285</v>
      </c>
      <c r="P21" s="217">
        <f>(BP_32/BP_01)*Man01_credits</f>
        <v>0</v>
      </c>
      <c r="Q21" s="217"/>
      <c r="Y21" s="501"/>
      <c r="AH21" s="502"/>
      <c r="BI21" s="106"/>
      <c r="BJ21" s="106"/>
      <c r="BK21" s="106"/>
      <c r="BL21" s="106"/>
      <c r="BM21" s="106"/>
      <c r="BN21" s="106"/>
      <c r="BO21" s="106"/>
    </row>
    <row r="22" spans="2:67" ht="4.5" customHeight="1" x14ac:dyDescent="0.25">
      <c r="Y22" s="501"/>
      <c r="AH22" s="502"/>
      <c r="BI22" s="106"/>
      <c r="BJ22" s="106"/>
      <c r="BK22" s="106"/>
      <c r="BL22" s="106"/>
      <c r="BM22" s="106"/>
      <c r="BN22" s="106"/>
      <c r="BO22" s="106"/>
    </row>
    <row r="23" spans="2:67" ht="15" customHeight="1" x14ac:dyDescent="0.25">
      <c r="B23" s="222"/>
      <c r="C23" s="221"/>
      <c r="D23" s="221"/>
      <c r="E23" s="221"/>
      <c r="F23" s="212" t="s">
        <v>286</v>
      </c>
      <c r="G23" s="215"/>
      <c r="H23" s="216">
        <v>0</v>
      </c>
      <c r="I23" s="215"/>
      <c r="J23" s="221"/>
      <c r="K23" s="221"/>
      <c r="L23" s="221"/>
      <c r="M23" s="221"/>
      <c r="N23" s="212" t="s">
        <v>287</v>
      </c>
      <c r="P23" s="216" t="s">
        <v>125</v>
      </c>
      <c r="Q23" s="216"/>
      <c r="Y23" s="501"/>
      <c r="AH23" s="502"/>
      <c r="BI23" s="106"/>
      <c r="BJ23" s="106"/>
      <c r="BK23" s="106"/>
      <c r="BL23" s="106"/>
      <c r="BM23" s="106"/>
      <c r="BN23" s="106"/>
      <c r="BO23" s="106"/>
    </row>
    <row r="24" spans="2:67" ht="46.5" customHeight="1" x14ac:dyDescent="0.25">
      <c r="B24" s="238" t="s">
        <v>288</v>
      </c>
      <c r="C24" s="239"/>
      <c r="D24" s="235"/>
      <c r="E24" s="239"/>
      <c r="F24" s="238"/>
      <c r="G24" s="235"/>
      <c r="H24" s="238"/>
      <c r="I24" s="235"/>
      <c r="J24" s="241" t="s">
        <v>289</v>
      </c>
      <c r="K24" s="241"/>
      <c r="L24" s="242" t="s">
        <v>290</v>
      </c>
      <c r="M24" s="238"/>
      <c r="N24" s="242" t="s">
        <v>291</v>
      </c>
      <c r="O24" s="238"/>
      <c r="P24" s="242"/>
      <c r="Q24" s="242"/>
      <c r="U24" s="9"/>
      <c r="Y24" s="501"/>
      <c r="AH24" s="502"/>
      <c r="BI24" s="106"/>
      <c r="BJ24" s="106"/>
      <c r="BK24" s="106"/>
      <c r="BL24" s="106"/>
      <c r="BM24" s="106"/>
      <c r="BN24" s="106"/>
      <c r="BO24" s="106"/>
    </row>
    <row r="25" spans="2:67" ht="3" customHeight="1" x14ac:dyDescent="0.25">
      <c r="B25" s="23"/>
      <c r="C25" s="218"/>
      <c r="D25" s="215"/>
      <c r="E25" s="218"/>
      <c r="G25" s="215"/>
      <c r="I25" s="215"/>
      <c r="J25" s="219"/>
      <c r="K25" s="219"/>
      <c r="L25" s="220"/>
      <c r="M25" s="23"/>
      <c r="N25" s="220"/>
      <c r="O25" s="23"/>
      <c r="P25" s="220"/>
      <c r="Q25" s="220"/>
      <c r="U25" s="9"/>
      <c r="Y25" s="501"/>
      <c r="AH25" s="502"/>
      <c r="BI25" s="106"/>
      <c r="BJ25" s="106"/>
      <c r="BK25" s="106"/>
      <c r="BL25" s="106"/>
      <c r="BM25" s="106"/>
      <c r="BN25" s="106"/>
      <c r="BO25" s="106"/>
    </row>
    <row r="26" spans="2:67" x14ac:dyDescent="0.25">
      <c r="B26" s="735" t="s">
        <v>292</v>
      </c>
      <c r="C26" s="787"/>
      <c r="D26" s="787"/>
      <c r="E26" s="787"/>
      <c r="F26" s="787"/>
      <c r="G26" s="787"/>
      <c r="H26" s="787"/>
      <c r="I26" s="215"/>
      <c r="J26" s="223"/>
      <c r="K26" s="215"/>
      <c r="L26" s="270">
        <v>1</v>
      </c>
      <c r="M26" s="215"/>
      <c r="N26" s="224">
        <f>IF(Man01_01=AIS_Yes,1,0)</f>
        <v>0</v>
      </c>
      <c r="O26" s="215"/>
      <c r="P26" s="252"/>
      <c r="Q26" s="252"/>
      <c r="Y26" s="501"/>
      <c r="AH26" s="502"/>
      <c r="BI26" s="106"/>
      <c r="BJ26" s="106"/>
      <c r="BK26" s="106"/>
      <c r="BL26" s="106"/>
      <c r="BM26" s="106"/>
      <c r="BN26" s="106"/>
      <c r="BO26" s="106"/>
    </row>
    <row r="27" spans="2:67" x14ac:dyDescent="0.25">
      <c r="B27" s="221"/>
      <c r="C27" s="221"/>
      <c r="D27" s="221"/>
      <c r="E27" s="221"/>
      <c r="F27" s="222"/>
      <c r="G27" s="222"/>
      <c r="H27" s="212" t="s">
        <v>293</v>
      </c>
      <c r="I27" s="215"/>
      <c r="J27" s="223"/>
      <c r="K27" s="215"/>
      <c r="L27" s="270">
        <v>1</v>
      </c>
      <c r="M27" s="215"/>
      <c r="N27" s="224">
        <f>IF(Man01_02=AIS_Yes,1,0)</f>
        <v>0</v>
      </c>
      <c r="O27" s="215"/>
      <c r="P27" s="252"/>
      <c r="Q27" s="252"/>
      <c r="R27" s="313"/>
      <c r="S27" s="16"/>
      <c r="T27" s="20"/>
      <c r="Y27" s="501"/>
      <c r="AH27" s="502"/>
      <c r="BI27" s="106"/>
      <c r="BJ27" s="106"/>
      <c r="BK27" s="106"/>
      <c r="BL27" s="106"/>
      <c r="BM27" s="106"/>
      <c r="BN27" s="106"/>
      <c r="BO27" s="106"/>
    </row>
    <row r="28" spans="2:67" ht="15.75" customHeight="1" x14ac:dyDescent="0.25">
      <c r="B28" s="221"/>
      <c r="C28" s="221"/>
      <c r="D28" s="221"/>
      <c r="E28" s="221"/>
      <c r="F28" s="222"/>
      <c r="G28" s="222"/>
      <c r="H28" s="212" t="s">
        <v>294</v>
      </c>
      <c r="I28" s="215"/>
      <c r="J28" s="223"/>
      <c r="K28" s="215"/>
      <c r="L28" s="270">
        <v>1</v>
      </c>
      <c r="M28" s="215"/>
      <c r="N28" s="224">
        <f>IF(Man01_03=AIS_Yes,1,0)</f>
        <v>0</v>
      </c>
      <c r="O28" s="215"/>
      <c r="P28" s="252"/>
      <c r="Q28" s="252"/>
      <c r="R28" s="210"/>
      <c r="S28" s="210"/>
      <c r="T28" s="210"/>
      <c r="U28" s="210"/>
      <c r="V28" s="210"/>
      <c r="W28" s="210"/>
      <c r="X28" s="210"/>
      <c r="Y28" s="501"/>
      <c r="AH28" s="502"/>
      <c r="BI28" s="106"/>
      <c r="BJ28" s="106"/>
      <c r="BK28" s="106"/>
      <c r="BL28" s="106"/>
      <c r="BM28" s="106"/>
      <c r="BN28" s="106"/>
      <c r="BO28" s="106"/>
    </row>
    <row r="29" spans="2:67" x14ac:dyDescent="0.25">
      <c r="B29" s="221"/>
      <c r="C29" s="221"/>
      <c r="D29" s="221"/>
      <c r="E29" s="221"/>
      <c r="F29" s="222"/>
      <c r="G29" s="222"/>
      <c r="H29" s="212" t="s">
        <v>295</v>
      </c>
      <c r="I29" s="215"/>
      <c r="J29" s="223"/>
      <c r="K29" s="215"/>
      <c r="L29" s="270">
        <v>1</v>
      </c>
      <c r="M29" s="215"/>
      <c r="N29" s="224">
        <f>IF(AND(Man01_03=AIS_Yes,Man01_04=AIS_Yes),1,0)</f>
        <v>0</v>
      </c>
      <c r="O29" s="215"/>
      <c r="P29" s="299" t="str">
        <f>IF(AND(Man01_04=AIS_Yes,Man01_03&lt;&gt;AIS_Yes),"The first Sustainability Champion credit must be achieved before the second can be awarded.","")</f>
        <v/>
      </c>
      <c r="Q29" s="299"/>
      <c r="R29" s="210"/>
      <c r="S29" s="210"/>
      <c r="T29" s="210"/>
      <c r="U29" s="210"/>
      <c r="V29" s="210"/>
      <c r="W29" s="210"/>
      <c r="X29" s="210"/>
      <c r="Y29" s="501"/>
      <c r="AH29" s="502"/>
      <c r="BI29" s="106"/>
      <c r="BJ29" s="106"/>
      <c r="BK29" s="106"/>
      <c r="BL29" s="106"/>
      <c r="BM29" s="106"/>
      <c r="BN29" s="106"/>
      <c r="BO29" s="106"/>
    </row>
    <row r="30" spans="2:67" x14ac:dyDescent="0.25">
      <c r="B30" s="215"/>
      <c r="C30" s="215"/>
      <c r="D30" s="225"/>
      <c r="E30" s="215"/>
      <c r="H30" s="215"/>
      <c r="I30" s="215"/>
      <c r="J30" s="215"/>
      <c r="K30" s="215"/>
      <c r="L30" s="215"/>
      <c r="M30" s="215"/>
      <c r="N30" s="215"/>
      <c r="O30" s="215"/>
      <c r="P30" s="215"/>
      <c r="Q30" s="215"/>
      <c r="Y30" s="501"/>
      <c r="BI30" s="106"/>
      <c r="BJ30" s="106"/>
      <c r="BK30" s="106"/>
      <c r="BL30" s="106"/>
      <c r="BM30" s="106"/>
      <c r="BN30" s="106"/>
      <c r="BO30" s="106"/>
    </row>
    <row r="31" spans="2:67" x14ac:dyDescent="0.25">
      <c r="B31" s="221"/>
      <c r="C31" s="222"/>
      <c r="D31" s="222"/>
      <c r="E31" s="221"/>
      <c r="F31" s="212" t="s">
        <v>296</v>
      </c>
      <c r="H31" s="216">
        <f>IF(ISERROR(Man01_Tot_Err), 0, Man01_Tot_Err)</f>
        <v>0</v>
      </c>
      <c r="M31" s="215"/>
      <c r="O31" s="215"/>
      <c r="P31" s="215"/>
      <c r="Q31" s="215"/>
      <c r="Y31" s="501"/>
      <c r="BI31" s="106"/>
      <c r="BJ31" s="106"/>
      <c r="BK31" s="106"/>
      <c r="BL31" s="106"/>
      <c r="BM31" s="106"/>
      <c r="BN31" s="106"/>
      <c r="BO31" s="106"/>
    </row>
    <row r="32" spans="2:67" ht="3" customHeight="1" x14ac:dyDescent="0.25">
      <c r="B32" s="192"/>
      <c r="C32" s="192"/>
      <c r="D32" s="192"/>
      <c r="E32" s="192"/>
      <c r="F32" s="192"/>
      <c r="M32" s="215"/>
      <c r="O32" s="215"/>
      <c r="P32" s="215"/>
      <c r="Q32" s="215"/>
      <c r="Y32" s="501"/>
      <c r="BI32" s="106"/>
      <c r="BJ32" s="106"/>
      <c r="BK32" s="106"/>
      <c r="BL32" s="106"/>
      <c r="BM32" s="106"/>
      <c r="BN32" s="106"/>
      <c r="BO32" s="106"/>
    </row>
    <row r="33" spans="2:67" x14ac:dyDescent="0.25">
      <c r="B33" s="221"/>
      <c r="C33" s="222"/>
      <c r="D33" s="222"/>
      <c r="E33" s="221"/>
      <c r="F33" s="212" t="s">
        <v>297</v>
      </c>
      <c r="H33" s="217">
        <f>(Man01_38/Man01_credits)*Man01_Tot</f>
        <v>0</v>
      </c>
      <c r="M33" s="215"/>
      <c r="O33" s="215"/>
      <c r="P33" s="215"/>
      <c r="Q33" s="215"/>
      <c r="Y33" s="501"/>
      <c r="BI33" s="106"/>
      <c r="BJ33" s="106"/>
      <c r="BK33" s="106"/>
      <c r="BL33" s="106"/>
      <c r="BM33" s="106"/>
      <c r="BN33" s="106"/>
      <c r="BO33" s="106"/>
    </row>
    <row r="34" spans="2:67" ht="3" customHeight="1" x14ac:dyDescent="0.25">
      <c r="B34" s="192"/>
      <c r="C34" s="192"/>
      <c r="D34" s="192"/>
      <c r="E34" s="192"/>
      <c r="F34" s="192"/>
      <c r="M34" s="215"/>
      <c r="O34" s="215"/>
      <c r="P34" s="215"/>
      <c r="Q34" s="215"/>
      <c r="Y34" s="501"/>
      <c r="BI34" s="106"/>
      <c r="BJ34" s="106"/>
      <c r="BK34" s="106"/>
      <c r="BL34" s="106"/>
      <c r="BM34" s="106"/>
      <c r="BN34" s="106"/>
      <c r="BO34" s="106"/>
    </row>
    <row r="35" spans="2:67" x14ac:dyDescent="0.25">
      <c r="B35" s="221"/>
      <c r="C35" s="222"/>
      <c r="D35" s="222"/>
      <c r="E35" s="221"/>
      <c r="F35" s="212" t="s">
        <v>298</v>
      </c>
      <c r="H35" s="216">
        <f>H23</f>
        <v>0</v>
      </c>
      <c r="M35" s="215"/>
      <c r="O35" s="215"/>
      <c r="P35" s="215"/>
      <c r="Q35" s="215"/>
      <c r="Y35" s="501"/>
      <c r="BI35" s="106"/>
      <c r="BJ35" s="106"/>
      <c r="BK35" s="106"/>
      <c r="BL35" s="106"/>
      <c r="BM35" s="106"/>
      <c r="BN35" s="106"/>
      <c r="BO35" s="106"/>
    </row>
    <row r="36" spans="2:67" ht="3" customHeight="1" x14ac:dyDescent="0.25">
      <c r="B36" s="192"/>
      <c r="C36" s="192"/>
      <c r="D36" s="192"/>
      <c r="E36" s="192"/>
      <c r="F36" s="192"/>
      <c r="M36" s="215"/>
      <c r="O36" s="215"/>
      <c r="P36" s="215"/>
      <c r="Q36" s="215"/>
      <c r="Y36" s="501"/>
      <c r="BI36" s="106"/>
      <c r="BJ36" s="106"/>
      <c r="BK36" s="106"/>
      <c r="BL36" s="106"/>
      <c r="BM36" s="106"/>
      <c r="BN36" s="106"/>
      <c r="BO36" s="106"/>
    </row>
    <row r="37" spans="2:67" x14ac:dyDescent="0.25">
      <c r="B37" s="221"/>
      <c r="C37" s="222"/>
      <c r="D37" s="222"/>
      <c r="E37" s="221"/>
      <c r="F37" s="212" t="s">
        <v>299</v>
      </c>
      <c r="H37" s="226" t="s">
        <v>300</v>
      </c>
      <c r="I37" s="227"/>
      <c r="J37" s="227"/>
      <c r="K37" s="227"/>
      <c r="L37" s="227"/>
      <c r="M37" s="227"/>
      <c r="N37" s="228"/>
      <c r="O37" s="215"/>
      <c r="P37" s="215"/>
      <c r="Q37" s="215"/>
      <c r="Y37" s="501"/>
      <c r="BI37" s="106"/>
      <c r="BJ37" s="106"/>
      <c r="BK37" s="106"/>
      <c r="BL37" s="106"/>
      <c r="BM37" s="106"/>
      <c r="BN37" s="106"/>
      <c r="BO37" s="106"/>
    </row>
    <row r="38" spans="2:67" x14ac:dyDescent="0.25">
      <c r="M38" s="215"/>
      <c r="O38" s="215"/>
      <c r="P38" s="215"/>
      <c r="Q38" s="215"/>
      <c r="Y38" s="501"/>
      <c r="BI38" s="106"/>
      <c r="BJ38" s="106"/>
      <c r="BK38" s="106"/>
      <c r="BL38" s="106"/>
      <c r="BM38" s="106"/>
      <c r="BN38" s="106"/>
      <c r="BO38" s="106"/>
    </row>
    <row r="39" spans="2:67" x14ac:dyDescent="0.25">
      <c r="B39" s="235" t="s">
        <v>301</v>
      </c>
      <c r="C39" s="215"/>
      <c r="D39" s="215"/>
      <c r="E39" s="215"/>
      <c r="F39" s="225"/>
      <c r="G39" s="215"/>
      <c r="H39" s="215"/>
      <c r="I39" s="215"/>
      <c r="J39" s="215"/>
      <c r="K39" s="215"/>
      <c r="L39" s="215"/>
      <c r="M39" s="215"/>
      <c r="N39" s="215"/>
      <c r="O39" s="215"/>
      <c r="P39" s="215"/>
      <c r="Q39" s="215"/>
      <c r="Y39" s="501"/>
      <c r="BI39" s="106"/>
      <c r="BJ39" s="106"/>
      <c r="BK39" s="106"/>
      <c r="BL39" s="106"/>
      <c r="BM39" s="106"/>
      <c r="BN39" s="106"/>
      <c r="BO39" s="106"/>
    </row>
    <row r="40" spans="2:67" ht="159.94999999999999" customHeight="1" x14ac:dyDescent="0.25">
      <c r="B40" s="736"/>
      <c r="C40" s="737"/>
      <c r="D40" s="737"/>
      <c r="E40" s="737"/>
      <c r="F40" s="737"/>
      <c r="G40" s="737"/>
      <c r="H40" s="737"/>
      <c r="I40" s="737"/>
      <c r="J40" s="737"/>
      <c r="K40" s="737"/>
      <c r="L40" s="737"/>
      <c r="M40" s="737"/>
      <c r="N40" s="737"/>
      <c r="O40" s="737"/>
      <c r="P40" s="738"/>
      <c r="Q40" s="416"/>
      <c r="Y40" s="501"/>
      <c r="BI40" s="106"/>
      <c r="BJ40" s="106"/>
      <c r="BK40" s="106"/>
      <c r="BL40" s="106"/>
      <c r="BM40" s="106"/>
      <c r="BN40" s="106"/>
      <c r="BO40" s="106"/>
    </row>
    <row r="41" spans="2:67" ht="36" customHeight="1" x14ac:dyDescent="0.25">
      <c r="B41" s="27" t="s">
        <v>302</v>
      </c>
      <c r="C41" s="13"/>
      <c r="D41" s="236"/>
      <c r="E41" s="237"/>
      <c r="F41" s="237"/>
      <c r="G41" s="237"/>
      <c r="H41" s="237"/>
      <c r="I41" s="237"/>
      <c r="J41" s="237"/>
      <c r="K41" s="237"/>
      <c r="L41" s="237"/>
      <c r="M41" s="237"/>
      <c r="N41" s="237"/>
      <c r="O41" s="237"/>
      <c r="P41" s="237"/>
      <c r="Q41" s="215"/>
      <c r="Y41" s="501"/>
      <c r="BI41" s="106"/>
      <c r="BJ41" s="106"/>
      <c r="BK41" s="106"/>
      <c r="BL41" s="106"/>
      <c r="BM41" s="106"/>
      <c r="BN41" s="106"/>
      <c r="BO41" s="106"/>
    </row>
    <row r="42" spans="2:67" x14ac:dyDescent="0.25">
      <c r="B42" s="215"/>
      <c r="C42" s="215"/>
      <c r="D42" s="215"/>
      <c r="E42" s="215"/>
      <c r="F42" s="215"/>
      <c r="G42" s="215"/>
      <c r="H42" s="215"/>
      <c r="I42" s="215"/>
      <c r="J42" s="215"/>
      <c r="K42" s="215"/>
      <c r="L42" s="215"/>
      <c r="M42" s="215"/>
      <c r="N42" s="215"/>
      <c r="O42" s="215"/>
      <c r="P42" s="215"/>
      <c r="Q42" s="215"/>
      <c r="Y42" s="501"/>
      <c r="BI42" s="106"/>
      <c r="BJ42" s="106"/>
      <c r="BK42" s="106"/>
      <c r="BL42" s="106"/>
      <c r="BM42" s="106"/>
      <c r="BN42" s="106"/>
      <c r="BO42" s="106"/>
    </row>
    <row r="43" spans="2:67" x14ac:dyDescent="0.25">
      <c r="B43" s="222"/>
      <c r="C43" s="222"/>
      <c r="D43" s="221"/>
      <c r="E43" s="221"/>
      <c r="F43" s="212" t="s">
        <v>284</v>
      </c>
      <c r="G43" s="215"/>
      <c r="H43" s="216">
        <v>4</v>
      </c>
      <c r="J43" s="222"/>
      <c r="K43" s="222"/>
      <c r="L43" s="222"/>
      <c r="M43" s="222"/>
      <c r="N43" s="212" t="s">
        <v>285</v>
      </c>
      <c r="P43" s="217">
        <f>(BP_32/BP_01)*Man02_credits</f>
        <v>0</v>
      </c>
      <c r="Q43" s="217"/>
      <c r="Y43" s="501"/>
      <c r="BI43" s="106"/>
      <c r="BJ43" s="106"/>
      <c r="BK43" s="106"/>
      <c r="BL43" s="106"/>
      <c r="BM43" s="106"/>
      <c r="BN43" s="106"/>
      <c r="BO43" s="106"/>
    </row>
    <row r="44" spans="2:67" ht="3.75" customHeight="1" x14ac:dyDescent="0.25">
      <c r="Y44" s="501"/>
      <c r="BI44" s="106"/>
      <c r="BJ44" s="106"/>
      <c r="BK44" s="106"/>
      <c r="BL44" s="106"/>
      <c r="BM44" s="106"/>
      <c r="BN44" s="106"/>
      <c r="BO44" s="106"/>
    </row>
    <row r="45" spans="2:67" x14ac:dyDescent="0.25">
      <c r="B45" s="222"/>
      <c r="C45" s="222"/>
      <c r="D45" s="221"/>
      <c r="E45" s="221"/>
      <c r="F45" s="212" t="s">
        <v>286</v>
      </c>
      <c r="G45" s="215"/>
      <c r="H45" s="216">
        <v>0</v>
      </c>
      <c r="J45" s="221"/>
      <c r="K45" s="221"/>
      <c r="L45" s="221"/>
      <c r="M45" s="221"/>
      <c r="N45" s="212" t="s">
        <v>287</v>
      </c>
      <c r="O45" s="215"/>
      <c r="P45" s="216" t="s">
        <v>125</v>
      </c>
      <c r="Q45" s="216"/>
      <c r="Y45" s="501"/>
      <c r="BI45" s="106"/>
      <c r="BJ45" s="106"/>
      <c r="BK45" s="106"/>
      <c r="BL45" s="106"/>
      <c r="BM45" s="106"/>
      <c r="BN45" s="106"/>
      <c r="BO45" s="106"/>
    </row>
    <row r="46" spans="2:67" x14ac:dyDescent="0.25">
      <c r="Y46" s="501"/>
      <c r="AC46" s="510"/>
      <c r="BI46" s="106"/>
      <c r="BJ46" s="106"/>
      <c r="BK46" s="106"/>
      <c r="BL46" s="106"/>
      <c r="BM46" s="106"/>
      <c r="BN46" s="106"/>
      <c r="BO46" s="106"/>
    </row>
    <row r="47" spans="2:67" ht="47.25" customHeight="1" x14ac:dyDescent="0.25">
      <c r="B47" s="238" t="s">
        <v>288</v>
      </c>
      <c r="C47" s="239"/>
      <c r="D47" s="235"/>
      <c r="E47" s="239"/>
      <c r="F47" s="240"/>
      <c r="G47" s="238"/>
      <c r="H47" s="238"/>
      <c r="I47" s="238"/>
      <c r="J47" s="241" t="s">
        <v>289</v>
      </c>
      <c r="K47" s="241"/>
      <c r="L47" s="242" t="s">
        <v>290</v>
      </c>
      <c r="M47" s="238"/>
      <c r="N47" s="242" t="s">
        <v>291</v>
      </c>
      <c r="O47" s="238"/>
      <c r="P47" s="242"/>
      <c r="Q47" s="242"/>
      <c r="Y47" s="501"/>
      <c r="AA47" s="510"/>
      <c r="AB47" s="510"/>
      <c r="BI47" s="106"/>
      <c r="BJ47" s="106"/>
      <c r="BK47" s="106"/>
      <c r="BL47" s="106"/>
      <c r="BM47" s="106"/>
      <c r="BN47" s="106"/>
      <c r="BO47" s="106"/>
    </row>
    <row r="48" spans="2:67" ht="15" customHeight="1" x14ac:dyDescent="0.25">
      <c r="B48" s="222"/>
      <c r="C48" s="221"/>
      <c r="D48" s="212"/>
      <c r="E48" s="221"/>
      <c r="F48" s="222"/>
      <c r="G48" s="222"/>
      <c r="H48" s="212" t="s">
        <v>303</v>
      </c>
      <c r="J48" s="223"/>
      <c r="K48" s="404"/>
      <c r="L48" s="270">
        <v>2</v>
      </c>
      <c r="M48" s="215"/>
      <c r="N48" s="224">
        <f>IF(Man02_01=AIS_Yes,2,0)</f>
        <v>0</v>
      </c>
      <c r="O48" s="243"/>
      <c r="P48" s="242"/>
      <c r="Q48" s="242"/>
      <c r="Y48" s="501"/>
      <c r="BI48" s="106"/>
      <c r="BJ48" s="106"/>
      <c r="BK48" s="106"/>
      <c r="BL48" s="106"/>
      <c r="BM48" s="106"/>
      <c r="BN48" s="106"/>
      <c r="BO48" s="106"/>
    </row>
    <row r="49" spans="2:67" x14ac:dyDescent="0.25">
      <c r="B49" s="221"/>
      <c r="C49" s="221"/>
      <c r="D49" s="221"/>
      <c r="E49" s="221"/>
      <c r="F49" s="212"/>
      <c r="G49" s="221"/>
      <c r="H49" s="328" t="s">
        <v>304</v>
      </c>
      <c r="J49" s="223"/>
      <c r="K49" s="405"/>
      <c r="L49" s="270">
        <v>1</v>
      </c>
      <c r="M49" s="215"/>
      <c r="N49" s="224">
        <f>IF(Man02_14=AIS_Yes,1,0)</f>
        <v>0</v>
      </c>
      <c r="O49" s="215"/>
      <c r="P49" s="252"/>
      <c r="Q49" s="252"/>
      <c r="Y49" s="501"/>
      <c r="BI49" s="106"/>
      <c r="BJ49" s="106"/>
      <c r="BK49" s="106"/>
      <c r="BL49" s="106"/>
      <c r="BM49" s="106"/>
      <c r="BN49" s="106"/>
      <c r="BO49" s="106"/>
    </row>
    <row r="50" spans="2:67" ht="15" customHeight="1" x14ac:dyDescent="0.25">
      <c r="B50" s="222"/>
      <c r="C50" s="221"/>
      <c r="D50" s="212"/>
      <c r="E50" s="221"/>
      <c r="F50" s="222"/>
      <c r="G50" s="222"/>
      <c r="H50" s="212" t="s">
        <v>305</v>
      </c>
      <c r="J50" s="223"/>
      <c r="K50" s="404"/>
      <c r="L50" s="270">
        <v>1</v>
      </c>
      <c r="M50" s="215"/>
      <c r="N50" s="224">
        <f>IF(J50=AIS_Yes,1,0)</f>
        <v>0</v>
      </c>
      <c r="O50" s="243"/>
      <c r="P50" s="242"/>
      <c r="Q50" s="242"/>
      <c r="Y50" s="501"/>
      <c r="BI50" s="106"/>
      <c r="BJ50" s="106"/>
      <c r="BK50" s="106"/>
      <c r="BL50" s="106"/>
      <c r="BM50" s="106"/>
      <c r="BN50" s="106"/>
      <c r="BO50" s="106"/>
    </row>
    <row r="51" spans="2:67" ht="15" customHeight="1" x14ac:dyDescent="0.25">
      <c r="B51" s="222"/>
      <c r="C51" s="221"/>
      <c r="D51" s="212"/>
      <c r="E51" s="221"/>
      <c r="F51" s="222"/>
      <c r="G51" s="222"/>
      <c r="H51" s="212" t="s">
        <v>306</v>
      </c>
      <c r="J51" s="696"/>
      <c r="K51" s="404"/>
      <c r="L51" s="21" t="s">
        <v>307</v>
      </c>
      <c r="M51" s="215"/>
      <c r="N51" s="202"/>
      <c r="O51" s="243"/>
      <c r="P51" s="242"/>
      <c r="Q51" s="242"/>
      <c r="R51" s="209" t="s">
        <v>308</v>
      </c>
      <c r="Y51" s="501"/>
      <c r="BI51" s="106"/>
      <c r="BJ51" s="106"/>
      <c r="BK51" s="106"/>
      <c r="BL51" s="106"/>
      <c r="BM51" s="106"/>
      <c r="BN51" s="106"/>
      <c r="BO51" s="106"/>
    </row>
    <row r="52" spans="2:67" ht="15" customHeight="1" x14ac:dyDescent="0.25">
      <c r="B52" s="215"/>
      <c r="C52" s="215"/>
      <c r="D52" s="225"/>
      <c r="E52" s="215"/>
      <c r="F52" s="215"/>
      <c r="G52" s="215"/>
      <c r="H52" s="225"/>
      <c r="I52" s="215"/>
      <c r="J52" s="215"/>
      <c r="K52" s="215"/>
      <c r="L52" s="215"/>
      <c r="M52" s="215"/>
      <c r="N52" s="215"/>
      <c r="O52" s="215"/>
      <c r="P52" s="215"/>
      <c r="Q52" s="215"/>
      <c r="Y52" s="501"/>
      <c r="BI52" s="106"/>
      <c r="BJ52" s="106"/>
      <c r="BK52" s="106"/>
      <c r="BL52" s="106"/>
      <c r="BM52" s="106"/>
      <c r="BN52" s="106"/>
      <c r="BO52" s="106"/>
    </row>
    <row r="53" spans="2:67" x14ac:dyDescent="0.25">
      <c r="B53" s="221"/>
      <c r="C53" s="222"/>
      <c r="D53" s="222"/>
      <c r="E53" s="221"/>
      <c r="F53" s="212" t="s">
        <v>296</v>
      </c>
      <c r="G53" s="215"/>
      <c r="H53" s="216">
        <f>SUM(N48:N50)</f>
        <v>0</v>
      </c>
      <c r="K53" s="215"/>
      <c r="L53" s="202"/>
      <c r="M53" s="215"/>
      <c r="N53" s="215"/>
      <c r="O53" s="215"/>
      <c r="P53" s="215"/>
      <c r="Q53" s="215"/>
      <c r="Y53" s="501"/>
      <c r="BI53" s="106"/>
      <c r="BJ53" s="106"/>
      <c r="BK53" s="106"/>
      <c r="BL53" s="106"/>
      <c r="BM53" s="106"/>
      <c r="BN53" s="106"/>
      <c r="BO53" s="106"/>
    </row>
    <row r="54" spans="2:67" ht="3" customHeight="1" x14ac:dyDescent="0.25">
      <c r="K54" s="215"/>
      <c r="L54" s="202"/>
      <c r="M54" s="215"/>
      <c r="N54" s="215"/>
      <c r="O54" s="215"/>
      <c r="P54" s="215"/>
      <c r="Q54" s="215"/>
      <c r="Y54" s="501"/>
      <c r="BI54" s="106"/>
      <c r="BJ54" s="106"/>
      <c r="BK54" s="106"/>
      <c r="BL54" s="106"/>
      <c r="BM54" s="106"/>
      <c r="BN54" s="106"/>
      <c r="BO54" s="106"/>
    </row>
    <row r="55" spans="2:67" x14ac:dyDescent="0.25">
      <c r="B55" s="221"/>
      <c r="C55" s="222"/>
      <c r="D55" s="222"/>
      <c r="E55" s="221"/>
      <c r="F55" s="212" t="s">
        <v>297</v>
      </c>
      <c r="G55" s="215"/>
      <c r="H55" s="217">
        <f>(Man02_11/Man02_credits)*Man02_Tot</f>
        <v>0</v>
      </c>
      <c r="K55" s="215"/>
      <c r="L55" s="202"/>
      <c r="M55" s="215"/>
      <c r="N55" s="215"/>
      <c r="O55" s="215"/>
      <c r="P55" s="215"/>
      <c r="Q55" s="215"/>
      <c r="Y55" s="501"/>
      <c r="BI55" s="106"/>
      <c r="BJ55" s="106"/>
      <c r="BK55" s="106"/>
      <c r="BL55" s="106"/>
      <c r="BM55" s="106"/>
      <c r="BN55" s="106"/>
      <c r="BO55" s="106"/>
    </row>
    <row r="56" spans="2:67" ht="3" customHeight="1" x14ac:dyDescent="0.25">
      <c r="K56" s="215"/>
      <c r="M56" s="215"/>
      <c r="N56" s="215"/>
      <c r="O56" s="215"/>
      <c r="P56" s="215"/>
      <c r="Q56" s="215"/>
      <c r="Y56" s="501"/>
      <c r="BI56" s="106"/>
      <c r="BJ56" s="106"/>
      <c r="BK56" s="106"/>
      <c r="BL56" s="106"/>
      <c r="BM56" s="106"/>
      <c r="BN56" s="106"/>
      <c r="BO56" s="106"/>
    </row>
    <row r="57" spans="2:67" x14ac:dyDescent="0.25">
      <c r="B57" s="221"/>
      <c r="C57" s="222"/>
      <c r="D57" s="222"/>
      <c r="E57" s="221"/>
      <c r="F57" s="212" t="s">
        <v>298</v>
      </c>
      <c r="H57" s="216">
        <v>0</v>
      </c>
      <c r="K57" s="215"/>
      <c r="M57" s="215"/>
      <c r="N57" s="215"/>
      <c r="O57" s="215"/>
      <c r="P57" s="215"/>
      <c r="Q57" s="215"/>
      <c r="Y57" s="501"/>
      <c r="BI57" s="106"/>
      <c r="BJ57" s="106"/>
      <c r="BK57" s="106"/>
      <c r="BL57" s="106"/>
      <c r="BM57" s="106"/>
      <c r="BN57" s="106"/>
      <c r="BO57" s="106"/>
    </row>
    <row r="58" spans="2:67" ht="3" customHeight="1" x14ac:dyDescent="0.25">
      <c r="K58" s="215"/>
      <c r="M58" s="215"/>
      <c r="N58" s="215"/>
      <c r="O58" s="215"/>
      <c r="P58" s="215"/>
      <c r="Q58" s="215"/>
      <c r="Y58" s="501"/>
      <c r="BI58" s="106"/>
      <c r="BJ58" s="106"/>
      <c r="BK58" s="106"/>
      <c r="BL58" s="106"/>
      <c r="BM58" s="106"/>
      <c r="BN58" s="106"/>
      <c r="BO58" s="106"/>
    </row>
    <row r="59" spans="2:67" x14ac:dyDescent="0.25">
      <c r="B59" s="221"/>
      <c r="C59" s="222"/>
      <c r="D59" s="221"/>
      <c r="E59" s="221"/>
      <c r="F59" s="212" t="s">
        <v>299</v>
      </c>
      <c r="H59" s="227" t="s">
        <v>300</v>
      </c>
      <c r="I59" s="227"/>
      <c r="J59" s="227"/>
      <c r="K59" s="227"/>
      <c r="L59" s="227"/>
      <c r="M59" s="227"/>
      <c r="N59" s="227"/>
      <c r="O59" s="215"/>
      <c r="P59" s="215"/>
      <c r="Q59" s="215"/>
      <c r="Y59" s="501"/>
      <c r="BI59" s="106"/>
      <c r="BJ59" s="106"/>
      <c r="BK59" s="106"/>
      <c r="BL59" s="106"/>
      <c r="BM59" s="106"/>
      <c r="BN59" s="106"/>
      <c r="BO59" s="106"/>
    </row>
    <row r="60" spans="2:67" x14ac:dyDescent="0.25">
      <c r="B60" s="215"/>
      <c r="C60" s="215"/>
      <c r="D60" s="215"/>
      <c r="E60" s="215"/>
      <c r="F60" s="215"/>
      <c r="G60" s="215"/>
      <c r="H60" s="215"/>
      <c r="I60" s="215"/>
      <c r="J60" s="215"/>
      <c r="K60" s="215"/>
      <c r="L60" s="215"/>
      <c r="M60" s="215"/>
      <c r="N60" s="215"/>
      <c r="O60" s="215"/>
      <c r="P60" s="215"/>
      <c r="Q60" s="215"/>
      <c r="Y60" s="501"/>
      <c r="BI60" s="106"/>
      <c r="BJ60" s="106"/>
      <c r="BK60" s="106"/>
      <c r="BL60" s="106"/>
      <c r="BM60" s="106"/>
      <c r="BN60" s="106"/>
      <c r="BO60" s="106"/>
    </row>
    <row r="61" spans="2:67" x14ac:dyDescent="0.25">
      <c r="B61" s="235" t="s">
        <v>301</v>
      </c>
      <c r="C61" s="235"/>
      <c r="D61" s="215"/>
      <c r="E61" s="215"/>
      <c r="F61" s="225"/>
      <c r="G61" s="215"/>
      <c r="H61" s="215"/>
      <c r="I61" s="215"/>
      <c r="J61" s="215"/>
      <c r="K61" s="215"/>
      <c r="L61" s="215"/>
      <c r="M61" s="215"/>
      <c r="N61" s="215"/>
      <c r="O61" s="215"/>
      <c r="P61" s="215"/>
      <c r="Q61" s="215"/>
      <c r="Y61" s="501"/>
      <c r="BI61" s="106"/>
      <c r="BJ61" s="106"/>
      <c r="BK61" s="106"/>
      <c r="BL61" s="106"/>
      <c r="BM61" s="106"/>
      <c r="BN61" s="106"/>
      <c r="BO61" s="106"/>
    </row>
    <row r="62" spans="2:67" ht="159.94999999999999" customHeight="1" x14ac:dyDescent="0.25">
      <c r="B62" s="736"/>
      <c r="C62" s="737"/>
      <c r="D62" s="737"/>
      <c r="E62" s="737"/>
      <c r="F62" s="737"/>
      <c r="G62" s="737"/>
      <c r="H62" s="737"/>
      <c r="I62" s="737"/>
      <c r="J62" s="737"/>
      <c r="K62" s="737"/>
      <c r="L62" s="737"/>
      <c r="M62" s="737"/>
      <c r="N62" s="737"/>
      <c r="O62" s="737"/>
      <c r="P62" s="738"/>
      <c r="Q62" s="416"/>
      <c r="Y62" s="501"/>
      <c r="BI62" s="106"/>
      <c r="BJ62" s="106"/>
      <c r="BK62" s="106"/>
      <c r="BL62" s="106"/>
      <c r="BM62" s="106"/>
      <c r="BN62" s="106"/>
      <c r="BO62" s="106"/>
    </row>
    <row r="63" spans="2:67" ht="36" customHeight="1" x14ac:dyDescent="0.25">
      <c r="B63" s="24" t="s">
        <v>309</v>
      </c>
      <c r="C63" s="13"/>
      <c r="D63" s="236"/>
      <c r="E63" s="237"/>
      <c r="F63" s="237"/>
      <c r="G63" s="237"/>
      <c r="H63" s="237"/>
      <c r="I63" s="237"/>
      <c r="J63" s="237"/>
      <c r="K63" s="237"/>
      <c r="L63" s="237"/>
      <c r="M63" s="237"/>
      <c r="N63" s="237"/>
      <c r="O63" s="237"/>
      <c r="P63" s="237"/>
      <c r="Q63" s="215"/>
      <c r="Y63" s="501"/>
      <c r="BI63" s="106"/>
      <c r="BJ63" s="106"/>
      <c r="BK63" s="106"/>
      <c r="BL63" s="106"/>
      <c r="BM63" s="106"/>
      <c r="BN63" s="106"/>
      <c r="BO63" s="106"/>
    </row>
    <row r="64" spans="2:67" x14ac:dyDescent="0.25">
      <c r="B64" s="215"/>
      <c r="C64" s="215"/>
      <c r="D64" s="215"/>
      <c r="E64" s="215"/>
      <c r="F64" s="215"/>
      <c r="G64" s="215"/>
      <c r="H64" s="215"/>
      <c r="I64" s="215"/>
      <c r="J64" s="215"/>
      <c r="K64" s="215"/>
      <c r="L64" s="215"/>
      <c r="M64" s="215"/>
      <c r="N64" s="215"/>
      <c r="O64" s="215"/>
      <c r="P64" s="215"/>
      <c r="Q64" s="215"/>
      <c r="Y64" s="501"/>
      <c r="BI64" s="106"/>
      <c r="BJ64" s="106"/>
      <c r="BK64" s="106"/>
      <c r="BL64" s="106"/>
      <c r="BM64" s="106"/>
      <c r="BN64" s="106"/>
      <c r="BO64" s="106"/>
    </row>
    <row r="65" spans="2:67" x14ac:dyDescent="0.25">
      <c r="B65" s="222"/>
      <c r="C65" s="222"/>
      <c r="D65" s="221"/>
      <c r="E65" s="221"/>
      <c r="F65" s="212" t="s">
        <v>284</v>
      </c>
      <c r="G65" s="215"/>
      <c r="H65" s="216">
        <v>6</v>
      </c>
      <c r="J65" s="222"/>
      <c r="K65" s="222"/>
      <c r="L65" s="222"/>
      <c r="M65" s="222"/>
      <c r="N65" s="212" t="s">
        <v>285</v>
      </c>
      <c r="P65" s="217">
        <f>(BP_32/BP_01)*Man03_credits</f>
        <v>0</v>
      </c>
      <c r="Q65" s="217"/>
      <c r="Y65" s="501"/>
      <c r="BI65" s="106"/>
      <c r="BJ65" s="106"/>
      <c r="BK65" s="106"/>
      <c r="BL65" s="106"/>
      <c r="BM65" s="106"/>
      <c r="BN65" s="106"/>
      <c r="BO65" s="106"/>
    </row>
    <row r="66" spans="2:67" ht="3.75" customHeight="1" x14ac:dyDescent="0.25">
      <c r="Y66" s="501"/>
      <c r="BI66" s="106"/>
      <c r="BJ66" s="106"/>
      <c r="BK66" s="106"/>
      <c r="BL66" s="106"/>
      <c r="BM66" s="106"/>
      <c r="BN66" s="106"/>
      <c r="BO66" s="106"/>
    </row>
    <row r="67" spans="2:67" x14ac:dyDescent="0.25">
      <c r="B67" s="222"/>
      <c r="C67" s="222"/>
      <c r="D67" s="221"/>
      <c r="E67" s="221"/>
      <c r="F67" s="212" t="s">
        <v>286</v>
      </c>
      <c r="G67" s="215"/>
      <c r="H67" s="216">
        <v>0</v>
      </c>
      <c r="J67" s="221"/>
      <c r="K67" s="221"/>
      <c r="L67" s="221"/>
      <c r="M67" s="221"/>
      <c r="N67" s="212" t="s">
        <v>287</v>
      </c>
      <c r="O67" s="215"/>
      <c r="P67" s="216" t="s">
        <v>121</v>
      </c>
      <c r="Q67" s="216"/>
      <c r="Y67" s="501"/>
      <c r="BI67" s="106"/>
      <c r="BJ67" s="106"/>
      <c r="BK67" s="106"/>
      <c r="BL67" s="106"/>
      <c r="BM67" s="106"/>
      <c r="BN67" s="106"/>
      <c r="BO67" s="106"/>
    </row>
    <row r="68" spans="2:67" ht="47.25" customHeight="1" x14ac:dyDescent="0.25">
      <c r="B68" s="238" t="s">
        <v>288</v>
      </c>
      <c r="C68" s="239"/>
      <c r="D68" s="235"/>
      <c r="E68" s="239"/>
      <c r="F68" s="240"/>
      <c r="G68" s="238"/>
      <c r="H68" s="238"/>
      <c r="I68" s="238"/>
      <c r="J68" s="241" t="s">
        <v>289</v>
      </c>
      <c r="K68" s="241"/>
      <c r="L68" s="242" t="s">
        <v>290</v>
      </c>
      <c r="M68" s="238"/>
      <c r="N68" s="242" t="s">
        <v>291</v>
      </c>
      <c r="O68" s="238"/>
      <c r="P68" s="242"/>
      <c r="Q68" s="242"/>
      <c r="Y68" s="501"/>
      <c r="BI68" s="106"/>
      <c r="BJ68" s="106"/>
      <c r="BK68" s="106"/>
      <c r="BL68" s="106"/>
      <c r="BM68" s="106"/>
      <c r="BN68" s="106"/>
      <c r="BO68" s="106"/>
    </row>
    <row r="69" spans="2:67" ht="3" customHeight="1" x14ac:dyDescent="0.25">
      <c r="B69" s="215"/>
      <c r="C69" s="218"/>
      <c r="D69" s="215"/>
      <c r="E69" s="218"/>
      <c r="F69" s="244"/>
      <c r="G69" s="215"/>
      <c r="J69" s="245"/>
      <c r="K69" s="245"/>
      <c r="L69" s="215"/>
      <c r="M69" s="215"/>
      <c r="N69" s="246"/>
      <c r="O69" s="218"/>
      <c r="P69" s="246"/>
      <c r="Q69" s="246"/>
      <c r="Y69" s="501"/>
      <c r="BI69" s="106"/>
      <c r="BJ69" s="106"/>
      <c r="BK69" s="106"/>
      <c r="BL69" s="106"/>
      <c r="BM69" s="106"/>
      <c r="BN69" s="106"/>
      <c r="BO69" s="106"/>
    </row>
    <row r="70" spans="2:67" x14ac:dyDescent="0.25">
      <c r="B70" s="221"/>
      <c r="C70" s="221"/>
      <c r="D70" s="221"/>
      <c r="E70" s="221"/>
      <c r="F70" s="212"/>
      <c r="G70" s="221"/>
      <c r="H70" s="212" t="s">
        <v>310</v>
      </c>
      <c r="J70" s="223"/>
      <c r="K70" s="215"/>
      <c r="L70" s="252"/>
      <c r="M70" s="252"/>
      <c r="N70" s="252"/>
      <c r="O70" s="252"/>
      <c r="P70" s="252"/>
      <c r="Q70" s="252"/>
      <c r="R70" s="314" t="s">
        <v>311</v>
      </c>
      <c r="Y70" s="501"/>
      <c r="BI70" s="106"/>
      <c r="BJ70" s="106"/>
      <c r="BK70" s="106"/>
      <c r="BL70" s="106"/>
      <c r="BM70" s="106"/>
      <c r="BN70" s="106"/>
      <c r="BO70" s="106"/>
    </row>
    <row r="71" spans="2:67" x14ac:dyDescent="0.25">
      <c r="B71" s="221"/>
      <c r="C71" s="221"/>
      <c r="D71" s="221"/>
      <c r="E71" s="221"/>
      <c r="F71" s="212"/>
      <c r="G71" s="221"/>
      <c r="H71" s="212" t="s">
        <v>312</v>
      </c>
      <c r="J71" s="223"/>
      <c r="K71" s="215"/>
      <c r="L71" s="252"/>
      <c r="M71" s="252"/>
      <c r="N71" s="252"/>
      <c r="O71" s="252"/>
      <c r="P71" s="252"/>
      <c r="Q71" s="252"/>
      <c r="R71" s="314"/>
      <c r="Y71" s="501"/>
      <c r="BI71" s="106"/>
      <c r="BJ71" s="106"/>
      <c r="BK71" s="106"/>
      <c r="BL71" s="106"/>
      <c r="BM71" s="106"/>
      <c r="BN71" s="106"/>
      <c r="BO71" s="106"/>
    </row>
    <row r="72" spans="2:67" x14ac:dyDescent="0.25">
      <c r="B72" s="221"/>
      <c r="C72" s="221"/>
      <c r="D72" s="221"/>
      <c r="E72" s="221"/>
      <c r="F72" s="212"/>
      <c r="G72" s="221"/>
      <c r="H72" s="212" t="s">
        <v>313</v>
      </c>
      <c r="J72" s="223"/>
      <c r="K72" s="215"/>
      <c r="L72" s="224">
        <v>1</v>
      </c>
      <c r="M72" s="215"/>
      <c r="N72" s="247">
        <f>IF(OR((Man03_prereq&lt;&gt;AIS_Yes),(Man03_prereq2&lt;&gt;AIS_Yes)),0,IF(Man03_01=AIS_Yes,1,0))</f>
        <v>0</v>
      </c>
      <c r="P72" s="252"/>
      <c r="Q72" s="252"/>
      <c r="R72" s="314"/>
      <c r="Y72" s="501"/>
      <c r="BI72" s="106"/>
      <c r="BJ72" s="106"/>
      <c r="BK72" s="106"/>
      <c r="BL72" s="106"/>
      <c r="BM72" s="106"/>
      <c r="BN72" s="106"/>
      <c r="BO72" s="106"/>
    </row>
    <row r="73" spans="2:67" x14ac:dyDescent="0.25">
      <c r="B73" s="221"/>
      <c r="C73" s="221"/>
      <c r="D73" s="221"/>
      <c r="E73" s="221"/>
      <c r="F73" s="212"/>
      <c r="G73" s="221"/>
      <c r="H73" s="212" t="s">
        <v>314</v>
      </c>
      <c r="J73" s="223"/>
      <c r="K73" s="215"/>
      <c r="L73" s="224">
        <v>1</v>
      </c>
      <c r="M73" s="215"/>
      <c r="N73" s="247">
        <f>IF(OR(Man03_prereq&lt;&gt;AIS_Yes,Man03_prereq2&lt;&gt;AIS_Yes),0,IF(Man03_02=AIS_Yes,1,0))</f>
        <v>0</v>
      </c>
      <c r="P73" s="252"/>
      <c r="Q73" s="252"/>
      <c r="R73" s="314"/>
      <c r="Y73" s="501"/>
      <c r="BI73" s="106"/>
      <c r="BJ73" s="106"/>
      <c r="BK73" s="106"/>
      <c r="BL73" s="106"/>
      <c r="BM73" s="106"/>
      <c r="BN73" s="106"/>
      <c r="BO73" s="106"/>
    </row>
    <row r="74" spans="2:67" x14ac:dyDescent="0.25">
      <c r="B74" s="221"/>
      <c r="C74" s="221"/>
      <c r="D74" s="221"/>
      <c r="E74" s="221"/>
      <c r="F74" s="212"/>
      <c r="G74" s="221"/>
      <c r="H74" s="212" t="s">
        <v>315</v>
      </c>
      <c r="J74" s="223"/>
      <c r="K74" s="215"/>
      <c r="L74" s="224">
        <v>2</v>
      </c>
      <c r="M74" s="215"/>
      <c r="N74" s="247">
        <f>IF(AND(Man03_03=1,Man03_prereq=AIS_Yes,Man03_prereq2=AIS_Yes),1,IF(AND(Man03_03=2,Man03_prereq=AIS_Yes,Man03_prereq2=AIS_Yes),2,0))</f>
        <v>0</v>
      </c>
      <c r="P74" s="252"/>
      <c r="Q74" s="252"/>
      <c r="R74" s="314"/>
      <c r="Y74" s="501"/>
      <c r="BI74" s="106"/>
      <c r="BJ74" s="106"/>
      <c r="BK74" s="106"/>
      <c r="BL74" s="106"/>
      <c r="BM74" s="106"/>
      <c r="BN74" s="106"/>
      <c r="BO74" s="106"/>
    </row>
    <row r="75" spans="2:67" x14ac:dyDescent="0.25">
      <c r="B75" s="221"/>
      <c r="C75" s="221"/>
      <c r="D75" s="221"/>
      <c r="E75" s="221"/>
      <c r="F75" s="212"/>
      <c r="G75" s="221"/>
      <c r="H75" s="212" t="s">
        <v>316</v>
      </c>
      <c r="J75" s="223"/>
      <c r="K75" s="215"/>
      <c r="L75" s="419"/>
      <c r="M75" s="412"/>
      <c r="N75" s="424"/>
      <c r="O75" s="215"/>
      <c r="P75" s="252"/>
      <c r="Q75" s="252"/>
      <c r="R75" s="314"/>
      <c r="Y75" s="501"/>
      <c r="BI75" s="106"/>
      <c r="BJ75" s="106"/>
      <c r="BK75" s="106"/>
      <c r="BL75" s="106"/>
      <c r="BM75" s="106"/>
      <c r="BN75" s="106"/>
      <c r="BO75" s="106"/>
    </row>
    <row r="76" spans="2:67" x14ac:dyDescent="0.25">
      <c r="B76" s="221"/>
      <c r="C76" s="221"/>
      <c r="D76" s="221"/>
      <c r="E76" s="221"/>
      <c r="F76" s="212"/>
      <c r="G76" s="221"/>
      <c r="H76" s="212" t="s">
        <v>317</v>
      </c>
      <c r="J76" s="223"/>
      <c r="K76" s="215"/>
      <c r="L76" s="224">
        <v>1</v>
      </c>
      <c r="M76" s="215"/>
      <c r="N76" s="247">
        <f>IF(Man03_04&lt;&gt;AIS_Yes,0,IF(Man03_prereq&lt;&gt;AIS_Yes,0,IF(Man03_11a=AIS_Yes,1,0)))</f>
        <v>0</v>
      </c>
      <c r="P76" s="252"/>
      <c r="Q76" s="252"/>
      <c r="R76" s="314" t="str">
        <f>IF(Man03_04&lt;&gt;AIS_Yes,"To achieve this credit criterion 8 has to be met","")</f>
        <v>To achieve this credit criterion 8 has to be met</v>
      </c>
      <c r="Y76" s="501"/>
      <c r="BI76" s="106"/>
      <c r="BJ76" s="106"/>
      <c r="BK76" s="106"/>
      <c r="BL76" s="106"/>
      <c r="BM76" s="106"/>
      <c r="BN76" s="106"/>
      <c r="BO76" s="106"/>
    </row>
    <row r="77" spans="2:67" x14ac:dyDescent="0.25">
      <c r="B77" s="221"/>
      <c r="C77" s="221"/>
      <c r="D77" s="221"/>
      <c r="E77" s="221"/>
      <c r="F77" s="212"/>
      <c r="G77" s="221"/>
      <c r="H77" s="212" t="s">
        <v>318</v>
      </c>
      <c r="J77" s="223"/>
      <c r="K77" s="215"/>
      <c r="L77" s="224">
        <v>1</v>
      </c>
      <c r="M77" s="215"/>
      <c r="N77" s="247">
        <f>IF(Man03_04&lt;&gt;AIS_Yes,0,IF(Man03_prereq&lt;&gt;AIS_Yes,0,IF(Man03_11b=AIS_Yes,1,0)))</f>
        <v>0</v>
      </c>
      <c r="P77" s="252"/>
      <c r="Q77" s="252"/>
      <c r="R77" s="314" t="str">
        <f>IF(Man03_04&lt;&gt;AIS_Yes,"To achieve this credit criterion 8 has to be met","")</f>
        <v>To achieve this credit criterion 8 has to be met</v>
      </c>
      <c r="Y77" s="501"/>
      <c r="BI77" s="106"/>
      <c r="BJ77" s="106"/>
      <c r="BK77" s="106"/>
      <c r="BL77" s="106"/>
      <c r="BM77" s="106"/>
      <c r="BN77" s="106"/>
      <c r="BO77" s="106"/>
    </row>
    <row r="78" spans="2:67" ht="19.899999999999999" hidden="1" customHeight="1" x14ac:dyDescent="0.25">
      <c r="B78" s="221"/>
      <c r="C78" s="221"/>
      <c r="D78" s="221"/>
      <c r="E78" s="221"/>
      <c r="F78" s="212"/>
      <c r="G78" s="221"/>
      <c r="H78" s="212" t="s">
        <v>319</v>
      </c>
      <c r="J78" s="223"/>
      <c r="K78" s="215"/>
      <c r="L78" s="224">
        <v>0</v>
      </c>
      <c r="M78" s="215"/>
      <c r="N78" s="247">
        <v>0</v>
      </c>
      <c r="P78" s="252"/>
      <c r="Q78" s="252"/>
      <c r="R78" s="314"/>
      <c r="Y78" s="501"/>
      <c r="BI78" s="106"/>
      <c r="BJ78" s="106"/>
      <c r="BK78" s="106"/>
      <c r="BL78" s="106"/>
      <c r="BM78" s="106"/>
      <c r="BN78" s="106"/>
      <c r="BO78" s="106"/>
    </row>
    <row r="79" spans="2:67" ht="24.95" customHeight="1" x14ac:dyDescent="0.25">
      <c r="B79" s="248" t="s">
        <v>320</v>
      </c>
      <c r="C79" s="215"/>
      <c r="D79" s="215"/>
      <c r="E79" s="215"/>
      <c r="F79" s="215"/>
      <c r="G79" s="215"/>
      <c r="K79" s="215"/>
      <c r="L79" s="249"/>
      <c r="M79" s="215"/>
      <c r="O79" s="215"/>
      <c r="P79" s="215"/>
      <c r="Q79" s="215"/>
      <c r="Y79" s="501"/>
      <c r="BI79" s="106"/>
      <c r="BJ79" s="106"/>
      <c r="BK79" s="106"/>
      <c r="BL79" s="106"/>
      <c r="BM79" s="106"/>
      <c r="BN79" s="106"/>
      <c r="BO79" s="106"/>
    </row>
    <row r="80" spans="2:67" ht="3" customHeight="1" x14ac:dyDescent="0.25">
      <c r="B80" s="250"/>
      <c r="C80" s="215"/>
      <c r="D80" s="215"/>
      <c r="E80" s="215"/>
      <c r="F80" s="215"/>
      <c r="G80" s="215"/>
      <c r="K80" s="215"/>
      <c r="L80" s="249"/>
      <c r="M80" s="215"/>
      <c r="O80" s="215"/>
      <c r="P80" s="215"/>
      <c r="Q80" s="215"/>
      <c r="Y80" s="501"/>
      <c r="BI80" s="106"/>
      <c r="BJ80" s="106"/>
      <c r="BK80" s="106"/>
      <c r="BL80" s="106"/>
      <c r="BM80" s="106"/>
      <c r="BN80" s="106"/>
      <c r="BO80" s="106"/>
    </row>
    <row r="81" spans="2:67" x14ac:dyDescent="0.25">
      <c r="B81" s="221"/>
      <c r="C81" s="221"/>
      <c r="D81" s="221"/>
      <c r="E81" s="221"/>
      <c r="F81" s="222"/>
      <c r="G81" s="221"/>
      <c r="H81" s="212" t="s">
        <v>321</v>
      </c>
      <c r="I81" s="215"/>
      <c r="J81" s="223"/>
      <c r="K81" s="215"/>
      <c r="L81" s="209" t="str">
        <f>IF(AIS_stage00=AIS_stage01,AIS_statement01,IF(OR(Man03_11a=AIS_No,Man03_11a="",Man03_04=AIS_No),AIS_statement03,AIS_units01))</f>
        <v>Indicator not assessed</v>
      </c>
      <c r="M81" s="215"/>
      <c r="N81" s="215"/>
      <c r="O81" s="215"/>
      <c r="P81" s="215"/>
      <c r="Q81" s="215"/>
      <c r="Y81" s="501"/>
      <c r="BI81" s="106"/>
      <c r="BJ81" s="106"/>
      <c r="BK81" s="106"/>
      <c r="BL81" s="106"/>
      <c r="BM81" s="106"/>
      <c r="BN81" s="106"/>
      <c r="BO81" s="106"/>
    </row>
    <row r="82" spans="2:67" x14ac:dyDescent="0.25">
      <c r="B82" s="221"/>
      <c r="C82" s="221"/>
      <c r="D82" s="221"/>
      <c r="E82" s="221"/>
      <c r="F82" s="222"/>
      <c r="G82" s="221"/>
      <c r="H82" s="212" t="s">
        <v>322</v>
      </c>
      <c r="I82" s="215"/>
      <c r="J82" s="223"/>
      <c r="K82" s="215"/>
      <c r="L82" s="209" t="str">
        <f>IF(AIS_stage00=AIS_stage01,AIS_statement01,IF(OR(Man03_11a=AIS_No,Man03_11a="",Man03_04=AIS_No),AIS_statement03,AIS_units02))</f>
        <v>Indicator not assessed</v>
      </c>
      <c r="M82" s="215"/>
      <c r="N82" s="215"/>
      <c r="O82" s="215"/>
      <c r="P82" s="215"/>
      <c r="Q82" s="215"/>
      <c r="R82" s="732" t="s">
        <v>323</v>
      </c>
      <c r="S82" s="732"/>
      <c r="T82" s="732"/>
      <c r="U82" s="732"/>
      <c r="V82" s="732"/>
      <c r="W82" s="732"/>
      <c r="X82" s="732"/>
      <c r="Y82" s="501"/>
      <c r="BI82" s="106"/>
      <c r="BJ82" s="106"/>
      <c r="BK82" s="106"/>
      <c r="BL82" s="106"/>
      <c r="BM82" s="106"/>
      <c r="BN82" s="106"/>
      <c r="BO82" s="106"/>
    </row>
    <row r="83" spans="2:67" x14ac:dyDescent="0.25">
      <c r="B83" s="221"/>
      <c r="C83" s="221"/>
      <c r="D83" s="221"/>
      <c r="E83" s="221"/>
      <c r="F83" s="222"/>
      <c r="G83" s="221"/>
      <c r="H83" s="212" t="s">
        <v>324</v>
      </c>
      <c r="I83" s="215"/>
      <c r="J83" s="223"/>
      <c r="K83" s="215"/>
      <c r="L83" s="209" t="str">
        <f>IF(AIS_stage00=AIS_stage01,AIS_statement01,IF(OR(Man03_11b=AIS_No,Man03_11b="",Man03_04=AIS_No),AIS_statement03,AIS_units09))</f>
        <v>Indicator not assessed</v>
      </c>
      <c r="M83" s="215"/>
      <c r="N83" s="215"/>
      <c r="O83" s="215"/>
      <c r="P83" s="215"/>
      <c r="Q83" s="215"/>
      <c r="R83" s="732"/>
      <c r="S83" s="732"/>
      <c r="T83" s="732"/>
      <c r="U83" s="732"/>
      <c r="V83" s="732"/>
      <c r="W83" s="732"/>
      <c r="X83" s="732"/>
      <c r="Y83" s="501"/>
      <c r="BI83" s="106"/>
      <c r="BJ83" s="106"/>
      <c r="BK83" s="106"/>
      <c r="BL83" s="106"/>
      <c r="BM83" s="106"/>
      <c r="BN83" s="106"/>
      <c r="BO83" s="106"/>
    </row>
    <row r="84" spans="2:67" x14ac:dyDescent="0.25">
      <c r="B84" s="221"/>
      <c r="C84" s="221"/>
      <c r="D84" s="221"/>
      <c r="E84" s="221"/>
      <c r="F84" s="222"/>
      <c r="G84" s="221"/>
      <c r="H84" s="212" t="s">
        <v>325</v>
      </c>
      <c r="I84" s="215"/>
      <c r="J84" s="223"/>
      <c r="K84" s="215"/>
      <c r="L84" s="209" t="str">
        <f>IF(AIS_stage00=AIS_stage01,AIS_statement01,IF(OR(Man03_11b=AIS_No,Man03_11b="",Man03_04=AIS_No),AIS_statement03,AIS_units09))</f>
        <v>Indicator not assessed</v>
      </c>
      <c r="M84" s="215"/>
      <c r="N84" s="215"/>
      <c r="O84" s="215"/>
      <c r="P84" s="215"/>
      <c r="Q84" s="215"/>
      <c r="Y84" s="501"/>
      <c r="BI84" s="106"/>
      <c r="BJ84" s="106"/>
      <c r="BK84" s="106"/>
      <c r="BL84" s="106"/>
      <c r="BM84" s="106"/>
      <c r="BN84" s="106"/>
      <c r="BO84" s="106"/>
    </row>
    <row r="85" spans="2:67" x14ac:dyDescent="0.25">
      <c r="B85" s="221"/>
      <c r="C85" s="221"/>
      <c r="D85" s="221"/>
      <c r="E85" s="221"/>
      <c r="F85" s="222"/>
      <c r="G85" s="221"/>
      <c r="H85" s="212" t="s">
        <v>326</v>
      </c>
      <c r="I85" s="215"/>
      <c r="J85" s="223"/>
      <c r="K85" s="215"/>
      <c r="L85" s="209" t="str">
        <f>IF(AIS_stage00=AIS_stage01,AIS_statement01,IF(OR(Man03_11b=AIS_No,Man03_11b="",Man03_04=AIS_No),AIS_statement03,AIS_units08))</f>
        <v>Indicator not assessed</v>
      </c>
      <c r="M85" s="215"/>
      <c r="N85" s="215"/>
      <c r="O85" s="215"/>
      <c r="P85" s="215"/>
      <c r="Q85" s="215"/>
      <c r="Y85" s="501"/>
      <c r="BI85" s="106"/>
      <c r="BJ85" s="106"/>
      <c r="BK85" s="106"/>
      <c r="BL85" s="106"/>
      <c r="BM85" s="106"/>
      <c r="BN85" s="106"/>
      <c r="BO85" s="106"/>
    </row>
    <row r="86" spans="2:67" x14ac:dyDescent="0.25">
      <c r="B86" s="221"/>
      <c r="C86" s="221"/>
      <c r="D86" s="221"/>
      <c r="E86" s="221"/>
      <c r="F86" s="222"/>
      <c r="G86" s="221"/>
      <c r="H86" s="212" t="s">
        <v>327</v>
      </c>
      <c r="I86" s="215"/>
      <c r="J86" s="223"/>
      <c r="K86" s="215"/>
      <c r="L86" s="209" t="str">
        <f>IF(AIS_stage00=AIS_stage01,AIS_statement01,IF(OR(Man03_11b=AIS_No,Man03_11b="",Man03_04=AIS_No),AIS_statement03,AIS_units08))</f>
        <v>Indicator not assessed</v>
      </c>
      <c r="M86" s="215"/>
      <c r="N86" s="215"/>
      <c r="O86" s="215"/>
      <c r="P86" s="215"/>
      <c r="Q86" s="215"/>
      <c r="Y86" s="501"/>
      <c r="BI86" s="106"/>
      <c r="BJ86" s="106"/>
      <c r="BK86" s="106"/>
      <c r="BL86" s="106"/>
      <c r="BM86" s="106"/>
      <c r="BN86" s="106"/>
      <c r="BO86" s="106"/>
    </row>
    <row r="87" spans="2:67" x14ac:dyDescent="0.25">
      <c r="B87" s="221"/>
      <c r="C87" s="221"/>
      <c r="D87" s="221"/>
      <c r="E87" s="221"/>
      <c r="F87" s="222"/>
      <c r="G87" s="221"/>
      <c r="H87" s="212" t="s">
        <v>328</v>
      </c>
      <c r="I87" s="215"/>
      <c r="J87" s="251" t="str">
        <f>IF(Man03_11b=AIS_No,"",(IF(ISERROR(Man03_KPI09_Err),"",Man03_KPI09_Err)))</f>
        <v/>
      </c>
      <c r="K87" s="215"/>
      <c r="L87" s="209" t="str">
        <f>IF(AIS_stage00=AIS_stage01,AIS_statement01,IF(OR(Man03_11b=AIS_No,Man03_11b="",Man03_04=AIS_No),AIS_statement03,AIS_units10))</f>
        <v>Indicator not assessed</v>
      </c>
      <c r="M87" s="215"/>
      <c r="N87" s="215"/>
      <c r="O87" s="215"/>
      <c r="P87" s="215"/>
      <c r="Q87" s="215"/>
      <c r="Y87" s="501"/>
      <c r="BI87" s="106"/>
      <c r="BJ87" s="106"/>
      <c r="BK87" s="106"/>
      <c r="BL87" s="106"/>
      <c r="BM87" s="106"/>
      <c r="BN87" s="106"/>
      <c r="BO87" s="106"/>
    </row>
    <row r="88" spans="2:67" x14ac:dyDescent="0.25">
      <c r="B88" s="221"/>
      <c r="C88" s="221"/>
      <c r="D88" s="221"/>
      <c r="E88" s="221"/>
      <c r="F88" s="222"/>
      <c r="G88" s="221"/>
      <c r="H88" s="212" t="s">
        <v>329</v>
      </c>
      <c r="I88" s="215"/>
      <c r="J88" s="251" t="str">
        <f>IF(Man03_11b=AIS_No,"",(IF(ISERROR(Man03_KPI14_Err), "", Man03_KPI14_Err)))</f>
        <v/>
      </c>
      <c r="K88" s="215"/>
      <c r="L88" s="209" t="str">
        <f>IF(AIS_stage00=AIS_stage01,AIS_statement01,IF(OR(Man03_11b=AIS_No,Man03_11b="",Man03_04=AIS_No),AIS_statement03,AIS_units10))</f>
        <v>Indicator not assessed</v>
      </c>
      <c r="M88" s="215"/>
      <c r="N88" s="215"/>
      <c r="O88" s="215"/>
      <c r="P88" s="215"/>
      <c r="Q88" s="215"/>
      <c r="Y88" s="501"/>
      <c r="BI88" s="106"/>
      <c r="BJ88" s="106"/>
      <c r="BK88" s="106"/>
      <c r="BL88" s="106"/>
      <c r="BM88" s="106"/>
      <c r="BN88" s="106"/>
      <c r="BO88" s="106"/>
    </row>
    <row r="89" spans="2:67" ht="24.95" customHeight="1" x14ac:dyDescent="0.25">
      <c r="B89" s="248" t="s">
        <v>330</v>
      </c>
      <c r="C89" s="215"/>
      <c r="D89" s="215"/>
      <c r="E89" s="215"/>
      <c r="G89" s="215"/>
      <c r="H89" s="225"/>
      <c r="I89" s="215"/>
      <c r="J89" s="252"/>
      <c r="K89" s="215"/>
      <c r="L89" s="203"/>
      <c r="M89" s="215"/>
      <c r="N89" s="215"/>
      <c r="O89" s="215"/>
      <c r="P89" s="215"/>
      <c r="Q89" s="215"/>
      <c r="Y89" s="501"/>
      <c r="BI89" s="106"/>
      <c r="BJ89" s="106"/>
      <c r="BK89" s="106"/>
      <c r="BL89" s="106"/>
      <c r="BM89" s="106"/>
      <c r="BN89" s="106"/>
      <c r="BO89" s="106"/>
    </row>
    <row r="90" spans="2:67" ht="3" customHeight="1" x14ac:dyDescent="0.25">
      <c r="B90" s="250"/>
      <c r="C90" s="215"/>
      <c r="D90" s="215"/>
      <c r="E90" s="215"/>
      <c r="G90" s="215"/>
      <c r="H90" s="225"/>
      <c r="I90" s="215"/>
      <c r="J90" s="252"/>
      <c r="K90" s="215"/>
      <c r="L90" s="203"/>
      <c r="M90" s="215"/>
      <c r="N90" s="215"/>
      <c r="O90" s="215"/>
      <c r="P90" s="215"/>
      <c r="Q90" s="215"/>
      <c r="Y90" s="501"/>
      <c r="BI90" s="106"/>
      <c r="BJ90" s="106"/>
      <c r="BK90" s="106"/>
      <c r="BL90" s="106"/>
      <c r="BM90" s="106"/>
      <c r="BN90" s="106"/>
      <c r="BO90" s="106"/>
    </row>
    <row r="91" spans="2:67" x14ac:dyDescent="0.25">
      <c r="B91" s="221"/>
      <c r="C91" s="221"/>
      <c r="D91" s="221"/>
      <c r="E91" s="221"/>
      <c r="F91" s="222"/>
      <c r="G91" s="221"/>
      <c r="H91" s="212" t="s">
        <v>331</v>
      </c>
      <c r="I91" s="215"/>
      <c r="J91" s="223"/>
      <c r="K91" s="215"/>
      <c r="L91" s="209" t="str">
        <f>IF(AIS_stage00=AIS_stage01,AIS_statement01,IF(OR(Man03_11a=AIS_No,Man03_11a="",Man03_04=AIS_No),AIS_statement03,AIS_units05))</f>
        <v>Indicator not assessed</v>
      </c>
      <c r="M91" s="215"/>
      <c r="N91" s="215"/>
      <c r="O91" s="215"/>
      <c r="P91" s="215"/>
      <c r="Q91" s="215"/>
      <c r="Y91" s="501"/>
      <c r="BI91" s="106"/>
      <c r="BJ91" s="106"/>
      <c r="BK91" s="106"/>
      <c r="BL91" s="106"/>
      <c r="BM91" s="106"/>
      <c r="BN91" s="106"/>
      <c r="BO91" s="106"/>
    </row>
    <row r="92" spans="2:67" x14ac:dyDescent="0.25">
      <c r="B92" s="221"/>
      <c r="C92" s="221"/>
      <c r="D92" s="221"/>
      <c r="E92" s="221"/>
      <c r="F92" s="222"/>
      <c r="G92" s="221"/>
      <c r="H92" s="212" t="s">
        <v>332</v>
      </c>
      <c r="I92" s="215"/>
      <c r="J92" s="223"/>
      <c r="K92" s="215"/>
      <c r="L92" s="209" t="str">
        <f>IF(AIS_stage00=AIS_stage01,AIS_statement01,IF(OR(Man03_11a=AIS_No,Man03_11a="",Man03_04=AIS_No),AIS_statement03,AIS_units03))</f>
        <v>Indicator not assessed</v>
      </c>
      <c r="M92" s="215"/>
      <c r="N92" s="215"/>
      <c r="O92" s="215"/>
      <c r="P92" s="215"/>
      <c r="Q92" s="215"/>
      <c r="R92" s="732" t="s">
        <v>333</v>
      </c>
      <c r="S92" s="732"/>
      <c r="T92" s="732"/>
      <c r="U92" s="732"/>
      <c r="V92" s="732"/>
      <c r="W92" s="732"/>
      <c r="X92" s="732"/>
      <c r="Y92" s="501"/>
      <c r="BI92" s="106"/>
      <c r="BJ92" s="106"/>
      <c r="BK92" s="106"/>
      <c r="BL92" s="106"/>
      <c r="BM92" s="106"/>
      <c r="BN92" s="106"/>
      <c r="BO92" s="106"/>
    </row>
    <row r="93" spans="2:67" x14ac:dyDescent="0.25">
      <c r="B93" s="221"/>
      <c r="C93" s="221"/>
      <c r="D93" s="221"/>
      <c r="E93" s="221"/>
      <c r="F93" s="222"/>
      <c r="G93" s="221"/>
      <c r="H93" s="212" t="s">
        <v>334</v>
      </c>
      <c r="I93" s="215"/>
      <c r="J93" s="223"/>
      <c r="K93" s="215"/>
      <c r="L93" s="209" t="str">
        <f>IF(AIS_stage00=AIS_stage01,AIS_statement01,IF(OR(Man03_11b=AIS_No,Man03_11b="",Man03_04=AIS_No),AIS_statement03,AIS_units05))</f>
        <v>Indicator not assessed</v>
      </c>
      <c r="M93" s="215"/>
      <c r="N93" s="215"/>
      <c r="O93" s="215"/>
      <c r="P93" s="215"/>
      <c r="Q93" s="215"/>
      <c r="R93" s="732"/>
      <c r="S93" s="732"/>
      <c r="T93" s="732"/>
      <c r="U93" s="732"/>
      <c r="V93" s="732"/>
      <c r="W93" s="732"/>
      <c r="X93" s="732"/>
      <c r="Y93" s="501"/>
      <c r="BI93" s="106"/>
      <c r="BJ93" s="106"/>
      <c r="BK93" s="106"/>
      <c r="BL93" s="106"/>
      <c r="BM93" s="106"/>
      <c r="BN93" s="106"/>
      <c r="BO93" s="106"/>
    </row>
    <row r="94" spans="2:67" x14ac:dyDescent="0.25">
      <c r="B94" s="221"/>
      <c r="C94" s="221"/>
      <c r="D94" s="221"/>
      <c r="E94" s="221"/>
      <c r="F94" s="222"/>
      <c r="G94" s="221"/>
      <c r="H94" s="212" t="s">
        <v>335</v>
      </c>
      <c r="I94" s="215"/>
      <c r="J94" s="223"/>
      <c r="K94" s="215"/>
      <c r="L94" s="209" t="str">
        <f>IF(AIS_stage00=AIS_stage01,AIS_statement01,IF(OR(Man03_11b=AIS_No,Man03_11b="",Man03_04=AIS_No),AIS_statement03,AIS_units05))</f>
        <v>Indicator not assessed</v>
      </c>
      <c r="M94" s="215"/>
      <c r="N94" s="215"/>
      <c r="O94" s="215"/>
      <c r="P94" s="215"/>
      <c r="Q94" s="215"/>
      <c r="Y94" s="501"/>
      <c r="BI94" s="106"/>
      <c r="BJ94" s="106"/>
      <c r="BK94" s="106"/>
      <c r="BL94" s="106"/>
      <c r="BM94" s="106"/>
      <c r="BN94" s="106"/>
      <c r="BO94" s="106"/>
    </row>
    <row r="95" spans="2:67" x14ac:dyDescent="0.25">
      <c r="B95" s="221"/>
      <c r="C95" s="221"/>
      <c r="D95" s="221"/>
      <c r="E95" s="221"/>
      <c r="F95" s="222"/>
      <c r="G95" s="221"/>
      <c r="H95" s="212" t="s">
        <v>336</v>
      </c>
      <c r="I95" s="215"/>
      <c r="J95" s="251" t="str">
        <f>IF(Man03_03=AIS_No,"",(IF(ISERROR(Man03_KPI11_Err),"", Man03_KPI11_Err)))</f>
        <v/>
      </c>
      <c r="K95" s="215"/>
      <c r="L95" s="209" t="str">
        <f>IF(AIS_stage00=AIS_stage01,AIS_statement01,IF(OR(Man03_11b=AIS_No,Man03_11b="",Man03_04=AIS_No),AIS_statement03,AIS_units04))</f>
        <v>Indicator not assessed</v>
      </c>
      <c r="M95" s="215"/>
      <c r="N95" s="215"/>
      <c r="O95" s="215"/>
      <c r="P95" s="215"/>
      <c r="Q95" s="215"/>
      <c r="Y95" s="501"/>
      <c r="BI95" s="106"/>
      <c r="BJ95" s="106"/>
      <c r="BK95" s="106"/>
      <c r="BL95" s="106"/>
      <c r="BM95" s="106"/>
      <c r="BN95" s="106"/>
      <c r="BO95" s="106"/>
    </row>
    <row r="96" spans="2:67" x14ac:dyDescent="0.25">
      <c r="B96" s="221"/>
      <c r="C96" s="221"/>
      <c r="D96" s="221"/>
      <c r="E96" s="221"/>
      <c r="F96" s="222"/>
      <c r="G96" s="222"/>
      <c r="H96" s="212" t="s">
        <v>337</v>
      </c>
      <c r="I96" s="215"/>
      <c r="J96" s="251" t="str">
        <f>IF(Man03_03=AIS_No,"",(IF(ISERROR(Man03_KPI16_Err), "", Man03_KPI16_Err)))</f>
        <v/>
      </c>
      <c r="K96" s="215"/>
      <c r="L96" s="209" t="str">
        <f>IF(AIS_stage00=AIS_stage01,AIS_statement01,IF(OR(Man03_11b=AIS_No,Man03_11b="",Man03_04=AIS_No),AIS_statement03,AIS_units04))</f>
        <v>Indicator not assessed</v>
      </c>
      <c r="M96" s="215"/>
      <c r="N96" s="215"/>
      <c r="O96" s="215"/>
      <c r="P96" s="215"/>
      <c r="Q96" s="215"/>
      <c r="Y96" s="501"/>
      <c r="BI96" s="106"/>
      <c r="BJ96" s="106"/>
      <c r="BK96" s="106"/>
      <c r="BL96" s="106"/>
      <c r="BM96" s="106"/>
      <c r="BN96" s="106"/>
      <c r="BO96" s="106"/>
    </row>
    <row r="97" spans="2:67" ht="24.95" customHeight="1" x14ac:dyDescent="0.25">
      <c r="B97" s="248" t="s">
        <v>338</v>
      </c>
      <c r="C97" s="215"/>
      <c r="D97" s="215"/>
      <c r="E97" s="215"/>
      <c r="G97" s="215"/>
      <c r="H97" s="225"/>
      <c r="I97" s="215"/>
      <c r="J97" s="252"/>
      <c r="K97" s="215"/>
      <c r="L97" s="203"/>
      <c r="M97" s="215"/>
      <c r="N97" s="215"/>
      <c r="O97" s="215"/>
      <c r="P97" s="215"/>
      <c r="Q97" s="215"/>
      <c r="Y97" s="501"/>
      <c r="BI97" s="106"/>
      <c r="BJ97" s="106"/>
      <c r="BK97" s="106"/>
      <c r="BL97" s="106"/>
      <c r="BM97" s="106"/>
      <c r="BN97" s="106"/>
      <c r="BO97" s="106"/>
    </row>
    <row r="98" spans="2:67" ht="3" customHeight="1" x14ac:dyDescent="0.25">
      <c r="B98" s="250"/>
      <c r="C98" s="215"/>
      <c r="D98" s="215"/>
      <c r="E98" s="215"/>
      <c r="G98" s="215"/>
      <c r="H98" s="225"/>
      <c r="I98" s="215"/>
      <c r="J98" s="252"/>
      <c r="K98" s="215"/>
      <c r="L98" s="203"/>
      <c r="M98" s="215"/>
      <c r="N98" s="215"/>
      <c r="O98" s="215"/>
      <c r="P98" s="215"/>
      <c r="Q98" s="215"/>
      <c r="Y98" s="501"/>
      <c r="BI98" s="106"/>
      <c r="BJ98" s="106"/>
      <c r="BK98" s="106"/>
      <c r="BL98" s="106"/>
      <c r="BM98" s="106"/>
      <c r="BN98" s="106"/>
      <c r="BO98" s="106"/>
    </row>
    <row r="99" spans="2:67" x14ac:dyDescent="0.25">
      <c r="B99" s="221"/>
      <c r="C99" s="221"/>
      <c r="D99" s="221"/>
      <c r="E99" s="221"/>
      <c r="F99" s="222"/>
      <c r="G99" s="221"/>
      <c r="H99" s="212" t="s">
        <v>339</v>
      </c>
      <c r="I99" s="215"/>
      <c r="J99" s="223"/>
      <c r="K99" s="215"/>
      <c r="L99" s="209" t="str">
        <f>IF(AIS_stage00=AIS_stage01,AIS_statement01,IF(OR(Man03_11a=AIS_No,Man03_11a=""),AIS_statement03,AIS_units07))</f>
        <v>Indicator not assessed</v>
      </c>
      <c r="M99" s="215"/>
      <c r="N99" s="215"/>
      <c r="O99" s="215"/>
      <c r="P99" s="215"/>
      <c r="Q99" s="215"/>
      <c r="Y99" s="501"/>
      <c r="BI99" s="106"/>
      <c r="BJ99" s="106"/>
      <c r="BK99" s="106"/>
      <c r="BL99" s="106"/>
      <c r="BM99" s="106"/>
      <c r="BN99" s="106"/>
      <c r="BO99" s="106"/>
    </row>
    <row r="100" spans="2:67" x14ac:dyDescent="0.25">
      <c r="B100" s="221"/>
      <c r="C100" s="221"/>
      <c r="D100" s="221"/>
      <c r="E100" s="221"/>
      <c r="F100" s="222"/>
      <c r="G100" s="221"/>
      <c r="H100" s="212" t="s">
        <v>340</v>
      </c>
      <c r="I100" s="215"/>
      <c r="J100" s="223"/>
      <c r="K100" s="215"/>
      <c r="L100" s="209" t="str">
        <f>IF(AIS_stage00=AIS_stage01,AIS_statement01,IF(OR(Man03_11a=AIS_No,Man03_11a=""),AIS_statement03,AIS_units06))</f>
        <v>Indicator not assessed</v>
      </c>
      <c r="M100" s="215"/>
      <c r="N100" s="215"/>
      <c r="O100" s="215"/>
      <c r="P100" s="215"/>
      <c r="Q100" s="215"/>
      <c r="Y100" s="501"/>
      <c r="BI100" s="106"/>
      <c r="BJ100" s="106"/>
      <c r="BK100" s="106"/>
      <c r="BL100" s="106"/>
      <c r="BM100" s="106"/>
      <c r="BN100" s="106"/>
      <c r="BO100" s="106"/>
    </row>
    <row r="101" spans="2:67" x14ac:dyDescent="0.25">
      <c r="B101" s="215"/>
      <c r="C101" s="215"/>
      <c r="D101" s="215"/>
      <c r="E101" s="215"/>
      <c r="F101" s="215"/>
      <c r="G101" s="215"/>
      <c r="H101" s="215"/>
      <c r="I101" s="215"/>
      <c r="J101" s="215"/>
      <c r="K101" s="215"/>
      <c r="L101" s="215"/>
      <c r="M101" s="215"/>
      <c r="N101" s="215"/>
      <c r="O101" s="215"/>
      <c r="P101" s="215"/>
      <c r="Q101" s="215"/>
      <c r="Y101" s="501"/>
      <c r="BI101" s="106"/>
      <c r="BJ101" s="106"/>
      <c r="BK101" s="106"/>
      <c r="BL101" s="106"/>
      <c r="BM101" s="106"/>
      <c r="BN101" s="106"/>
      <c r="BO101" s="106"/>
    </row>
    <row r="102" spans="2:67" x14ac:dyDescent="0.25">
      <c r="B102" s="221"/>
      <c r="C102" s="222"/>
      <c r="D102" s="222"/>
      <c r="E102" s="221"/>
      <c r="F102" s="212" t="s">
        <v>296</v>
      </c>
      <c r="G102" s="215"/>
      <c r="H102" s="216">
        <f>IF(ISERROR(Man03_Tot_Err),0,Man03_Tot_Err)</f>
        <v>0</v>
      </c>
      <c r="K102" s="215"/>
      <c r="M102" s="215"/>
      <c r="N102" s="215"/>
      <c r="O102" s="215"/>
      <c r="P102" s="215"/>
      <c r="Q102" s="215"/>
      <c r="Y102" s="501"/>
      <c r="BI102" s="106"/>
      <c r="BJ102" s="106"/>
      <c r="BK102" s="106"/>
      <c r="BL102" s="106"/>
      <c r="BM102" s="106"/>
      <c r="BN102" s="106"/>
      <c r="BO102" s="106"/>
    </row>
    <row r="103" spans="2:67" ht="3" customHeight="1" x14ac:dyDescent="0.25">
      <c r="K103" s="215"/>
      <c r="M103" s="215"/>
      <c r="N103" s="215"/>
      <c r="O103" s="215"/>
      <c r="P103" s="215"/>
      <c r="Q103" s="215"/>
      <c r="Y103" s="501"/>
      <c r="BI103" s="106"/>
      <c r="BJ103" s="106"/>
      <c r="BK103" s="106"/>
      <c r="BL103" s="106"/>
      <c r="BM103" s="106"/>
      <c r="BN103" s="106"/>
      <c r="BO103" s="106"/>
    </row>
    <row r="104" spans="2:67" x14ac:dyDescent="0.25">
      <c r="B104" s="221"/>
      <c r="C104" s="222"/>
      <c r="D104" s="222"/>
      <c r="E104" s="221"/>
      <c r="F104" s="212" t="s">
        <v>297</v>
      </c>
      <c r="G104" s="215"/>
      <c r="H104" s="217">
        <f>(Man03_12/Man03_credits)*Man03_Tot</f>
        <v>0</v>
      </c>
      <c r="K104" s="215"/>
      <c r="M104" s="215"/>
      <c r="N104" s="215"/>
      <c r="O104" s="215"/>
      <c r="P104" s="215"/>
      <c r="Q104" s="215"/>
      <c r="Y104" s="501"/>
      <c r="BI104" s="106"/>
      <c r="BJ104" s="106"/>
      <c r="BK104" s="106"/>
      <c r="BL104" s="106"/>
      <c r="BM104" s="106"/>
      <c r="BN104" s="106"/>
      <c r="BO104" s="106"/>
    </row>
    <row r="105" spans="2:67" ht="3" customHeight="1" x14ac:dyDescent="0.25">
      <c r="F105" s="215"/>
      <c r="K105" s="215"/>
      <c r="M105" s="215"/>
      <c r="N105" s="215"/>
      <c r="O105" s="215"/>
      <c r="P105" s="215"/>
      <c r="Q105" s="215"/>
      <c r="Y105" s="501"/>
      <c r="BI105" s="106"/>
      <c r="BJ105" s="106"/>
      <c r="BK105" s="106"/>
      <c r="BL105" s="106"/>
      <c r="BM105" s="106"/>
      <c r="BN105" s="106"/>
      <c r="BO105" s="106"/>
    </row>
    <row r="106" spans="2:67" x14ac:dyDescent="0.25">
      <c r="B106" s="221"/>
      <c r="C106" s="222"/>
      <c r="D106" s="222"/>
      <c r="E106" s="221"/>
      <c r="F106" s="212" t="s">
        <v>298</v>
      </c>
      <c r="H106" s="216">
        <f>N78</f>
        <v>0</v>
      </c>
      <c r="K106" s="215"/>
      <c r="M106" s="215"/>
      <c r="N106" s="215"/>
      <c r="O106" s="215"/>
      <c r="P106" s="215"/>
      <c r="Q106" s="215"/>
      <c r="Y106" s="501"/>
      <c r="BI106" s="106"/>
      <c r="BJ106" s="106"/>
      <c r="BK106" s="106"/>
      <c r="BL106" s="106"/>
      <c r="BM106" s="106"/>
      <c r="BN106" s="106"/>
      <c r="BO106" s="106"/>
    </row>
    <row r="107" spans="2:67" ht="3" customHeight="1" x14ac:dyDescent="0.25">
      <c r="F107" s="215"/>
      <c r="K107" s="215"/>
      <c r="M107" s="215"/>
      <c r="N107" s="215"/>
      <c r="O107" s="215"/>
      <c r="P107" s="215"/>
      <c r="Q107" s="215"/>
      <c r="Y107" s="501"/>
      <c r="BI107" s="106"/>
      <c r="BJ107" s="106"/>
      <c r="BK107" s="106"/>
      <c r="BL107" s="106"/>
      <c r="BM107" s="106"/>
      <c r="BN107" s="106"/>
      <c r="BO107" s="106"/>
    </row>
    <row r="108" spans="2:67" x14ac:dyDescent="0.25">
      <c r="B108" s="221"/>
      <c r="C108" s="222"/>
      <c r="D108" s="221"/>
      <c r="E108" s="221"/>
      <c r="F108" s="212" t="s">
        <v>299</v>
      </c>
      <c r="H108" s="768" t="str">
        <f>VLOOKUP(MinSt_02,AIS_MinSt_benchmarks,2,FALSE)</f>
        <v>Minimum standards not met for certification</v>
      </c>
      <c r="I108" s="797"/>
      <c r="J108" s="797"/>
      <c r="K108" s="797"/>
      <c r="L108" s="797"/>
      <c r="M108" s="797"/>
      <c r="N108" s="797"/>
      <c r="O108" s="215"/>
      <c r="P108" s="215"/>
      <c r="Q108" s="215"/>
      <c r="Y108" s="501"/>
      <c r="BI108" s="106"/>
      <c r="BJ108" s="106"/>
      <c r="BK108" s="106"/>
      <c r="BL108" s="106"/>
      <c r="BM108" s="106"/>
      <c r="BN108" s="106"/>
      <c r="BO108" s="106"/>
    </row>
    <row r="109" spans="2:67" x14ac:dyDescent="0.25">
      <c r="B109" s="215"/>
      <c r="C109" s="215"/>
      <c r="D109" s="215"/>
      <c r="E109" s="215"/>
      <c r="F109" s="215"/>
      <c r="G109" s="215"/>
      <c r="H109" s="215"/>
      <c r="I109" s="215"/>
      <c r="J109" s="215"/>
      <c r="K109" s="215"/>
      <c r="M109" s="215"/>
      <c r="N109" s="215"/>
      <c r="O109" s="215"/>
      <c r="P109" s="215"/>
      <c r="Q109" s="215"/>
      <c r="Y109" s="501"/>
      <c r="AW109" s="501"/>
      <c r="BI109" s="106"/>
      <c r="BJ109" s="106"/>
      <c r="BK109" s="106"/>
      <c r="BL109" s="106"/>
      <c r="BM109" s="106"/>
      <c r="BN109" s="106"/>
      <c r="BO109" s="106"/>
    </row>
    <row r="110" spans="2:67" x14ac:dyDescent="0.25">
      <c r="B110" s="235" t="s">
        <v>301</v>
      </c>
      <c r="C110" s="215"/>
      <c r="D110" s="215"/>
      <c r="E110" s="215"/>
      <c r="F110" s="225"/>
      <c r="G110" s="215"/>
      <c r="H110" s="215"/>
      <c r="I110" s="215"/>
      <c r="J110" s="215"/>
      <c r="K110" s="215"/>
      <c r="L110" s="215"/>
      <c r="M110" s="215"/>
      <c r="N110" s="215"/>
      <c r="O110" s="215"/>
      <c r="P110" s="215"/>
      <c r="Q110" s="215"/>
      <c r="Y110" s="501"/>
      <c r="AW110" s="501"/>
      <c r="BI110" s="106"/>
      <c r="BJ110" s="106"/>
      <c r="BK110" s="106"/>
      <c r="BL110" s="106"/>
      <c r="BM110" s="106"/>
      <c r="BN110" s="106"/>
      <c r="BO110" s="106"/>
    </row>
    <row r="111" spans="2:67" ht="159.94999999999999" customHeight="1" x14ac:dyDescent="0.25">
      <c r="B111" s="736"/>
      <c r="C111" s="737"/>
      <c r="D111" s="737"/>
      <c r="E111" s="737"/>
      <c r="F111" s="737"/>
      <c r="G111" s="737"/>
      <c r="H111" s="737"/>
      <c r="I111" s="737"/>
      <c r="J111" s="737"/>
      <c r="K111" s="737"/>
      <c r="L111" s="737"/>
      <c r="M111" s="737"/>
      <c r="N111" s="737"/>
      <c r="O111" s="737"/>
      <c r="P111" s="738"/>
      <c r="Q111" s="416"/>
      <c r="Y111" s="501"/>
      <c r="AW111" s="501"/>
      <c r="BI111" s="106"/>
      <c r="BJ111" s="106"/>
      <c r="BK111" s="106"/>
      <c r="BL111" s="106"/>
      <c r="BM111" s="106"/>
      <c r="BN111" s="106"/>
      <c r="BO111" s="106"/>
    </row>
    <row r="112" spans="2:67" ht="36" customHeight="1" x14ac:dyDescent="0.25">
      <c r="B112" s="27" t="s">
        <v>341</v>
      </c>
      <c r="C112" s="13"/>
      <c r="D112" s="236"/>
      <c r="E112" s="237"/>
      <c r="F112" s="237"/>
      <c r="G112" s="237"/>
      <c r="H112" s="237"/>
      <c r="I112" s="237"/>
      <c r="J112" s="237"/>
      <c r="K112" s="237"/>
      <c r="L112" s="237"/>
      <c r="M112" s="237"/>
      <c r="N112" s="237"/>
      <c r="O112" s="237"/>
      <c r="P112" s="237"/>
      <c r="Q112" s="215"/>
      <c r="Y112" s="501"/>
      <c r="BI112" s="106"/>
      <c r="BJ112" s="106"/>
      <c r="BK112" s="106"/>
      <c r="BL112" s="106"/>
      <c r="BM112" s="106"/>
      <c r="BN112" s="106"/>
      <c r="BO112" s="106"/>
    </row>
    <row r="113" spans="2:67" x14ac:dyDescent="0.25">
      <c r="B113" s="215"/>
      <c r="C113" s="215"/>
      <c r="D113" s="215"/>
      <c r="E113" s="215"/>
      <c r="F113" s="215"/>
      <c r="G113" s="215"/>
      <c r="H113" s="215"/>
      <c r="I113" s="215"/>
      <c r="J113" s="215"/>
      <c r="K113" s="215"/>
      <c r="L113" s="215"/>
      <c r="M113" s="215"/>
      <c r="N113" s="215"/>
      <c r="O113" s="215"/>
      <c r="P113" s="215"/>
      <c r="Q113" s="215"/>
      <c r="Y113" s="501"/>
      <c r="BI113" s="106"/>
      <c r="BJ113" s="106"/>
      <c r="BK113" s="106"/>
      <c r="BL113" s="106"/>
      <c r="BM113" s="106"/>
      <c r="BN113" s="106"/>
      <c r="BO113" s="106"/>
    </row>
    <row r="114" spans="2:67" x14ac:dyDescent="0.25">
      <c r="B114" s="222"/>
      <c r="C114" s="222"/>
      <c r="D114" s="221"/>
      <c r="E114" s="221"/>
      <c r="F114" s="212" t="s">
        <v>284</v>
      </c>
      <c r="G114" s="215"/>
      <c r="H114" s="216">
        <f>SUM(Man04_05,Man04_06,Man04_07,Man04_08)</f>
        <v>4</v>
      </c>
      <c r="J114" s="222"/>
      <c r="K114" s="222"/>
      <c r="L114" s="222"/>
      <c r="M114" s="222"/>
      <c r="N114" s="212" t="s">
        <v>285</v>
      </c>
      <c r="P114" s="253">
        <f>(BP_32/BP_01)*Man04_credits</f>
        <v>0</v>
      </c>
      <c r="Q114" s="253"/>
      <c r="Y114" s="501"/>
      <c r="BI114" s="106"/>
      <c r="BJ114" s="106"/>
      <c r="BK114" s="106"/>
      <c r="BL114" s="106"/>
      <c r="BM114" s="106"/>
      <c r="BN114" s="106"/>
      <c r="BO114" s="106"/>
    </row>
    <row r="115" spans="2:67" ht="3.75" customHeight="1" x14ac:dyDescent="0.25">
      <c r="Y115" s="501"/>
      <c r="BI115" s="106"/>
      <c r="BJ115" s="106"/>
      <c r="BK115" s="106"/>
      <c r="BL115" s="106"/>
      <c r="BM115" s="106"/>
      <c r="BN115" s="106"/>
      <c r="BO115" s="106"/>
    </row>
    <row r="116" spans="2:67" x14ac:dyDescent="0.25">
      <c r="B116" s="222"/>
      <c r="C116" s="222"/>
      <c r="D116" s="221"/>
      <c r="E116" s="221"/>
      <c r="F116" s="212" t="s">
        <v>286</v>
      </c>
      <c r="G116" s="215"/>
      <c r="H116" s="216">
        <v>0</v>
      </c>
      <c r="J116" s="221"/>
      <c r="K116" s="221"/>
      <c r="L116" s="221"/>
      <c r="M116" s="221"/>
      <c r="N116" s="212" t="s">
        <v>287</v>
      </c>
      <c r="O116" s="215"/>
      <c r="P116" s="216" t="s">
        <v>121</v>
      </c>
      <c r="Q116" s="216"/>
      <c r="Y116" s="501"/>
      <c r="BI116" s="106"/>
      <c r="BJ116" s="106"/>
      <c r="BK116" s="106"/>
      <c r="BL116" s="106"/>
      <c r="BM116" s="106"/>
      <c r="BN116" s="106"/>
      <c r="BO116" s="106"/>
    </row>
    <row r="117" spans="2:67" ht="47.25" customHeight="1" x14ac:dyDescent="0.25">
      <c r="B117" s="238" t="s">
        <v>288</v>
      </c>
      <c r="C117" s="239"/>
      <c r="D117" s="235"/>
      <c r="E117" s="239"/>
      <c r="F117" s="240"/>
      <c r="G117" s="238"/>
      <c r="H117" s="238"/>
      <c r="I117" s="238"/>
      <c r="J117" s="241" t="s">
        <v>289</v>
      </c>
      <c r="K117" s="241"/>
      <c r="L117" s="242" t="s">
        <v>290</v>
      </c>
      <c r="M117" s="238"/>
      <c r="N117" s="242" t="s">
        <v>291</v>
      </c>
      <c r="O117" s="238"/>
      <c r="P117" s="242"/>
      <c r="Q117" s="242"/>
      <c r="Y117" s="501"/>
      <c r="BI117" s="106"/>
      <c r="BJ117" s="106"/>
      <c r="BK117" s="106"/>
      <c r="BL117" s="106"/>
      <c r="BM117" s="106"/>
      <c r="BN117" s="106"/>
      <c r="BO117" s="106"/>
    </row>
    <row r="118" spans="2:67" ht="3" customHeight="1" x14ac:dyDescent="0.25">
      <c r="B118" s="215"/>
      <c r="C118" s="218"/>
      <c r="D118" s="215"/>
      <c r="E118" s="218"/>
      <c r="F118" s="244"/>
      <c r="G118" s="215"/>
      <c r="J118" s="245"/>
      <c r="K118" s="245"/>
      <c r="L118" s="215"/>
      <c r="M118" s="215"/>
      <c r="N118" s="246"/>
      <c r="O118" s="218"/>
      <c r="P118" s="246"/>
      <c r="Q118" s="246"/>
      <c r="Y118" s="501"/>
      <c r="BI118" s="106"/>
      <c r="BJ118" s="106"/>
      <c r="BK118" s="106"/>
      <c r="BL118" s="106"/>
      <c r="BM118" s="106"/>
      <c r="BN118" s="106"/>
      <c r="BO118" s="106"/>
    </row>
    <row r="119" spans="2:67" x14ac:dyDescent="0.25">
      <c r="B119" s="221"/>
      <c r="C119" s="221"/>
      <c r="D119" s="221"/>
      <c r="E119" s="221"/>
      <c r="F119" s="212"/>
      <c r="G119" s="221"/>
      <c r="H119" s="212" t="s">
        <v>342</v>
      </c>
      <c r="J119" s="223"/>
      <c r="K119" s="215"/>
      <c r="L119" s="224">
        <f>IF(Man04_shell=1,0,1)</f>
        <v>1</v>
      </c>
      <c r="M119" s="215"/>
      <c r="N119" s="224">
        <f>IF(ADPT=ADPT02,0,IF(Man04_01=AIS_Yes,1,0))</f>
        <v>0</v>
      </c>
      <c r="O119" s="215"/>
      <c r="P119" s="300"/>
      <c r="Q119" s="300"/>
      <c r="S119" s="20"/>
      <c r="Y119" s="501"/>
      <c r="BI119" s="106"/>
      <c r="BJ119" s="106"/>
      <c r="BK119" s="106"/>
      <c r="BL119" s="106"/>
      <c r="BM119" s="106"/>
      <c r="BN119" s="106"/>
      <c r="BO119" s="106"/>
    </row>
    <row r="120" spans="2:67" x14ac:dyDescent="0.25">
      <c r="B120" s="221"/>
      <c r="C120" s="221"/>
      <c r="D120" s="221"/>
      <c r="E120" s="221"/>
      <c r="F120" s="212"/>
      <c r="G120" s="221"/>
      <c r="H120" s="212" t="s">
        <v>343</v>
      </c>
      <c r="J120" s="223"/>
      <c r="K120" s="215"/>
      <c r="L120" s="224">
        <f>IF(Man04_shell=1,0,1)</f>
        <v>1</v>
      </c>
      <c r="M120" s="215"/>
      <c r="N120" s="224">
        <f>IF(ADPT=ADPT02,0,IF(AND(Man04_01=AIS_Yes,Man04_02=AIS_Yes),1,0))</f>
        <v>0</v>
      </c>
      <c r="O120" s="215"/>
      <c r="P120" s="300"/>
      <c r="Q120" s="300"/>
      <c r="R120" s="209" t="str">
        <f>IF(AND(Man04_03=AIS_Yes,Man04_01=AIS_Yes),"",AIS_Statement_112)</f>
        <v>Note: the first Man 04 credit must be achieved before the second and the third credits can be awarded.</v>
      </c>
      <c r="S120" s="20"/>
      <c r="Y120" s="501"/>
      <c r="BI120" s="106"/>
      <c r="BJ120" s="106"/>
      <c r="BK120" s="106"/>
      <c r="BL120" s="106"/>
      <c r="BM120" s="106"/>
      <c r="BN120" s="106"/>
      <c r="BO120" s="106"/>
    </row>
    <row r="121" spans="2:67" ht="15.75" customHeight="1" x14ac:dyDescent="0.25">
      <c r="B121" s="221"/>
      <c r="C121" s="221"/>
      <c r="D121" s="221"/>
      <c r="E121" s="221"/>
      <c r="F121" s="212"/>
      <c r="G121" s="221"/>
      <c r="H121" s="212" t="s">
        <v>344</v>
      </c>
      <c r="J121" s="223"/>
      <c r="K121" s="215"/>
      <c r="L121" s="224">
        <v>1</v>
      </c>
      <c r="M121" s="215"/>
      <c r="N121" s="224">
        <f>IF(AD_Shell_Only="Yes",Man04_03credit_SO,Man04_03cred_FF_SnC)</f>
        <v>0</v>
      </c>
      <c r="O121" s="215"/>
      <c r="P121" s="594"/>
      <c r="Q121" s="594"/>
      <c r="S121" s="210"/>
      <c r="T121" s="210"/>
      <c r="U121" s="210"/>
      <c r="V121" s="210"/>
      <c r="W121" s="210"/>
      <c r="X121" s="210"/>
      <c r="Y121" s="501"/>
      <c r="BI121" s="106"/>
      <c r="BJ121" s="106"/>
      <c r="BK121" s="106"/>
      <c r="BL121" s="106"/>
      <c r="BM121" s="106"/>
      <c r="BN121" s="106"/>
      <c r="BO121" s="106"/>
    </row>
    <row r="122" spans="2:67" x14ac:dyDescent="0.25">
      <c r="B122" s="221"/>
      <c r="C122" s="221"/>
      <c r="D122" s="221"/>
      <c r="E122" s="221"/>
      <c r="F122" s="212"/>
      <c r="G122" s="221"/>
      <c r="H122" s="212" t="s">
        <v>345</v>
      </c>
      <c r="J122" s="223"/>
      <c r="K122" s="215"/>
      <c r="L122" s="798">
        <f>IF(Man04_shell=1,0,1)</f>
        <v>1</v>
      </c>
      <c r="M122" s="215"/>
      <c r="N122" s="798">
        <f>IF(ADPT=ADPT02,0,IF(AND(ADPT=ADPT03,Man04_04=AIS_Yes),1,IF(AND(Man04_04=AIS_Yes,Man04_04_1=AIS_Yes),1,0)))</f>
        <v>0</v>
      </c>
      <c r="O122" s="215"/>
      <c r="P122" s="594"/>
      <c r="Q122" s="594"/>
      <c r="R122" s="210"/>
      <c r="S122" s="210"/>
      <c r="T122" s="210"/>
      <c r="U122" s="210"/>
      <c r="V122" s="210"/>
      <c r="W122" s="210"/>
      <c r="X122" s="210"/>
      <c r="Y122" s="501"/>
      <c r="BI122" s="106"/>
      <c r="BJ122" s="106"/>
      <c r="BK122" s="106"/>
      <c r="BL122" s="106"/>
      <c r="BM122" s="106"/>
      <c r="BN122" s="106"/>
      <c r="BO122" s="106"/>
    </row>
    <row r="123" spans="2:67" x14ac:dyDescent="0.25">
      <c r="B123" s="221"/>
      <c r="C123" s="221"/>
      <c r="D123" s="221"/>
      <c r="E123" s="221"/>
      <c r="F123" s="212"/>
      <c r="G123" s="221"/>
      <c r="H123" s="212" t="s">
        <v>346</v>
      </c>
      <c r="J123" s="223"/>
      <c r="K123" s="215"/>
      <c r="L123" s="798"/>
      <c r="M123" s="3"/>
      <c r="N123" s="798"/>
      <c r="O123" s="215"/>
      <c r="P123" s="594"/>
      <c r="Q123" s="594"/>
      <c r="R123" s="210"/>
      <c r="S123" s="210"/>
      <c r="T123" s="210"/>
      <c r="U123" s="210"/>
      <c r="V123" s="210"/>
      <c r="W123" s="210"/>
      <c r="X123" s="210"/>
      <c r="Y123" s="501"/>
      <c r="BI123" s="106"/>
      <c r="BJ123" s="106"/>
      <c r="BK123" s="106"/>
      <c r="BL123" s="106"/>
      <c r="BM123" s="106"/>
      <c r="BN123" s="106"/>
      <c r="BO123" s="106"/>
    </row>
    <row r="124" spans="2:67" ht="16.5" customHeight="1" x14ac:dyDescent="0.25">
      <c r="Y124" s="501"/>
      <c r="BI124" s="106"/>
      <c r="BJ124" s="106"/>
      <c r="BK124" s="106"/>
      <c r="BL124" s="106"/>
      <c r="BM124" s="106"/>
      <c r="BN124" s="106"/>
      <c r="BO124" s="106"/>
    </row>
    <row r="125" spans="2:67" x14ac:dyDescent="0.25">
      <c r="B125" s="221"/>
      <c r="C125" s="222"/>
      <c r="D125" s="222"/>
      <c r="E125" s="221"/>
      <c r="F125" s="212" t="s">
        <v>296</v>
      </c>
      <c r="G125" s="215"/>
      <c r="H125" s="254">
        <f>IF(ISERROR(Man04_Tot_Err),0,Man04_Tot_Err)</f>
        <v>0</v>
      </c>
      <c r="K125" s="215"/>
      <c r="M125" s="215"/>
      <c r="N125" s="215"/>
      <c r="O125" s="215"/>
      <c r="P125" s="215"/>
      <c r="Q125" s="215"/>
      <c r="Y125" s="501"/>
      <c r="BI125" s="106"/>
      <c r="BJ125" s="106"/>
      <c r="BK125" s="106"/>
      <c r="BL125" s="106"/>
      <c r="BM125" s="106"/>
      <c r="BN125" s="106"/>
      <c r="BO125" s="106"/>
    </row>
    <row r="126" spans="2:67" ht="3" customHeight="1" x14ac:dyDescent="0.25">
      <c r="K126" s="215"/>
      <c r="M126" s="215"/>
      <c r="N126" s="215"/>
      <c r="O126" s="215"/>
      <c r="P126" s="215"/>
      <c r="Q126" s="215"/>
      <c r="Y126" s="501"/>
      <c r="BI126" s="106"/>
      <c r="BJ126" s="106"/>
      <c r="BK126" s="106"/>
      <c r="BL126" s="106"/>
      <c r="BM126" s="106"/>
      <c r="BN126" s="106"/>
      <c r="BO126" s="106"/>
    </row>
    <row r="127" spans="2:67" x14ac:dyDescent="0.25">
      <c r="B127" s="221"/>
      <c r="C127" s="222"/>
      <c r="D127" s="222"/>
      <c r="E127" s="221"/>
      <c r="F127" s="212" t="s">
        <v>297</v>
      </c>
      <c r="G127" s="215"/>
      <c r="H127" s="217">
        <f>(Man04_17/Man04_credits)*Man04_tot</f>
        <v>0</v>
      </c>
      <c r="K127" s="215"/>
      <c r="M127" s="215"/>
      <c r="N127" s="215"/>
      <c r="O127" s="215"/>
      <c r="P127" s="215"/>
      <c r="Q127" s="215"/>
      <c r="Y127" s="501"/>
      <c r="BI127" s="106"/>
      <c r="BJ127" s="106"/>
      <c r="BK127" s="106"/>
      <c r="BL127" s="106"/>
      <c r="BM127" s="106"/>
      <c r="BN127" s="106"/>
      <c r="BO127" s="106"/>
    </row>
    <row r="128" spans="2:67" ht="3" customHeight="1" x14ac:dyDescent="0.25">
      <c r="K128" s="215"/>
      <c r="M128" s="215"/>
      <c r="N128" s="215"/>
      <c r="O128" s="215"/>
      <c r="P128" s="215"/>
      <c r="Q128" s="215"/>
      <c r="Y128" s="501"/>
      <c r="BI128" s="106"/>
      <c r="BJ128" s="106"/>
      <c r="BK128" s="106"/>
      <c r="BL128" s="106"/>
      <c r="BM128" s="106"/>
      <c r="BN128" s="106"/>
      <c r="BO128" s="106"/>
    </row>
    <row r="129" spans="2:67" x14ac:dyDescent="0.25">
      <c r="B129" s="221"/>
      <c r="C129" s="222"/>
      <c r="D129" s="222"/>
      <c r="E129" s="221"/>
      <c r="F129" s="212" t="s">
        <v>298</v>
      </c>
      <c r="H129" s="216" t="s">
        <v>300</v>
      </c>
      <c r="K129" s="215"/>
      <c r="L129" s="205"/>
      <c r="M129" s="215"/>
      <c r="N129" s="215"/>
      <c r="O129" s="215"/>
      <c r="P129" s="215"/>
      <c r="Q129" s="215"/>
      <c r="Y129" s="501"/>
      <c r="BI129" s="106"/>
      <c r="BJ129" s="106"/>
      <c r="BK129" s="106"/>
      <c r="BL129" s="106"/>
      <c r="BM129" s="106"/>
      <c r="BN129" s="106"/>
      <c r="BO129" s="106"/>
    </row>
    <row r="130" spans="2:67" ht="3" customHeight="1" x14ac:dyDescent="0.25">
      <c r="K130" s="215"/>
      <c r="M130" s="215"/>
      <c r="N130" s="215"/>
      <c r="O130" s="215"/>
      <c r="P130" s="215"/>
      <c r="Q130" s="215"/>
      <c r="Y130" s="501"/>
      <c r="BI130" s="106"/>
      <c r="BJ130" s="106"/>
      <c r="BK130" s="106"/>
      <c r="BL130" s="106"/>
      <c r="BM130" s="106"/>
      <c r="BN130" s="106"/>
      <c r="BO130" s="106"/>
    </row>
    <row r="131" spans="2:67" x14ac:dyDescent="0.25">
      <c r="B131" s="221"/>
      <c r="C131" s="222"/>
      <c r="D131" s="221"/>
      <c r="E131" s="221"/>
      <c r="F131" s="212" t="s">
        <v>299</v>
      </c>
      <c r="H131" s="226" t="str">
        <f>IF(ADPT=ADPT02,AIS_NA,VLOOKUP(MinSt_03,AIS_MinSt_benchmarks,2,FALSE))</f>
        <v>Very Good level</v>
      </c>
      <c r="I131" s="227"/>
      <c r="J131" s="227"/>
      <c r="K131" s="227"/>
      <c r="L131" s="227"/>
      <c r="M131" s="227"/>
      <c r="N131" s="227"/>
      <c r="O131" s="215"/>
      <c r="P131" s="215"/>
      <c r="Q131" s="215"/>
      <c r="Y131" s="501"/>
      <c r="BI131" s="106"/>
      <c r="BJ131" s="106"/>
      <c r="BK131" s="106"/>
      <c r="BL131" s="106"/>
      <c r="BM131" s="106"/>
      <c r="BN131" s="106"/>
      <c r="BO131" s="106"/>
    </row>
    <row r="132" spans="2:67" x14ac:dyDescent="0.25">
      <c r="B132" s="215"/>
      <c r="C132" s="215"/>
      <c r="D132" s="215"/>
      <c r="E132" s="215"/>
      <c r="F132" s="215"/>
      <c r="G132" s="215"/>
      <c r="H132" s="215"/>
      <c r="I132" s="215"/>
      <c r="J132" s="215"/>
      <c r="K132" s="215"/>
      <c r="L132" s="215"/>
      <c r="M132" s="215"/>
      <c r="N132" s="215"/>
      <c r="O132" s="215"/>
      <c r="P132" s="215"/>
      <c r="Q132" s="215"/>
      <c r="Y132" s="501"/>
      <c r="BI132" s="106"/>
      <c r="BJ132" s="106"/>
      <c r="BK132" s="106"/>
      <c r="BL132" s="106"/>
      <c r="BM132" s="106"/>
      <c r="BN132" s="106"/>
      <c r="BO132" s="106"/>
    </row>
    <row r="133" spans="2:67" x14ac:dyDescent="0.25">
      <c r="B133" s="235" t="s">
        <v>301</v>
      </c>
      <c r="C133" s="215"/>
      <c r="D133" s="215"/>
      <c r="E133" s="215"/>
      <c r="F133" s="225"/>
      <c r="G133" s="215"/>
      <c r="H133" s="215"/>
      <c r="I133" s="215"/>
      <c r="J133" s="215"/>
      <c r="K133" s="215"/>
      <c r="L133" s="215"/>
      <c r="M133" s="215"/>
      <c r="N133" s="215"/>
      <c r="O133" s="215"/>
      <c r="P133" s="215"/>
      <c r="Q133" s="215"/>
      <c r="Y133" s="501"/>
      <c r="BI133" s="106"/>
      <c r="BJ133" s="106"/>
      <c r="BK133" s="106"/>
      <c r="BL133" s="106"/>
      <c r="BM133" s="106"/>
      <c r="BN133" s="106"/>
      <c r="BO133" s="106"/>
    </row>
    <row r="134" spans="2:67" ht="159.94999999999999" customHeight="1" x14ac:dyDescent="0.25">
      <c r="B134" s="799"/>
      <c r="C134" s="800"/>
      <c r="D134" s="800"/>
      <c r="E134" s="800"/>
      <c r="F134" s="800"/>
      <c r="G134" s="800"/>
      <c r="H134" s="800"/>
      <c r="I134" s="800"/>
      <c r="J134" s="800"/>
      <c r="K134" s="800"/>
      <c r="L134" s="800"/>
      <c r="M134" s="800"/>
      <c r="N134" s="800"/>
      <c r="O134" s="800"/>
      <c r="P134" s="800"/>
      <c r="Q134" s="416"/>
      <c r="Y134" s="501"/>
      <c r="BI134" s="106"/>
      <c r="BJ134" s="106"/>
      <c r="BK134" s="106"/>
      <c r="BL134" s="106"/>
      <c r="BM134" s="106"/>
      <c r="BN134" s="106"/>
      <c r="BO134" s="106"/>
    </row>
    <row r="135" spans="2:67" ht="24.75" customHeight="1" x14ac:dyDescent="0.25">
      <c r="B135" s="3"/>
      <c r="C135" s="3"/>
      <c r="D135" s="3"/>
      <c r="E135" s="3"/>
      <c r="F135" s="3"/>
      <c r="G135" s="3"/>
      <c r="H135" s="3"/>
      <c r="I135" s="3"/>
      <c r="J135" s="3"/>
      <c r="K135" s="3"/>
      <c r="L135" s="3"/>
      <c r="M135" s="3"/>
      <c r="N135" s="3"/>
      <c r="O135" s="3"/>
      <c r="P135" s="3"/>
      <c r="Q135" s="3"/>
      <c r="R135" s="3"/>
      <c r="Y135" s="501"/>
      <c r="BI135" s="106"/>
      <c r="BJ135" s="106"/>
      <c r="BK135" s="106"/>
      <c r="BL135" s="106"/>
      <c r="BM135" s="106"/>
      <c r="BN135" s="106"/>
      <c r="BO135" s="106"/>
    </row>
    <row r="136" spans="2:67" ht="36" customHeight="1" x14ac:dyDescent="0.25">
      <c r="B136" s="27" t="s">
        <v>347</v>
      </c>
      <c r="C136" s="13"/>
      <c r="D136" s="236"/>
      <c r="E136" s="237"/>
      <c r="F136" s="237"/>
      <c r="G136" s="237"/>
      <c r="H136" s="237"/>
      <c r="I136" s="237"/>
      <c r="J136" s="237"/>
      <c r="K136" s="237"/>
      <c r="L136" s="237"/>
      <c r="M136" s="237"/>
      <c r="N136" s="237"/>
      <c r="O136" s="237"/>
      <c r="P136" s="329" t="str">
        <f>IF(OR(ADPT=ADPT02,ADPT=ADPT03),AIS_statement32,"")</f>
        <v/>
      </c>
      <c r="Q136" s="240"/>
      <c r="Y136" s="501"/>
      <c r="BI136" s="106"/>
      <c r="BJ136" s="106"/>
      <c r="BK136" s="106"/>
      <c r="BL136" s="106"/>
      <c r="BM136" s="106"/>
      <c r="BN136" s="106"/>
      <c r="BO136" s="106"/>
    </row>
    <row r="137" spans="2:67" x14ac:dyDescent="0.25">
      <c r="B137" s="215"/>
      <c r="C137" s="215"/>
      <c r="D137" s="215"/>
      <c r="E137" s="215"/>
      <c r="F137" s="215"/>
      <c r="G137" s="215"/>
      <c r="H137" s="215"/>
      <c r="I137" s="215"/>
      <c r="J137" s="215"/>
      <c r="K137" s="215"/>
      <c r="L137" s="215"/>
      <c r="M137" s="215"/>
      <c r="N137" s="215"/>
      <c r="O137" s="215"/>
      <c r="P137" s="215"/>
      <c r="Q137" s="215"/>
      <c r="Y137" s="501"/>
      <c r="BI137" s="106"/>
      <c r="BJ137" s="106"/>
      <c r="BK137" s="106"/>
      <c r="BL137" s="106"/>
      <c r="BM137" s="106"/>
      <c r="BN137" s="106"/>
      <c r="BO137" s="106"/>
    </row>
    <row r="138" spans="2:67" x14ac:dyDescent="0.25">
      <c r="B138" s="222"/>
      <c r="C138" s="222"/>
      <c r="D138" s="221"/>
      <c r="E138" s="221"/>
      <c r="F138" s="212" t="s">
        <v>284</v>
      </c>
      <c r="G138" s="215"/>
      <c r="H138" s="216">
        <f>IF(OR(ADPT=ADPT02,ADPT=ADPT03),AIS_NA,3)</f>
        <v>3</v>
      </c>
      <c r="J138" s="222"/>
      <c r="K138" s="222"/>
      <c r="L138" s="222"/>
      <c r="M138" s="222"/>
      <c r="N138" s="212" t="s">
        <v>285</v>
      </c>
      <c r="P138" s="253">
        <f>IF(P136=AIS_statement32,AIS_NA,(BP_32/BP_01)*Man05_credits)</f>
        <v>0</v>
      </c>
      <c r="Q138" s="253"/>
      <c r="Y138" s="501"/>
      <c r="BI138" s="106"/>
      <c r="BJ138" s="106"/>
      <c r="BK138" s="106"/>
      <c r="BL138" s="106"/>
      <c r="BM138" s="106"/>
      <c r="BN138" s="106"/>
      <c r="BO138" s="106"/>
    </row>
    <row r="139" spans="2:67" ht="3.75" customHeight="1" x14ac:dyDescent="0.25">
      <c r="Y139" s="501"/>
      <c r="BI139" s="106"/>
      <c r="BJ139" s="106"/>
      <c r="BK139" s="106"/>
      <c r="BL139" s="106"/>
      <c r="BM139" s="106"/>
      <c r="BN139" s="106"/>
      <c r="BO139" s="106"/>
    </row>
    <row r="140" spans="2:67" x14ac:dyDescent="0.25">
      <c r="B140" s="222"/>
      <c r="C140" s="222"/>
      <c r="D140" s="221"/>
      <c r="E140" s="221"/>
      <c r="F140" s="212" t="s">
        <v>286</v>
      </c>
      <c r="G140" s="215"/>
      <c r="H140" s="216">
        <f>IF(OR(ADPT=ADPT02,ADPT=ADPT03),AIS_NA,1)</f>
        <v>1</v>
      </c>
      <c r="J140" s="221"/>
      <c r="K140" s="221"/>
      <c r="L140" s="221"/>
      <c r="M140" s="221"/>
      <c r="N140" s="212" t="s">
        <v>287</v>
      </c>
      <c r="O140" s="215"/>
      <c r="P140" s="216" t="str">
        <f>IF(OR(ADPT=ADPT02,ADPT=ADPT03),AIS_NA,AIS_Yes)</f>
        <v>Yes</v>
      </c>
      <c r="Q140" s="216"/>
      <c r="Y140" s="501"/>
      <c r="BI140" s="106"/>
      <c r="BJ140" s="106"/>
      <c r="BK140" s="106"/>
      <c r="BL140" s="106"/>
      <c r="BM140" s="106"/>
      <c r="BN140" s="106"/>
      <c r="BO140" s="106"/>
    </row>
    <row r="141" spans="2:67" ht="47.25" customHeight="1" x14ac:dyDescent="0.25">
      <c r="B141" s="238" t="s">
        <v>288</v>
      </c>
      <c r="C141" s="218"/>
      <c r="D141" s="215"/>
      <c r="E141" s="218"/>
      <c r="F141" s="255"/>
      <c r="J141" s="241" t="s">
        <v>289</v>
      </c>
      <c r="K141" s="241"/>
      <c r="L141" s="242" t="s">
        <v>290</v>
      </c>
      <c r="M141" s="238"/>
      <c r="N141" s="242" t="s">
        <v>291</v>
      </c>
      <c r="O141" s="238"/>
      <c r="P141" s="242"/>
      <c r="Q141" s="242"/>
      <c r="Y141" s="501"/>
      <c r="BI141" s="106"/>
      <c r="BJ141" s="106"/>
      <c r="BK141" s="106"/>
      <c r="BL141" s="106"/>
      <c r="BM141" s="106"/>
      <c r="BN141" s="106"/>
      <c r="BO141" s="106"/>
    </row>
    <row r="142" spans="2:67" ht="3" customHeight="1" x14ac:dyDescent="0.25">
      <c r="B142" s="215"/>
      <c r="C142" s="218"/>
      <c r="D142" s="215"/>
      <c r="E142" s="218"/>
      <c r="F142" s="244"/>
      <c r="G142" s="215"/>
      <c r="J142" s="245"/>
      <c r="K142" s="245"/>
      <c r="L142" s="215"/>
      <c r="M142" s="215"/>
      <c r="N142" s="246"/>
      <c r="O142" s="218"/>
      <c r="P142" s="246"/>
      <c r="Q142" s="246"/>
      <c r="Y142" s="501"/>
      <c r="BI142" s="106"/>
      <c r="BJ142" s="106"/>
      <c r="BK142" s="106"/>
      <c r="BL142" s="106"/>
      <c r="BM142" s="106"/>
      <c r="BN142" s="106"/>
      <c r="BO142" s="106"/>
    </row>
    <row r="143" spans="2:67" x14ac:dyDescent="0.25">
      <c r="B143" s="221"/>
      <c r="C143" s="221"/>
      <c r="D143" s="221"/>
      <c r="E143" s="221"/>
      <c r="F143" s="212"/>
      <c r="G143" s="221"/>
      <c r="H143" s="212" t="s">
        <v>348</v>
      </c>
      <c r="J143" s="398"/>
      <c r="K143" s="215"/>
      <c r="L143" s="224">
        <f>IF(OR(ADPT=ADPT02, ADPT=ADPT03),AIS_NA,(1))</f>
        <v>1</v>
      </c>
      <c r="M143" s="215"/>
      <c r="N143" s="224">
        <f>IF(Man05_11=AIS_statement32,AIS_NA,IF(Man05_01=AIS_Yes,Man05_04,0))</f>
        <v>0</v>
      </c>
      <c r="O143" s="215"/>
      <c r="P143" s="252"/>
      <c r="Q143" s="252"/>
      <c r="Y143" s="501"/>
      <c r="BI143" s="106"/>
      <c r="BJ143" s="106"/>
      <c r="BK143" s="106"/>
      <c r="BL143" s="106"/>
      <c r="BM143" s="106"/>
      <c r="BN143" s="106"/>
      <c r="BO143" s="106"/>
    </row>
    <row r="144" spans="2:67" x14ac:dyDescent="0.25">
      <c r="B144" s="221"/>
      <c r="C144" s="221"/>
      <c r="D144" s="221"/>
      <c r="E144" s="221"/>
      <c r="F144" s="212"/>
      <c r="G144" s="221"/>
      <c r="H144" s="212" t="s">
        <v>349</v>
      </c>
      <c r="J144" s="398"/>
      <c r="K144" s="215"/>
      <c r="L144" s="224">
        <f>IF(OR(ADPT=ADPT02, ADPT=ADPT03),AIS_NA,(1))</f>
        <v>1</v>
      </c>
      <c r="M144" s="215"/>
      <c r="N144" s="224">
        <f>IF(Man05_11=AIS_statement32,AIS_NA,IF(Man05_02=AIS_Yes,Man05_05,0))</f>
        <v>0</v>
      </c>
      <c r="O144" s="215"/>
      <c r="P144" s="252"/>
      <c r="Q144" s="252"/>
      <c r="Y144" s="501"/>
      <c r="BI144" s="106"/>
      <c r="BJ144" s="106"/>
      <c r="BK144" s="106"/>
      <c r="BL144" s="106"/>
      <c r="BM144" s="106"/>
      <c r="BN144" s="106"/>
      <c r="BO144" s="106"/>
    </row>
    <row r="145" spans="2:67" x14ac:dyDescent="0.25">
      <c r="B145" s="221"/>
      <c r="C145" s="221"/>
      <c r="D145" s="221"/>
      <c r="E145" s="221"/>
      <c r="F145" s="212"/>
      <c r="G145" s="221"/>
      <c r="H145" s="212" t="s">
        <v>350</v>
      </c>
      <c r="J145" s="398"/>
      <c r="K145" s="215"/>
      <c r="L145" s="224">
        <f>IF(OR(ADPT=ADPT02, ADPT=ADPT03),AIS_NA,(1))</f>
        <v>1</v>
      </c>
      <c r="M145" s="215"/>
      <c r="N145" s="224">
        <f>IF(Man05_11=AIS_statement32,AIS_NA,IF(Man05_03=AIS_Yes,Man05_06,0))</f>
        <v>0</v>
      </c>
      <c r="O145" s="215"/>
      <c r="P145" s="252"/>
      <c r="Q145" s="252"/>
      <c r="Y145" s="501"/>
      <c r="BI145" s="106"/>
      <c r="BJ145" s="106"/>
      <c r="BK145" s="106"/>
      <c r="BL145" s="106"/>
      <c r="BM145" s="106"/>
      <c r="BN145" s="106"/>
      <c r="BO145" s="106"/>
    </row>
    <row r="146" spans="2:67" x14ac:dyDescent="0.25">
      <c r="B146" s="221"/>
      <c r="C146" s="221"/>
      <c r="D146" s="221"/>
      <c r="E146" s="221"/>
      <c r="F146" s="212"/>
      <c r="G146" s="221"/>
      <c r="H146" s="212" t="s">
        <v>351</v>
      </c>
      <c r="J146" s="398"/>
      <c r="K146" s="215"/>
      <c r="L146" s="224">
        <f>IF(OR(ADPT=ADPT02, ADPT=ADPT03),AIS_NA,(1))</f>
        <v>1</v>
      </c>
      <c r="M146" s="215"/>
      <c r="N146" s="224">
        <f>IF(Man05_11=AIS_statement32,0,IF(Man05_exemp=AIS_Yes,Man05_exemp_01,0))</f>
        <v>0</v>
      </c>
      <c r="O146" s="215"/>
      <c r="P146" s="252"/>
      <c r="Q146" s="252"/>
      <c r="Y146" s="501"/>
      <c r="BI146" s="106"/>
      <c r="BJ146" s="106"/>
      <c r="BK146" s="106"/>
      <c r="BL146" s="106"/>
      <c r="BM146" s="106"/>
      <c r="BN146" s="106"/>
      <c r="BO146" s="106"/>
    </row>
    <row r="147" spans="2:67" ht="16.5" customHeight="1" x14ac:dyDescent="0.25">
      <c r="Y147" s="501"/>
      <c r="BI147" s="106"/>
      <c r="BJ147" s="106"/>
      <c r="BK147" s="106"/>
      <c r="BL147" s="106"/>
      <c r="BM147" s="106"/>
      <c r="BN147" s="106"/>
      <c r="BO147" s="106"/>
    </row>
    <row r="148" spans="2:67" x14ac:dyDescent="0.25">
      <c r="B148" s="221"/>
      <c r="C148" s="222"/>
      <c r="D148" s="222"/>
      <c r="E148" s="221"/>
      <c r="F148" s="212" t="s">
        <v>296</v>
      </c>
      <c r="G148" s="215"/>
      <c r="H148" s="216">
        <f>IF(ISERROR(Man05_Tot_Err),0,Man05_Tot_Err)</f>
        <v>0</v>
      </c>
      <c r="K148" s="215"/>
      <c r="M148" s="215"/>
      <c r="N148" s="215"/>
      <c r="O148" s="215"/>
      <c r="P148" s="215"/>
      <c r="Q148" s="215"/>
      <c r="Y148" s="501"/>
      <c r="BI148" s="106"/>
      <c r="BJ148" s="106"/>
      <c r="BK148" s="106"/>
      <c r="BL148" s="106"/>
      <c r="BM148" s="106"/>
      <c r="BN148" s="106"/>
      <c r="BO148" s="106"/>
    </row>
    <row r="149" spans="2:67" ht="3" customHeight="1" x14ac:dyDescent="0.25">
      <c r="K149" s="215"/>
      <c r="M149" s="215"/>
      <c r="N149" s="215"/>
      <c r="O149" s="215"/>
      <c r="P149" s="215"/>
      <c r="Q149" s="215"/>
      <c r="Y149" s="501"/>
      <c r="BI149" s="106"/>
      <c r="BJ149" s="106"/>
      <c r="BK149" s="106"/>
      <c r="BL149" s="106"/>
      <c r="BM149" s="106"/>
      <c r="BN149" s="106"/>
      <c r="BO149" s="106"/>
    </row>
    <row r="150" spans="2:67" x14ac:dyDescent="0.25">
      <c r="B150" s="221"/>
      <c r="C150" s="222"/>
      <c r="D150" s="222"/>
      <c r="E150" s="221"/>
      <c r="F150" s="212" t="s">
        <v>297</v>
      </c>
      <c r="G150" s="215"/>
      <c r="H150" s="217">
        <f>IF(OR(ADPT=ADPT02,ADPT=ADPT03),AIS_NA,IF(ISERROR((Man05_10/Man05_credits)*Man05_tot),0,(Man05_10/Man05_credits)*Man05_tot))</f>
        <v>0</v>
      </c>
      <c r="K150" s="215"/>
      <c r="M150" s="215"/>
      <c r="N150" s="215"/>
      <c r="O150" s="215"/>
      <c r="P150" s="215"/>
      <c r="Q150" s="215"/>
      <c r="Y150" s="501"/>
      <c r="BI150" s="106"/>
      <c r="BJ150" s="106"/>
      <c r="BK150" s="106"/>
      <c r="BL150" s="106"/>
      <c r="BM150" s="106"/>
      <c r="BN150" s="106"/>
      <c r="BO150" s="106"/>
    </row>
    <row r="151" spans="2:67" ht="3" customHeight="1" x14ac:dyDescent="0.25">
      <c r="K151" s="215"/>
      <c r="M151" s="215"/>
      <c r="N151" s="215"/>
      <c r="O151" s="215"/>
      <c r="P151" s="215"/>
      <c r="Q151" s="215"/>
      <c r="Y151" s="501"/>
      <c r="BI151" s="106"/>
      <c r="BJ151" s="106"/>
      <c r="BK151" s="106"/>
      <c r="BL151" s="106"/>
      <c r="BM151" s="106"/>
      <c r="BN151" s="106"/>
      <c r="BO151" s="106"/>
    </row>
    <row r="152" spans="2:67" x14ac:dyDescent="0.25">
      <c r="B152" s="221"/>
      <c r="C152" s="222"/>
      <c r="D152" s="222"/>
      <c r="E152" s="221"/>
      <c r="F152" s="212" t="s">
        <v>298</v>
      </c>
      <c r="H152" s="216">
        <f>Man05_exemp_02</f>
        <v>0</v>
      </c>
      <c r="K152" s="215"/>
      <c r="M152" s="215"/>
      <c r="N152" s="215"/>
      <c r="O152" s="215"/>
      <c r="P152" s="215"/>
      <c r="Q152" s="215"/>
      <c r="Y152" s="501"/>
      <c r="BI152" s="106"/>
      <c r="BJ152" s="106"/>
      <c r="BK152" s="106"/>
      <c r="BL152" s="106"/>
      <c r="BM152" s="106"/>
      <c r="BN152" s="106"/>
      <c r="BO152" s="106"/>
    </row>
    <row r="153" spans="2:67" ht="3" customHeight="1" x14ac:dyDescent="0.25">
      <c r="K153" s="215"/>
      <c r="M153" s="215"/>
      <c r="N153" s="215"/>
      <c r="O153" s="215"/>
      <c r="P153" s="215"/>
      <c r="Q153" s="215"/>
      <c r="Y153" s="501"/>
      <c r="BI153" s="106"/>
      <c r="BJ153" s="106"/>
      <c r="BK153" s="106"/>
      <c r="BL153" s="106"/>
      <c r="BM153" s="106"/>
      <c r="BN153" s="106"/>
      <c r="BO153" s="106"/>
    </row>
    <row r="154" spans="2:67" x14ac:dyDescent="0.25">
      <c r="B154" s="221"/>
      <c r="C154" s="222"/>
      <c r="D154" s="221"/>
      <c r="E154" s="221"/>
      <c r="F154" s="212" t="s">
        <v>299</v>
      </c>
      <c r="H154" s="768" t="str">
        <f>IF(OR(ADPT=ADPT02,ADPT=ADPT03),AIS_NA,VLOOKUP(MinSt_04,AIS_MinSt_benchmarks,2,FALSE))</f>
        <v>Very Good level</v>
      </c>
      <c r="I154" s="768"/>
      <c r="J154" s="768"/>
      <c r="K154" s="768"/>
      <c r="L154" s="768"/>
      <c r="M154" s="768"/>
      <c r="N154" s="768"/>
      <c r="O154" s="215"/>
      <c r="P154" s="215"/>
      <c r="Q154" s="215"/>
      <c r="Y154" s="501"/>
      <c r="BI154" s="106"/>
      <c r="BJ154" s="106"/>
      <c r="BK154" s="106"/>
      <c r="BL154" s="106"/>
      <c r="BM154" s="106"/>
      <c r="BN154" s="106"/>
      <c r="BO154" s="106"/>
    </row>
    <row r="155" spans="2:67" x14ac:dyDescent="0.25">
      <c r="B155" s="215"/>
      <c r="C155" s="215"/>
      <c r="D155" s="215"/>
      <c r="E155" s="215"/>
      <c r="F155" s="215"/>
      <c r="G155" s="215"/>
      <c r="H155" s="215"/>
      <c r="I155" s="215"/>
      <c r="J155" s="215"/>
      <c r="K155" s="215"/>
      <c r="L155" s="215"/>
      <c r="M155" s="215"/>
      <c r="N155" s="215"/>
      <c r="O155" s="215"/>
      <c r="P155" s="215"/>
      <c r="Q155" s="215"/>
      <c r="Y155" s="501"/>
      <c r="BI155" s="106"/>
      <c r="BJ155" s="106"/>
      <c r="BK155" s="106"/>
      <c r="BL155" s="106"/>
      <c r="BM155" s="106"/>
      <c r="BN155" s="106"/>
      <c r="BO155" s="106"/>
    </row>
    <row r="156" spans="2:67" x14ac:dyDescent="0.25">
      <c r="B156" s="235" t="s">
        <v>301</v>
      </c>
      <c r="C156" s="215"/>
      <c r="D156" s="215"/>
      <c r="E156" s="215"/>
      <c r="F156" s="225"/>
      <c r="G156" s="215"/>
      <c r="H156" s="215"/>
      <c r="I156" s="215"/>
      <c r="J156" s="215"/>
      <c r="K156" s="215"/>
      <c r="L156" s="215"/>
      <c r="M156" s="215"/>
      <c r="N156" s="215"/>
      <c r="O156" s="215"/>
      <c r="P156" s="215"/>
      <c r="Q156" s="215"/>
      <c r="Y156" s="501"/>
      <c r="BI156" s="106"/>
      <c r="BJ156" s="106"/>
      <c r="BK156" s="106"/>
      <c r="BL156" s="106"/>
      <c r="BM156" s="106"/>
      <c r="BN156" s="106"/>
      <c r="BO156" s="106"/>
    </row>
    <row r="157" spans="2:67" ht="159.94999999999999" customHeight="1" x14ac:dyDescent="0.25">
      <c r="B157" s="736"/>
      <c r="C157" s="737"/>
      <c r="D157" s="737"/>
      <c r="E157" s="737"/>
      <c r="F157" s="737"/>
      <c r="G157" s="737"/>
      <c r="H157" s="737"/>
      <c r="I157" s="737"/>
      <c r="J157" s="737"/>
      <c r="K157" s="737"/>
      <c r="L157" s="737"/>
      <c r="M157" s="737"/>
      <c r="N157" s="737"/>
      <c r="O157" s="737"/>
      <c r="P157" s="738"/>
      <c r="Q157" s="571"/>
      <c r="Y157" s="501"/>
      <c r="BI157" s="106"/>
      <c r="BJ157" s="106"/>
      <c r="BK157" s="106"/>
      <c r="BL157" s="106"/>
      <c r="BM157" s="106"/>
      <c r="BN157" s="106"/>
      <c r="BO157" s="106"/>
    </row>
    <row r="158" spans="2:67" ht="13.5" customHeight="1" x14ac:dyDescent="0.25">
      <c r="B158" s="209"/>
      <c r="C158" s="209"/>
      <c r="D158" s="209"/>
      <c r="E158" s="209"/>
      <c r="F158" s="209"/>
      <c r="G158" s="209"/>
      <c r="H158" s="209"/>
      <c r="I158" s="209"/>
      <c r="J158" s="209"/>
      <c r="K158" s="209"/>
      <c r="L158" s="209"/>
      <c r="M158" s="209"/>
      <c r="N158" s="209"/>
      <c r="O158" s="209"/>
      <c r="P158" s="209"/>
      <c r="Q158" s="209"/>
      <c r="Y158" s="501"/>
      <c r="BI158" s="106"/>
      <c r="BJ158" s="106"/>
      <c r="BK158" s="106"/>
      <c r="BL158" s="106"/>
      <c r="BM158" s="106"/>
      <c r="BN158" s="106"/>
      <c r="BO158" s="106"/>
    </row>
    <row r="159" spans="2:67" ht="36" customHeight="1" x14ac:dyDescent="0.25">
      <c r="B159" s="27" t="s">
        <v>352</v>
      </c>
      <c r="C159" s="13"/>
      <c r="D159" s="236"/>
      <c r="E159" s="237"/>
      <c r="F159" s="237"/>
      <c r="G159" s="237"/>
      <c r="H159" s="237"/>
      <c r="I159" s="237"/>
      <c r="J159" s="237"/>
      <c r="K159" s="237"/>
      <c r="L159" s="237"/>
      <c r="M159" s="237"/>
      <c r="N159" s="237"/>
      <c r="O159" s="237"/>
      <c r="P159" s="329"/>
      <c r="Q159" s="240"/>
      <c r="Y159" s="501"/>
      <c r="BI159" s="106"/>
      <c r="BJ159" s="106"/>
      <c r="BK159" s="106"/>
      <c r="BL159" s="106"/>
      <c r="BM159" s="106"/>
      <c r="BN159" s="106"/>
      <c r="BO159" s="106"/>
    </row>
    <row r="160" spans="2:67" x14ac:dyDescent="0.25">
      <c r="B160" s="215"/>
      <c r="C160" s="215"/>
      <c r="D160" s="215"/>
      <c r="E160" s="215"/>
      <c r="F160" s="215"/>
      <c r="G160" s="215"/>
      <c r="H160" s="215"/>
      <c r="I160" s="215"/>
      <c r="J160" s="215"/>
      <c r="K160" s="215"/>
      <c r="L160" s="215"/>
      <c r="M160" s="215"/>
      <c r="N160" s="215"/>
      <c r="O160" s="215"/>
      <c r="P160" s="215"/>
      <c r="Q160" s="215"/>
      <c r="Y160" s="501"/>
      <c r="BI160" s="106"/>
      <c r="BJ160" s="106"/>
      <c r="BK160" s="106"/>
      <c r="BL160" s="106"/>
      <c r="BM160" s="106"/>
      <c r="BN160" s="106"/>
      <c r="BO160" s="106"/>
    </row>
    <row r="161" spans="2:67" x14ac:dyDescent="0.25">
      <c r="B161" s="222"/>
      <c r="C161" s="222"/>
      <c r="D161" s="221"/>
      <c r="E161" s="221"/>
      <c r="F161" s="212" t="s">
        <v>284</v>
      </c>
      <c r="G161" s="215"/>
      <c r="H161" s="216">
        <f>IF(Man06_04=AIS_statement32,AIS_NA,2)</f>
        <v>2</v>
      </c>
      <c r="J161" s="222"/>
      <c r="K161" s="222"/>
      <c r="L161" s="222"/>
      <c r="M161" s="222"/>
      <c r="N161" s="212" t="s">
        <v>285</v>
      </c>
      <c r="P161" s="253">
        <f>IF(P159=AIS_statement32,AIS_NA,(BP_32/BP_01)*Man06_credits)</f>
        <v>0</v>
      </c>
      <c r="Q161" s="253"/>
      <c r="Y161" s="501"/>
      <c r="BI161" s="106"/>
      <c r="BJ161" s="106"/>
      <c r="BK161" s="106"/>
      <c r="BL161" s="106"/>
      <c r="BM161" s="106"/>
      <c r="BN161" s="106"/>
      <c r="BO161" s="106"/>
    </row>
    <row r="162" spans="2:67" ht="3.75" customHeight="1" x14ac:dyDescent="0.25">
      <c r="Y162" s="501"/>
      <c r="BI162" s="106"/>
      <c r="BJ162" s="106"/>
      <c r="BK162" s="106"/>
      <c r="BL162" s="106"/>
      <c r="BM162" s="106"/>
      <c r="BN162" s="106"/>
      <c r="BO162" s="106"/>
    </row>
    <row r="163" spans="2:67" x14ac:dyDescent="0.25">
      <c r="B163" s="222"/>
      <c r="C163" s="222"/>
      <c r="D163" s="221"/>
      <c r="E163" s="221"/>
      <c r="F163" s="212" t="s">
        <v>286</v>
      </c>
      <c r="G163" s="215"/>
      <c r="H163" s="216">
        <v>0</v>
      </c>
      <c r="J163" s="221"/>
      <c r="K163" s="221"/>
      <c r="L163" s="221"/>
      <c r="M163" s="221"/>
      <c r="N163" s="212" t="s">
        <v>287</v>
      </c>
      <c r="O163" s="215"/>
      <c r="P163" s="216" t="str">
        <f>IF(OR(ADPT=ADPT02,ADPT=ADPT03),AIS_NA,AIS_Yes)</f>
        <v>Yes</v>
      </c>
      <c r="Q163" s="216"/>
      <c r="Y163" s="501"/>
      <c r="BI163" s="106"/>
      <c r="BJ163" s="106"/>
      <c r="BK163" s="106"/>
      <c r="BL163" s="106"/>
      <c r="BM163" s="106"/>
      <c r="BN163" s="106"/>
      <c r="BO163" s="106"/>
    </row>
    <row r="164" spans="2:67" ht="47.25" customHeight="1" x14ac:dyDescent="0.25">
      <c r="B164" s="238" t="s">
        <v>288</v>
      </c>
      <c r="C164" s="218"/>
      <c r="D164" s="215"/>
      <c r="E164" s="218"/>
      <c r="F164" s="255"/>
      <c r="J164" s="241" t="s">
        <v>289</v>
      </c>
      <c r="K164" s="241"/>
      <c r="L164" s="242" t="s">
        <v>290</v>
      </c>
      <c r="M164" s="238"/>
      <c r="N164" s="242" t="s">
        <v>291</v>
      </c>
      <c r="O164" s="238"/>
      <c r="P164" s="242"/>
      <c r="Q164" s="242"/>
      <c r="Y164" s="501"/>
      <c r="BI164" s="106"/>
      <c r="BJ164" s="106"/>
      <c r="BK164" s="106"/>
      <c r="BL164" s="106"/>
      <c r="BM164" s="106"/>
      <c r="BN164" s="106"/>
      <c r="BO164" s="106"/>
    </row>
    <row r="165" spans="2:67" x14ac:dyDescent="0.25">
      <c r="B165" s="221"/>
      <c r="C165" s="221"/>
      <c r="D165" s="221"/>
      <c r="E165" s="221"/>
      <c r="F165" s="212"/>
      <c r="G165" s="221"/>
      <c r="H165" s="212" t="s">
        <v>353</v>
      </c>
      <c r="J165" s="223"/>
      <c r="K165" s="215"/>
      <c r="L165" s="252"/>
      <c r="M165" s="252"/>
      <c r="N165" s="252"/>
      <c r="O165" s="252"/>
      <c r="P165" s="252"/>
      <c r="Q165" s="252"/>
      <c r="R165" s="314"/>
      <c r="Y165" s="501"/>
      <c r="BI165" s="106"/>
      <c r="BJ165" s="106"/>
      <c r="BK165" s="106"/>
      <c r="BL165" s="106"/>
      <c r="BM165" s="106"/>
      <c r="BN165" s="106"/>
      <c r="BO165" s="106"/>
    </row>
    <row r="166" spans="2:67" x14ac:dyDescent="0.25">
      <c r="B166" s="221"/>
      <c r="C166" s="221"/>
      <c r="D166" s="221"/>
      <c r="E166" s="221"/>
      <c r="F166" s="212"/>
      <c r="G166" s="221"/>
      <c r="H166" s="212" t="s">
        <v>354</v>
      </c>
      <c r="J166" s="223"/>
      <c r="K166" s="215"/>
      <c r="L166" s="224">
        <f>IF(Man06_04=AIS_statement32,AIS_NA,2)</f>
        <v>2</v>
      </c>
      <c r="M166" s="215"/>
      <c r="N166" s="247">
        <f>IF(Man06_04=AIS_statement32,AIS_NA,IF(AND(Man06_01=1,Man06_prereq=AIS_Yes),1,IF(AND(Man06_01=2,Man06_prereq=AIS_Yes),2,0)))</f>
        <v>0</v>
      </c>
      <c r="P166" s="252"/>
      <c r="Q166" s="252"/>
      <c r="R166" s="314"/>
      <c r="Y166" s="501"/>
      <c r="BI166" s="106"/>
      <c r="BJ166" s="106"/>
      <c r="BK166" s="106"/>
      <c r="BL166" s="106"/>
      <c r="BM166" s="106"/>
      <c r="BN166" s="106"/>
      <c r="BO166" s="106"/>
    </row>
    <row r="167" spans="2:67" ht="16.5" customHeight="1" x14ac:dyDescent="0.25">
      <c r="Y167" s="501"/>
      <c r="BI167" s="106"/>
      <c r="BJ167" s="106"/>
      <c r="BK167" s="106"/>
      <c r="BL167" s="106"/>
      <c r="BM167" s="106"/>
      <c r="BN167" s="106"/>
      <c r="BO167" s="106"/>
    </row>
    <row r="168" spans="2:67" x14ac:dyDescent="0.25">
      <c r="B168" s="221"/>
      <c r="C168" s="222"/>
      <c r="D168" s="222"/>
      <c r="E168" s="221"/>
      <c r="F168" s="212" t="s">
        <v>296</v>
      </c>
      <c r="G168" s="215"/>
      <c r="H168" s="216">
        <f>IF(Man06_04=AIS_statement32,AIS_NA,IF(ISERROR(Man06_03),0,Man06_03))</f>
        <v>0</v>
      </c>
      <c r="K168" s="215"/>
      <c r="M168" s="215"/>
      <c r="N168" s="215"/>
      <c r="O168" s="215"/>
      <c r="P168" s="215"/>
      <c r="Q168" s="215"/>
      <c r="Y168" s="501"/>
      <c r="BI168" s="106"/>
      <c r="BJ168" s="106"/>
      <c r="BK168" s="106"/>
      <c r="BL168" s="106"/>
      <c r="BM168" s="106"/>
      <c r="BN168" s="106"/>
      <c r="BO168" s="106"/>
    </row>
    <row r="169" spans="2:67" ht="3" customHeight="1" x14ac:dyDescent="0.25">
      <c r="K169" s="215"/>
      <c r="M169" s="215"/>
      <c r="N169" s="215"/>
      <c r="O169" s="215"/>
      <c r="P169" s="215"/>
      <c r="Q169" s="215"/>
      <c r="Y169" s="501"/>
      <c r="BI169" s="106"/>
      <c r="BJ169" s="106"/>
      <c r="BK169" s="106"/>
      <c r="BL169" s="106"/>
      <c r="BM169" s="106"/>
      <c r="BN169" s="106"/>
      <c r="BO169" s="106"/>
    </row>
    <row r="170" spans="2:67" x14ac:dyDescent="0.25">
      <c r="B170" s="221"/>
      <c r="C170" s="222"/>
      <c r="D170" s="222"/>
      <c r="E170" s="221"/>
      <c r="F170" s="212" t="s">
        <v>297</v>
      </c>
      <c r="G170" s="215"/>
      <c r="H170" s="217">
        <f>IF(ISERROR((Man06_05/Man06_credits)*Man06_tot),0,(Man06_05/Man06_credits)*Man06_tot)</f>
        <v>0</v>
      </c>
      <c r="K170" s="215"/>
      <c r="M170" s="215"/>
      <c r="N170" s="215"/>
      <c r="O170" s="215"/>
      <c r="P170" s="215"/>
      <c r="Q170" s="215"/>
      <c r="Y170" s="501"/>
      <c r="BI170" s="106"/>
      <c r="BJ170" s="106"/>
      <c r="BK170" s="106"/>
      <c r="BL170" s="106"/>
      <c r="BM170" s="106"/>
      <c r="BN170" s="106"/>
      <c r="BO170" s="106"/>
    </row>
    <row r="171" spans="2:67" ht="3" customHeight="1" x14ac:dyDescent="0.25">
      <c r="K171" s="215"/>
      <c r="M171" s="215"/>
      <c r="N171" s="215"/>
      <c r="O171" s="215"/>
      <c r="P171" s="215"/>
      <c r="Q171" s="215"/>
      <c r="Y171" s="501"/>
      <c r="BI171" s="106"/>
      <c r="BJ171" s="106"/>
      <c r="BK171" s="106"/>
      <c r="BL171" s="106"/>
      <c r="BM171" s="106"/>
      <c r="BN171" s="106"/>
      <c r="BO171" s="106"/>
    </row>
    <row r="172" spans="2:67" x14ac:dyDescent="0.25">
      <c r="B172" s="221"/>
      <c r="C172" s="222"/>
      <c r="D172" s="222"/>
      <c r="E172" s="221"/>
      <c r="F172" s="212" t="s">
        <v>298</v>
      </c>
      <c r="H172" s="216" t="str">
        <f>AIS_NA</f>
        <v>N/A</v>
      </c>
      <c r="K172" s="215"/>
      <c r="M172" s="215"/>
      <c r="N172" s="215"/>
      <c r="O172" s="215"/>
      <c r="P172" s="215"/>
      <c r="Q172" s="215"/>
      <c r="Y172" s="501"/>
      <c r="BI172" s="106"/>
      <c r="BJ172" s="106"/>
      <c r="BK172" s="106"/>
      <c r="BL172" s="106"/>
      <c r="BM172" s="106"/>
      <c r="BN172" s="106"/>
      <c r="BO172" s="106"/>
    </row>
    <row r="173" spans="2:67" ht="3" customHeight="1" x14ac:dyDescent="0.25">
      <c r="K173" s="215"/>
      <c r="M173" s="215"/>
      <c r="N173" s="215"/>
      <c r="O173" s="215"/>
      <c r="P173" s="215"/>
      <c r="Q173" s="215"/>
      <c r="Y173" s="501"/>
      <c r="BI173" s="106"/>
      <c r="BJ173" s="106"/>
      <c r="BK173" s="106"/>
      <c r="BL173" s="106"/>
      <c r="BM173" s="106"/>
      <c r="BN173" s="106"/>
      <c r="BO173" s="106"/>
    </row>
    <row r="174" spans="2:67" x14ac:dyDescent="0.25">
      <c r="B174" s="221"/>
      <c r="C174" s="222"/>
      <c r="D174" s="221"/>
      <c r="E174" s="221"/>
      <c r="F174" s="212" t="s">
        <v>299</v>
      </c>
      <c r="H174" s="768" t="str">
        <f>AIS_NA</f>
        <v>N/A</v>
      </c>
      <c r="I174" s="768"/>
      <c r="J174" s="768"/>
      <c r="K174" s="768"/>
      <c r="L174" s="768"/>
      <c r="M174" s="768"/>
      <c r="N174" s="768"/>
      <c r="O174" s="215"/>
      <c r="P174" s="215"/>
      <c r="Q174" s="215"/>
      <c r="Y174" s="501"/>
      <c r="BI174" s="106"/>
      <c r="BJ174" s="106"/>
      <c r="BK174" s="106"/>
      <c r="BL174" s="106"/>
      <c r="BM174" s="106"/>
      <c r="BN174" s="106"/>
      <c r="BO174" s="106"/>
    </row>
    <row r="175" spans="2:67" x14ac:dyDescent="0.25">
      <c r="B175" s="215"/>
      <c r="C175" s="215"/>
      <c r="D175" s="215"/>
      <c r="E175" s="215"/>
      <c r="F175" s="215"/>
      <c r="G175" s="215"/>
      <c r="H175" s="215"/>
      <c r="I175" s="215"/>
      <c r="J175" s="215"/>
      <c r="K175" s="215"/>
      <c r="L175" s="215"/>
      <c r="M175" s="215"/>
      <c r="N175" s="215"/>
      <c r="O175" s="215"/>
      <c r="P175" s="215"/>
      <c r="Q175" s="215"/>
      <c r="Y175" s="501"/>
      <c r="BI175" s="106"/>
      <c r="BJ175" s="106"/>
      <c r="BK175" s="106"/>
      <c r="BL175" s="106"/>
      <c r="BM175" s="106"/>
      <c r="BN175" s="106"/>
      <c r="BO175" s="106"/>
    </row>
    <row r="176" spans="2:67" ht="15" x14ac:dyDescent="0.25">
      <c r="B176" s="3"/>
      <c r="C176" s="3"/>
      <c r="D176" s="3"/>
      <c r="E176" s="3"/>
      <c r="F176" s="3"/>
      <c r="G176" s="3"/>
      <c r="H176" s="3"/>
      <c r="I176" s="3"/>
      <c r="J176" s="3"/>
      <c r="K176" s="3"/>
      <c r="L176" s="3"/>
      <c r="M176" s="3"/>
      <c r="N176" s="3"/>
      <c r="O176" s="3"/>
      <c r="P176" s="3"/>
      <c r="Q176" s="3"/>
      <c r="R176" s="3"/>
      <c r="Y176" s="501"/>
      <c r="BI176" s="106"/>
      <c r="BJ176" s="106"/>
      <c r="BK176" s="106"/>
      <c r="BL176" s="106"/>
      <c r="BM176" s="106"/>
      <c r="BN176" s="106"/>
      <c r="BO176" s="106"/>
    </row>
    <row r="177" spans="2:67" x14ac:dyDescent="0.25">
      <c r="B177" s="235" t="s">
        <v>301</v>
      </c>
      <c r="C177" s="215"/>
      <c r="D177" s="215"/>
      <c r="E177" s="215"/>
      <c r="F177" s="225"/>
      <c r="G177" s="215"/>
      <c r="H177" s="215"/>
      <c r="I177" s="215"/>
      <c r="J177" s="215"/>
      <c r="K177" s="215"/>
      <c r="L177" s="215"/>
      <c r="M177" s="215"/>
      <c r="N177" s="215"/>
      <c r="O177" s="215"/>
      <c r="P177" s="215"/>
      <c r="Q177" s="215"/>
      <c r="Y177" s="501"/>
      <c r="BI177" s="106"/>
      <c r="BJ177" s="106"/>
      <c r="BK177" s="106"/>
      <c r="BL177" s="106"/>
      <c r="BM177" s="106"/>
      <c r="BN177" s="106"/>
      <c r="BO177" s="106"/>
    </row>
    <row r="178" spans="2:67" ht="159.94999999999999" customHeight="1" x14ac:dyDescent="0.25">
      <c r="B178" s="736"/>
      <c r="C178" s="737"/>
      <c r="D178" s="737"/>
      <c r="E178" s="737"/>
      <c r="F178" s="737"/>
      <c r="G178" s="737"/>
      <c r="H178" s="737"/>
      <c r="I178" s="737"/>
      <c r="J178" s="737"/>
      <c r="K178" s="737"/>
      <c r="L178" s="737"/>
      <c r="M178" s="737"/>
      <c r="N178" s="737"/>
      <c r="O178" s="737"/>
      <c r="P178" s="738"/>
      <c r="Q178" s="571"/>
      <c r="Y178" s="501"/>
      <c r="BI178" s="106"/>
      <c r="BJ178" s="106"/>
      <c r="BK178" s="106"/>
      <c r="BL178" s="106"/>
      <c r="BM178" s="106"/>
      <c r="BN178" s="106"/>
      <c r="BO178" s="106"/>
    </row>
    <row r="179" spans="2:67" ht="30" customHeight="1" x14ac:dyDescent="0.25">
      <c r="Y179" s="501"/>
      <c r="BI179" s="106"/>
      <c r="BJ179" s="106"/>
      <c r="BK179" s="106"/>
      <c r="BL179" s="106"/>
      <c r="BM179" s="106"/>
      <c r="BN179" s="106"/>
      <c r="BO179" s="106"/>
    </row>
    <row r="180" spans="2:67" ht="24.95" customHeight="1" x14ac:dyDescent="0.25">
      <c r="B180" s="323" t="s">
        <v>355</v>
      </c>
      <c r="C180" s="326"/>
      <c r="D180" s="326"/>
      <c r="E180" s="326"/>
      <c r="F180" s="331"/>
      <c r="G180" s="326"/>
      <c r="H180" s="327"/>
      <c r="I180" s="326"/>
      <c r="J180" s="326"/>
      <c r="K180" s="326"/>
      <c r="L180" s="332"/>
      <c r="M180" s="326"/>
      <c r="N180" s="325"/>
      <c r="O180" s="326"/>
      <c r="P180" s="327"/>
      <c r="Q180" s="327"/>
      <c r="Y180" s="501"/>
      <c r="BI180" s="106"/>
      <c r="BJ180" s="106"/>
      <c r="BK180" s="106"/>
      <c r="BL180" s="106"/>
      <c r="BM180" s="106"/>
      <c r="BN180" s="106"/>
      <c r="BO180" s="106"/>
    </row>
    <row r="181" spans="2:67" ht="15" customHeight="1" x14ac:dyDescent="0.25">
      <c r="Y181" s="501"/>
      <c r="BI181" s="106"/>
      <c r="BJ181" s="106"/>
      <c r="BK181" s="106"/>
      <c r="BL181" s="106"/>
      <c r="BM181" s="106"/>
      <c r="BN181" s="106"/>
      <c r="BO181" s="106"/>
    </row>
    <row r="182" spans="2:67" ht="15" customHeight="1" x14ac:dyDescent="0.25">
      <c r="B182" s="24" t="s">
        <v>356</v>
      </c>
      <c r="C182" s="13"/>
      <c r="D182" s="236"/>
      <c r="E182" s="237"/>
      <c r="F182" s="237"/>
      <c r="G182" s="237"/>
      <c r="H182" s="237"/>
      <c r="I182" s="237"/>
      <c r="J182" s="237"/>
      <c r="K182" s="237"/>
      <c r="L182" s="237"/>
      <c r="M182" s="237"/>
      <c r="N182" s="237"/>
      <c r="O182" s="237"/>
      <c r="P182" s="237"/>
      <c r="Q182" s="215"/>
      <c r="Y182" s="501"/>
      <c r="BI182" s="106"/>
      <c r="BJ182" s="106"/>
      <c r="BK182" s="106"/>
      <c r="BL182" s="106"/>
      <c r="BM182" s="106"/>
      <c r="BN182" s="106"/>
      <c r="BO182" s="106"/>
    </row>
    <row r="183" spans="2:67" ht="15" customHeight="1" x14ac:dyDescent="0.25">
      <c r="B183" s="215"/>
      <c r="C183" s="215"/>
      <c r="D183" s="215"/>
      <c r="E183" s="215"/>
      <c r="F183" s="215"/>
      <c r="G183" s="215"/>
      <c r="H183" s="215"/>
      <c r="I183" s="215"/>
      <c r="J183" s="215"/>
      <c r="K183" s="215"/>
      <c r="L183" s="215"/>
      <c r="M183" s="215"/>
      <c r="N183" s="215"/>
      <c r="O183" s="215"/>
      <c r="P183" s="215"/>
      <c r="Q183" s="215"/>
      <c r="Y183" s="501"/>
      <c r="BI183" s="106"/>
      <c r="BJ183" s="106"/>
      <c r="BK183" s="106"/>
      <c r="BL183" s="106"/>
      <c r="BM183" s="106"/>
      <c r="BN183" s="106"/>
      <c r="BO183" s="106"/>
    </row>
    <row r="184" spans="2:67" ht="15" customHeight="1" x14ac:dyDescent="0.25">
      <c r="B184" s="212"/>
      <c r="C184" s="222"/>
      <c r="D184" s="221"/>
      <c r="E184" s="221"/>
      <c r="F184" s="212" t="s">
        <v>284</v>
      </c>
      <c r="G184" s="215"/>
      <c r="H184" s="216">
        <f>SUM(L190:L193)</f>
        <v>3</v>
      </c>
      <c r="J184" s="222"/>
      <c r="K184" s="222"/>
      <c r="L184" s="222"/>
      <c r="M184" s="222"/>
      <c r="N184" s="212" t="s">
        <v>285</v>
      </c>
      <c r="P184" s="217">
        <f>(BP_33/BP_02)*Hea01_credits</f>
        <v>0</v>
      </c>
      <c r="Q184" s="217"/>
      <c r="Y184" s="501"/>
      <c r="BI184" s="106"/>
      <c r="BJ184" s="106"/>
      <c r="BK184" s="106"/>
      <c r="BL184" s="106"/>
      <c r="BM184" s="106"/>
      <c r="BN184" s="106"/>
      <c r="BO184" s="106"/>
    </row>
    <row r="185" spans="2:67" ht="3" customHeight="1" x14ac:dyDescent="0.25">
      <c r="Y185" s="501"/>
      <c r="BI185" s="106"/>
      <c r="BJ185" s="106"/>
      <c r="BK185" s="106"/>
      <c r="BL185" s="106"/>
      <c r="BM185" s="106"/>
      <c r="BN185" s="106"/>
      <c r="BO185" s="106"/>
    </row>
    <row r="186" spans="2:67" ht="15" customHeight="1" x14ac:dyDescent="0.25">
      <c r="B186" s="222"/>
      <c r="C186" s="222"/>
      <c r="D186" s="221"/>
      <c r="E186" s="221"/>
      <c r="F186" s="212" t="s">
        <v>286</v>
      </c>
      <c r="G186" s="215"/>
      <c r="H186" s="216">
        <v>0</v>
      </c>
      <c r="J186" s="221"/>
      <c r="K186" s="221"/>
      <c r="L186" s="221"/>
      <c r="M186" s="221"/>
      <c r="N186" s="212" t="s">
        <v>287</v>
      </c>
      <c r="O186" s="215"/>
      <c r="P186" s="216" t="s">
        <v>125</v>
      </c>
      <c r="Q186" s="216"/>
      <c r="Y186" s="501"/>
      <c r="BI186" s="106"/>
      <c r="BJ186" s="106"/>
      <c r="BK186" s="106"/>
      <c r="BL186" s="106"/>
      <c r="BM186" s="106"/>
      <c r="BN186" s="106"/>
      <c r="BO186" s="106"/>
    </row>
    <row r="187" spans="2:67" ht="50.25" customHeight="1" x14ac:dyDescent="0.25">
      <c r="B187" s="23" t="s">
        <v>288</v>
      </c>
      <c r="C187" s="256"/>
      <c r="D187" s="257"/>
      <c r="E187" s="256"/>
      <c r="F187" s="258"/>
      <c r="G187" s="23"/>
      <c r="H187" s="23"/>
      <c r="I187" s="23"/>
      <c r="J187" s="219" t="s">
        <v>289</v>
      </c>
      <c r="K187" s="219"/>
      <c r="L187" s="220" t="s">
        <v>290</v>
      </c>
      <c r="M187" s="23"/>
      <c r="N187" s="220" t="s">
        <v>291</v>
      </c>
      <c r="O187" s="23"/>
      <c r="P187" s="220"/>
      <c r="Q187" s="220"/>
      <c r="Y187" s="501"/>
      <c r="BI187" s="106"/>
      <c r="BJ187" s="106"/>
      <c r="BK187" s="106"/>
      <c r="BL187" s="106"/>
      <c r="BM187" s="106"/>
      <c r="BN187" s="106"/>
      <c r="BO187" s="106"/>
    </row>
    <row r="188" spans="2:67" ht="3" customHeight="1" x14ac:dyDescent="0.25">
      <c r="B188" s="215"/>
      <c r="C188" s="218"/>
      <c r="D188" s="215"/>
      <c r="E188" s="218"/>
      <c r="F188" s="244"/>
      <c r="G188" s="215"/>
      <c r="J188" s="245"/>
      <c r="K188" s="245"/>
      <c r="L188" s="215"/>
      <c r="M188" s="215"/>
      <c r="N188" s="246"/>
      <c r="O188" s="218"/>
      <c r="P188" s="246"/>
      <c r="Q188" s="246"/>
      <c r="Y188" s="501"/>
      <c r="BI188" s="106"/>
      <c r="BJ188" s="106"/>
      <c r="BK188" s="106"/>
      <c r="BL188" s="106"/>
      <c r="BM188" s="106"/>
      <c r="BN188" s="106"/>
      <c r="BO188" s="106"/>
    </row>
    <row r="189" spans="2:67" ht="15" customHeight="1" x14ac:dyDescent="0.25">
      <c r="B189" s="221"/>
      <c r="C189" s="221"/>
      <c r="D189" s="221"/>
      <c r="E189" s="221"/>
      <c r="F189" s="212"/>
      <c r="G189" s="221"/>
      <c r="H189" s="621" t="s">
        <v>357</v>
      </c>
      <c r="J189" s="410"/>
      <c r="K189" s="245"/>
      <c r="L189" s="215"/>
      <c r="M189" s="215"/>
      <c r="N189" s="246"/>
      <c r="O189" s="218"/>
      <c r="P189" s="246"/>
      <c r="Q189" s="246"/>
      <c r="Y189" s="501"/>
      <c r="BI189" s="106"/>
      <c r="BJ189" s="106"/>
      <c r="BK189" s="106"/>
      <c r="BL189" s="106"/>
      <c r="BM189" s="106"/>
      <c r="BN189" s="106"/>
      <c r="BO189" s="106"/>
    </row>
    <row r="190" spans="2:67" ht="15" customHeight="1" x14ac:dyDescent="0.25">
      <c r="B190" s="221"/>
      <c r="C190" s="221"/>
      <c r="D190" s="221"/>
      <c r="E190" s="221"/>
      <c r="F190" s="212"/>
      <c r="G190" s="221"/>
      <c r="H190" s="212" t="s">
        <v>358</v>
      </c>
      <c r="J190" s="410"/>
      <c r="K190" s="215"/>
      <c r="L190" s="224">
        <f>IF(OR(ADBT0=ADBT8,ADPT&lt;&gt;ADPT01),0,1)</f>
        <v>0</v>
      </c>
      <c r="M190" s="215"/>
      <c r="N190" s="224">
        <f>IF(ADPT&lt;&gt;ADPT01,0,IF(AND(Hea01_01=AIS_Yes,Hea01_prereq=AIS_Yes),L190,0))</f>
        <v>0</v>
      </c>
      <c r="O190" s="215"/>
      <c r="P190" s="400"/>
      <c r="Q190" s="400"/>
      <c r="Y190" s="501"/>
      <c r="BI190" s="106"/>
      <c r="BJ190" s="106"/>
      <c r="BK190" s="106"/>
      <c r="BL190" s="106"/>
      <c r="BM190" s="106"/>
      <c r="BN190" s="106"/>
      <c r="BO190" s="106"/>
    </row>
    <row r="191" spans="2:67" ht="15" customHeight="1" x14ac:dyDescent="0.25">
      <c r="B191" s="221"/>
      <c r="C191" s="221"/>
      <c r="D191" s="221"/>
      <c r="E191" s="221"/>
      <c r="F191" s="212"/>
      <c r="G191" s="221"/>
      <c r="H191" s="212" t="s">
        <v>359</v>
      </c>
      <c r="J191" s="223"/>
      <c r="K191" s="215"/>
      <c r="L191" s="224">
        <f>IF(OR(ADBT0=ADBT4,ADBT0=ADBT3),2,IF(ADBT0=ADBT8,4,1))</f>
        <v>1</v>
      </c>
      <c r="M191" s="259" t="str">
        <f>IF(AND(Hea01_02=AIS_Yes,Hea01_13=""),"→","")</f>
        <v/>
      </c>
      <c r="N191" s="420">
        <f>IF(ADBT0=ADBT8,IF(Hea01_02="",0,Hea01_02),IF(ADPT&lt;&gt;ADPT01,Hea01_02,IF(Hea01_prereq&lt;&gt;AIS_Yes,0,IF(Hea01_02="",0,Hea01_02))))</f>
        <v>0</v>
      </c>
      <c r="O191" s="260" t="str">
        <f>IF(AND(Hea01_02=AIS_Yes,Hea01_13=""),"←","")</f>
        <v/>
      </c>
      <c r="P191" s="252"/>
      <c r="Q191" s="252"/>
      <c r="R191" s="314"/>
      <c r="S191" s="317"/>
      <c r="T191" s="317"/>
      <c r="U191" s="317"/>
      <c r="V191" s="317"/>
      <c r="W191" s="317"/>
      <c r="X191" s="317"/>
      <c r="Y191" s="501"/>
      <c r="BI191" s="106"/>
      <c r="BJ191" s="106"/>
      <c r="BK191" s="106"/>
      <c r="BL191" s="106"/>
      <c r="BM191" s="106"/>
      <c r="BN191" s="106"/>
      <c r="BO191" s="106"/>
    </row>
    <row r="192" spans="2:67" ht="15" customHeight="1" x14ac:dyDescent="0.25">
      <c r="B192" s="221"/>
      <c r="C192" s="221"/>
      <c r="D192" s="221"/>
      <c r="E192" s="221"/>
      <c r="F192" s="212"/>
      <c r="G192" s="221"/>
      <c r="H192" s="212" t="s">
        <v>360</v>
      </c>
      <c r="J192" s="410"/>
      <c r="K192" s="215"/>
      <c r="L192" s="261">
        <f>IF(ADBT0=ADBT8,0,1)</f>
        <v>1</v>
      </c>
      <c r="M192" s="215"/>
      <c r="N192" s="247">
        <f>IF(AND(Hea01_03=AIS_Yes,Hea01_prereq=AIS_Yes),Hea01_08,0)</f>
        <v>0</v>
      </c>
      <c r="O192" s="215"/>
      <c r="P192" s="400"/>
      <c r="Q192" s="400"/>
      <c r="R192" s="317"/>
      <c r="S192" s="317"/>
      <c r="T192" s="317"/>
      <c r="U192" s="317"/>
      <c r="V192" s="317"/>
      <c r="W192" s="317"/>
      <c r="X192" s="317"/>
      <c r="Y192" s="501"/>
      <c r="Z192" s="511"/>
      <c r="AA192" s="511"/>
      <c r="AB192" s="511"/>
      <c r="AC192" s="511"/>
      <c r="AD192" s="511"/>
      <c r="AE192" s="511"/>
      <c r="AF192" s="511"/>
      <c r="AG192" s="511"/>
      <c r="AH192" s="511"/>
      <c r="AI192" s="511"/>
      <c r="AJ192" s="511"/>
      <c r="AK192" s="511"/>
      <c r="AL192" s="511"/>
      <c r="AM192" s="511"/>
      <c r="AN192" s="511"/>
      <c r="BI192" s="106"/>
      <c r="BJ192" s="106"/>
      <c r="BK192" s="106"/>
      <c r="BL192" s="106"/>
      <c r="BM192" s="106"/>
      <c r="BN192" s="106"/>
      <c r="BO192" s="106"/>
    </row>
    <row r="193" spans="2:67" ht="15" customHeight="1" x14ac:dyDescent="0.25">
      <c r="B193" s="221"/>
      <c r="C193" s="221"/>
      <c r="D193" s="221"/>
      <c r="E193" s="221"/>
      <c r="F193" s="212"/>
      <c r="G193" s="221"/>
      <c r="H193" s="212" t="s">
        <v>361</v>
      </c>
      <c r="J193" s="410"/>
      <c r="K193" s="215"/>
      <c r="L193" s="262" cm="1">
        <f t="array" ref="L193">IF(AND(ADBT0=ADBT8,ADPT=ADPT03),0,IF(ADE=AD_no,0,1))</f>
        <v>1</v>
      </c>
      <c r="M193" s="215"/>
      <c r="N193" s="247">
        <f>IF(Hea01_04=AIS_Yes,Hea01_09,0)</f>
        <v>0</v>
      </c>
      <c r="O193" s="215"/>
      <c r="P193" s="400"/>
      <c r="Q193" s="400"/>
      <c r="R193" s="709" t="str">
        <f>IF(AND(ADPT=ADPT03,ADBT0&lt;&gt;ADBT8),"Note: For Shell and Core and Shell Only building types, criterion 10 External lighting only applies","")</f>
        <v/>
      </c>
      <c r="S193" s="709"/>
      <c r="T193" s="709"/>
      <c r="U193" s="709"/>
      <c r="V193" s="709"/>
      <c r="W193" s="709"/>
      <c r="X193" s="709"/>
      <c r="Y193" s="501"/>
      <c r="BI193" s="106"/>
      <c r="BJ193" s="106"/>
      <c r="BK193" s="106"/>
      <c r="BL193" s="106"/>
      <c r="BM193" s="106"/>
      <c r="BN193" s="106"/>
      <c r="BO193" s="106"/>
    </row>
    <row r="194" spans="2:67" ht="15" hidden="1" customHeight="1" x14ac:dyDescent="0.25">
      <c r="B194" s="222"/>
      <c r="C194" s="222"/>
      <c r="D194" s="222"/>
      <c r="E194" s="222"/>
      <c r="F194" s="222"/>
      <c r="G194" s="222"/>
      <c r="H194" s="328" t="s">
        <v>362</v>
      </c>
      <c r="J194" s="410"/>
      <c r="L194" s="247">
        <v>1</v>
      </c>
      <c r="N194" s="247">
        <f>IF(J194=AIS_Yes,1,0)</f>
        <v>0</v>
      </c>
      <c r="P194" s="252"/>
      <c r="Q194" s="252"/>
      <c r="R194" s="709"/>
      <c r="S194" s="709"/>
      <c r="T194" s="709"/>
      <c r="U194" s="709"/>
      <c r="V194" s="709"/>
      <c r="W194" s="709"/>
      <c r="X194" s="709"/>
      <c r="Y194" s="501"/>
      <c r="BI194" s="106"/>
      <c r="BJ194" s="106"/>
      <c r="BK194" s="106"/>
      <c r="BL194" s="106"/>
      <c r="BM194" s="106"/>
      <c r="BN194" s="106"/>
      <c r="BO194" s="106"/>
    </row>
    <row r="195" spans="2:67" ht="16.5" customHeight="1" x14ac:dyDescent="0.25">
      <c r="Y195" s="501"/>
      <c r="BI195" s="106"/>
      <c r="BJ195" s="106"/>
      <c r="BK195" s="106"/>
      <c r="BL195" s="106"/>
      <c r="BM195" s="106"/>
      <c r="BN195" s="106"/>
      <c r="BO195" s="106"/>
    </row>
    <row r="196" spans="2:67" x14ac:dyDescent="0.25">
      <c r="B196" s="221"/>
      <c r="C196" s="222"/>
      <c r="D196" s="222"/>
      <c r="E196" s="221"/>
      <c r="F196" s="212" t="s">
        <v>296</v>
      </c>
      <c r="G196" s="215"/>
      <c r="H196" s="216">
        <f>IF(ISERROR(Hea01_Tot_Err), 0, Hea01_Tot_Err)</f>
        <v>0</v>
      </c>
      <c r="K196" s="215"/>
      <c r="M196" s="215"/>
      <c r="N196" s="264"/>
      <c r="O196" s="215"/>
      <c r="P196" s="215"/>
      <c r="Q196" s="215"/>
      <c r="Y196" s="501"/>
      <c r="BI196" s="106"/>
      <c r="BJ196" s="106"/>
      <c r="BK196" s="106"/>
      <c r="BL196" s="106"/>
      <c r="BM196" s="106"/>
      <c r="BN196" s="106"/>
      <c r="BO196" s="106"/>
    </row>
    <row r="197" spans="2:67" ht="3" customHeight="1" x14ac:dyDescent="0.25">
      <c r="K197" s="215"/>
      <c r="M197" s="215"/>
      <c r="N197" s="215"/>
      <c r="O197" s="215"/>
      <c r="P197" s="215"/>
      <c r="Q197" s="215"/>
      <c r="Y197" s="501"/>
      <c r="BI197" s="106"/>
      <c r="BJ197" s="106"/>
      <c r="BK197" s="106"/>
      <c r="BL197" s="106"/>
      <c r="BM197" s="106"/>
      <c r="BN197" s="106"/>
      <c r="BO197" s="106"/>
    </row>
    <row r="198" spans="2:67" x14ac:dyDescent="0.25">
      <c r="B198" s="221"/>
      <c r="C198" s="222"/>
      <c r="D198" s="222"/>
      <c r="E198" s="221"/>
      <c r="F198" s="212" t="s">
        <v>297</v>
      </c>
      <c r="G198" s="215"/>
      <c r="H198" s="217">
        <f>(Hea01_26/Hea01_credits)*Hea01_tot</f>
        <v>0</v>
      </c>
      <c r="K198" s="215"/>
      <c r="M198" s="215"/>
      <c r="N198" s="215"/>
      <c r="O198" s="215"/>
      <c r="P198" s="215"/>
      <c r="Q198" s="215"/>
      <c r="Y198" s="501"/>
      <c r="BI198" s="106"/>
      <c r="BJ198" s="106"/>
      <c r="BK198" s="106"/>
      <c r="BL198" s="106"/>
      <c r="BM198" s="106"/>
      <c r="BN198" s="106"/>
      <c r="BO198" s="106"/>
    </row>
    <row r="199" spans="2:67" ht="3" customHeight="1" x14ac:dyDescent="0.25">
      <c r="K199" s="215"/>
      <c r="M199" s="215"/>
      <c r="N199" s="215"/>
      <c r="O199" s="215"/>
      <c r="P199" s="215"/>
      <c r="Q199" s="215"/>
      <c r="Y199" s="501"/>
      <c r="BI199" s="106"/>
      <c r="BJ199" s="106"/>
      <c r="BK199" s="106"/>
      <c r="BL199" s="106"/>
      <c r="BM199" s="106"/>
      <c r="BN199" s="106"/>
      <c r="BO199" s="106"/>
    </row>
    <row r="200" spans="2:67" x14ac:dyDescent="0.25">
      <c r="B200" s="221"/>
      <c r="C200" s="222"/>
      <c r="D200" s="222"/>
      <c r="E200" s="221"/>
      <c r="F200" s="212" t="s">
        <v>298</v>
      </c>
      <c r="H200" s="227" t="str">
        <f>AIS_NA</f>
        <v>N/A</v>
      </c>
      <c r="I200" s="227"/>
      <c r="K200" s="215"/>
      <c r="M200" s="215"/>
      <c r="N200" s="215"/>
      <c r="O200" s="215"/>
      <c r="P200" s="215"/>
      <c r="Q200" s="215"/>
      <c r="Y200" s="501"/>
      <c r="BI200" s="106"/>
      <c r="BJ200" s="106"/>
      <c r="BK200" s="106"/>
      <c r="BL200" s="106"/>
      <c r="BM200" s="106"/>
      <c r="BN200" s="106"/>
      <c r="BO200" s="106"/>
    </row>
    <row r="201" spans="2:67" ht="3" customHeight="1" x14ac:dyDescent="0.25">
      <c r="K201" s="215"/>
      <c r="M201" s="215"/>
      <c r="N201" s="215"/>
      <c r="O201" s="215"/>
      <c r="P201" s="215"/>
      <c r="Q201" s="215"/>
      <c r="Y201" s="501"/>
      <c r="BI201" s="106"/>
      <c r="BJ201" s="106"/>
      <c r="BK201" s="106"/>
      <c r="BL201" s="106"/>
      <c r="BM201" s="106"/>
      <c r="BN201" s="106"/>
      <c r="BO201" s="106"/>
    </row>
    <row r="202" spans="2:67" x14ac:dyDescent="0.25">
      <c r="B202" s="221"/>
      <c r="C202" s="222"/>
      <c r="D202" s="221"/>
      <c r="E202" s="221"/>
      <c r="F202" s="212" t="s">
        <v>299</v>
      </c>
      <c r="H202" s="768" t="str">
        <f>IF(OR(ADBT0=ADBT8,ADPT&lt;&gt;ADPT01),AIS_NA,IF(ISERROR(VLOOKUP(MinSt_14,AIS_MinSt_benchmarks,2,FALSE)),"",VLOOKUP(MinSt_14,AIS_MinSt_benchmarks,2,FALSE)))</f>
        <v>N/A</v>
      </c>
      <c r="I202" s="768"/>
      <c r="J202" s="768"/>
      <c r="K202" s="768"/>
      <c r="L202" s="768"/>
      <c r="M202" s="768"/>
      <c r="N202" s="768"/>
      <c r="O202" s="215"/>
      <c r="P202" s="215"/>
      <c r="Q202" s="215"/>
      <c r="Y202" s="501"/>
      <c r="BI202" s="106"/>
      <c r="BJ202" s="106"/>
      <c r="BK202" s="106"/>
      <c r="BL202" s="106"/>
      <c r="BM202" s="106"/>
      <c r="BN202" s="106"/>
      <c r="BO202" s="106"/>
    </row>
    <row r="203" spans="2:67" x14ac:dyDescent="0.25">
      <c r="B203" s="215"/>
      <c r="C203" s="215"/>
      <c r="D203" s="215"/>
      <c r="E203" s="215"/>
      <c r="F203" s="215"/>
      <c r="G203" s="215"/>
      <c r="H203" s="215"/>
      <c r="I203" s="215"/>
      <c r="J203" s="215"/>
      <c r="K203" s="215"/>
      <c r="L203" s="215"/>
      <c r="M203" s="215"/>
      <c r="N203" s="215"/>
      <c r="O203" s="215"/>
      <c r="P203" s="215"/>
      <c r="Q203" s="215"/>
      <c r="Y203" s="501"/>
      <c r="BI203" s="106"/>
      <c r="BJ203" s="106"/>
      <c r="BK203" s="106"/>
      <c r="BL203" s="106"/>
      <c r="BM203" s="106"/>
      <c r="BN203" s="106"/>
      <c r="BO203" s="106"/>
    </row>
    <row r="204" spans="2:67" x14ac:dyDescent="0.25">
      <c r="B204" s="257" t="s">
        <v>301</v>
      </c>
      <c r="C204" s="215"/>
      <c r="D204" s="215"/>
      <c r="E204" s="215"/>
      <c r="F204" s="225"/>
      <c r="G204" s="215"/>
      <c r="H204" s="215"/>
      <c r="I204" s="215"/>
      <c r="J204" s="215"/>
      <c r="K204" s="215"/>
      <c r="L204" s="215"/>
      <c r="M204" s="215"/>
      <c r="N204" s="215"/>
      <c r="O204" s="215"/>
      <c r="P204" s="215"/>
      <c r="Q204" s="215"/>
      <c r="Y204" s="501"/>
      <c r="BI204" s="106"/>
      <c r="BJ204" s="106"/>
      <c r="BK204" s="106"/>
      <c r="BL204" s="106"/>
      <c r="BM204" s="106"/>
      <c r="BN204" s="106"/>
      <c r="BO204" s="106"/>
    </row>
    <row r="205" spans="2:67" ht="159.94999999999999" customHeight="1" x14ac:dyDescent="0.25">
      <c r="B205" s="736"/>
      <c r="C205" s="737"/>
      <c r="D205" s="737"/>
      <c r="E205" s="737"/>
      <c r="F205" s="737"/>
      <c r="G205" s="737"/>
      <c r="H205" s="737"/>
      <c r="I205" s="737"/>
      <c r="J205" s="737"/>
      <c r="K205" s="737"/>
      <c r="L205" s="737"/>
      <c r="M205" s="737"/>
      <c r="N205" s="737"/>
      <c r="O205" s="737"/>
      <c r="P205" s="738"/>
      <c r="Q205" s="416"/>
      <c r="Y205" s="501"/>
      <c r="BI205" s="106"/>
      <c r="BJ205" s="106"/>
      <c r="BK205" s="106"/>
      <c r="BL205" s="106"/>
      <c r="BM205" s="106"/>
      <c r="BN205" s="106"/>
      <c r="BO205" s="106"/>
    </row>
    <row r="206" spans="2:67" ht="36" customHeight="1" x14ac:dyDescent="0.25">
      <c r="B206" s="27" t="s">
        <v>363</v>
      </c>
      <c r="C206" s="13"/>
      <c r="D206" s="236"/>
      <c r="E206" s="237"/>
      <c r="F206" s="237"/>
      <c r="G206" s="237"/>
      <c r="H206" s="237"/>
      <c r="I206" s="237"/>
      <c r="J206" s="237"/>
      <c r="K206" s="237"/>
      <c r="L206" s="237"/>
      <c r="M206" s="237"/>
      <c r="N206" s="237"/>
      <c r="O206" s="237"/>
      <c r="P206" s="329" t="str">
        <f>IF(Hea02_credits=AIS_NA,AIS_statement32,"")</f>
        <v/>
      </c>
      <c r="Q206" s="240"/>
      <c r="Y206" s="501"/>
      <c r="BI206" s="106"/>
      <c r="BJ206" s="106"/>
      <c r="BK206" s="106"/>
      <c r="BL206" s="106"/>
      <c r="BM206" s="106"/>
      <c r="BN206" s="106"/>
      <c r="BO206" s="106"/>
    </row>
    <row r="207" spans="2:67" x14ac:dyDescent="0.25">
      <c r="B207" s="215"/>
      <c r="C207" s="215"/>
      <c r="D207" s="215"/>
      <c r="E207" s="215"/>
      <c r="F207" s="215"/>
      <c r="G207" s="215"/>
      <c r="H207" s="215"/>
      <c r="I207" s="215"/>
      <c r="J207" s="215"/>
      <c r="K207" s="215"/>
      <c r="L207" s="215"/>
      <c r="M207" s="215"/>
      <c r="N207" s="215"/>
      <c r="O207" s="215"/>
      <c r="P207" s="215"/>
      <c r="Q207" s="215"/>
      <c r="Y207" s="501"/>
      <c r="BI207" s="106"/>
      <c r="BJ207" s="106"/>
      <c r="BK207" s="106"/>
      <c r="BL207" s="106"/>
      <c r="BM207" s="106"/>
      <c r="BN207" s="106"/>
      <c r="BO207" s="106"/>
    </row>
    <row r="208" spans="2:67" x14ac:dyDescent="0.25">
      <c r="B208" s="222"/>
      <c r="C208" s="222"/>
      <c r="D208" s="221"/>
      <c r="E208" s="221"/>
      <c r="F208" s="212" t="s">
        <v>284</v>
      </c>
      <c r="G208" s="215"/>
      <c r="H208" s="216">
        <f>IF(ADIND_option01=AIS_No,AIS_NA,IF(SUM(L215:L219)=0,AIS_NA,SUM(L215:L219)))</f>
        <v>2</v>
      </c>
      <c r="J208" s="222"/>
      <c r="K208" s="222"/>
      <c r="L208" s="222"/>
      <c r="M208" s="222"/>
      <c r="N208" s="212" t="s">
        <v>285</v>
      </c>
      <c r="P208" s="217">
        <f>IF(Hea02_credits=AIS_NA,AIS_NA,(BP_33/BP_02)*Hea02_credits)</f>
        <v>0</v>
      </c>
      <c r="Q208" s="217"/>
      <c r="R208" s="709" t="str">
        <f>IF(AND(ADBT0=ADBT2,ADIND_option01=AD_no),AIS_statement18,"")</f>
        <v/>
      </c>
      <c r="S208" s="709"/>
      <c r="T208" s="709"/>
      <c r="U208" s="709"/>
      <c r="V208" s="709"/>
      <c r="W208" s="709"/>
      <c r="Y208" s="501"/>
      <c r="BI208" s="106"/>
      <c r="BJ208" s="106"/>
      <c r="BK208" s="106"/>
      <c r="BL208" s="106"/>
      <c r="BM208" s="106"/>
      <c r="BN208" s="106"/>
      <c r="BO208" s="106"/>
    </row>
    <row r="209" spans="2:67" ht="3.75" customHeight="1" x14ac:dyDescent="0.25">
      <c r="R209" s="709"/>
      <c r="S209" s="709"/>
      <c r="T209" s="709"/>
      <c r="U209" s="709"/>
      <c r="V209" s="709"/>
      <c r="W209" s="709"/>
      <c r="Y209" s="501"/>
      <c r="BI209" s="106"/>
      <c r="BJ209" s="106"/>
      <c r="BK209" s="106"/>
      <c r="BL209" s="106"/>
      <c r="BM209" s="106"/>
      <c r="BN209" s="106"/>
      <c r="BO209" s="106"/>
    </row>
    <row r="210" spans="2:67" x14ac:dyDescent="0.25">
      <c r="B210" s="222"/>
      <c r="C210" s="222"/>
      <c r="D210" s="221"/>
      <c r="E210" s="221"/>
      <c r="F210" s="212" t="s">
        <v>286</v>
      </c>
      <c r="G210" s="215"/>
      <c r="H210" s="216">
        <f>IF(OR(ADPT=ADPT02,ADPT=ADPT03),AIS_NA,IF(Hea02_credits=AIS_NA,AIS_NA,2))</f>
        <v>2</v>
      </c>
      <c r="J210" s="221"/>
      <c r="K210" s="221"/>
      <c r="L210" s="221"/>
      <c r="M210" s="221"/>
      <c r="N210" s="212" t="s">
        <v>287</v>
      </c>
      <c r="O210" s="215"/>
      <c r="P210" s="216" t="str">
        <f>IF(Hea02_credits=AIS_NA,AIS_NA,AIS_No)</f>
        <v>No</v>
      </c>
      <c r="Q210" s="216"/>
      <c r="R210" s="709"/>
      <c r="S210" s="709"/>
      <c r="T210" s="709"/>
      <c r="U210" s="709"/>
      <c r="V210" s="709"/>
      <c r="W210" s="709"/>
      <c r="Y210" s="501"/>
      <c r="BI210" s="106"/>
      <c r="BJ210" s="106"/>
      <c r="BK210" s="106"/>
      <c r="BL210" s="106"/>
      <c r="BM210" s="106"/>
      <c r="BN210" s="106"/>
      <c r="BO210" s="106"/>
    </row>
    <row r="211" spans="2:67" ht="16.5" customHeight="1" x14ac:dyDescent="0.25">
      <c r="Y211" s="501"/>
      <c r="BI211" s="106"/>
      <c r="BJ211" s="106"/>
      <c r="BK211" s="106"/>
      <c r="BL211" s="106"/>
      <c r="BM211" s="106"/>
      <c r="BN211" s="106"/>
      <c r="BO211" s="106"/>
    </row>
    <row r="212" spans="2:67" ht="15" customHeight="1" x14ac:dyDescent="0.25">
      <c r="B212" s="351"/>
      <c r="C212" s="351"/>
      <c r="D212" s="353"/>
      <c r="E212" s="353"/>
      <c r="F212" s="352"/>
      <c r="G212" s="352"/>
      <c r="H212" s="185" t="s">
        <v>364</v>
      </c>
      <c r="I212" s="288" t="s">
        <v>365</v>
      </c>
      <c r="J212" s="704"/>
      <c r="K212" s="739"/>
      <c r="L212" s="739"/>
      <c r="M212" s="739"/>
      <c r="N212" s="739"/>
      <c r="O212" s="739"/>
      <c r="P212" s="739"/>
      <c r="Q212" s="485"/>
      <c r="Y212" s="501"/>
      <c r="BI212" s="106"/>
      <c r="BJ212" s="106"/>
      <c r="BK212" s="106"/>
      <c r="BL212" s="106"/>
      <c r="BM212" s="106"/>
      <c r="BN212" s="106"/>
      <c r="BO212" s="106"/>
    </row>
    <row r="213" spans="2:67" ht="47.25" customHeight="1" x14ac:dyDescent="0.25">
      <c r="B213" s="23" t="s">
        <v>288</v>
      </c>
      <c r="C213" s="218"/>
      <c r="D213" s="215"/>
      <c r="E213" s="218"/>
      <c r="F213" s="255"/>
      <c r="J213" s="219" t="s">
        <v>289</v>
      </c>
      <c r="K213" s="219"/>
      <c r="L213" s="220" t="s">
        <v>290</v>
      </c>
      <c r="M213" s="23"/>
      <c r="N213" s="220" t="s">
        <v>291</v>
      </c>
      <c r="O213" s="23"/>
      <c r="P213" s="220"/>
      <c r="Q213" s="220"/>
      <c r="Y213" s="501"/>
      <c r="BI213" s="106"/>
      <c r="BJ213" s="106"/>
      <c r="BK213" s="106"/>
      <c r="BL213" s="106"/>
      <c r="BM213" s="106"/>
      <c r="BN213" s="106"/>
      <c r="BO213" s="106"/>
    </row>
    <row r="214" spans="2:67" ht="3" customHeight="1" x14ac:dyDescent="0.25">
      <c r="B214" s="215"/>
      <c r="C214" s="218"/>
      <c r="D214" s="215"/>
      <c r="E214" s="218"/>
      <c r="F214" s="244"/>
      <c r="G214" s="215"/>
      <c r="J214" s="245"/>
      <c r="K214" s="245"/>
      <c r="L214" s="215"/>
      <c r="M214" s="215"/>
      <c r="N214" s="246"/>
      <c r="O214" s="218"/>
      <c r="P214" s="246"/>
      <c r="Q214" s="246"/>
      <c r="Y214" s="501"/>
      <c r="BI214" s="106"/>
      <c r="BJ214" s="106"/>
      <c r="BK214" s="106"/>
      <c r="BL214" s="106"/>
      <c r="BM214" s="106"/>
      <c r="BN214" s="106"/>
      <c r="BO214" s="106"/>
    </row>
    <row r="215" spans="2:67" ht="15" customHeight="1" x14ac:dyDescent="0.25">
      <c r="B215" s="221"/>
      <c r="C215" s="221"/>
      <c r="D215" s="221"/>
      <c r="E215" s="221"/>
      <c r="F215" s="212"/>
      <c r="G215" s="212"/>
      <c r="H215" s="212" t="s">
        <v>366</v>
      </c>
      <c r="J215" s="223"/>
      <c r="K215" s="245"/>
      <c r="L215" s="224">
        <f>IF(ADBT0=ADBT8,0,IF(ADPT&lt;&gt;ADPT01,0,1))</f>
        <v>0</v>
      </c>
      <c r="M215" s="215"/>
      <c r="N215" s="224">
        <f>IF(AND(Hea02_01=AIS_Yes,Hea02_07&gt;0),(1),(0))</f>
        <v>0</v>
      </c>
      <c r="O215" s="218"/>
      <c r="P215" s="734"/>
      <c r="Q215" s="252"/>
      <c r="Y215" s="501"/>
      <c r="BI215" s="106"/>
      <c r="BJ215" s="106"/>
      <c r="BK215" s="106"/>
      <c r="BL215" s="106"/>
      <c r="BM215" s="106"/>
      <c r="BN215" s="106"/>
      <c r="BO215" s="106"/>
    </row>
    <row r="216" spans="2:67" x14ac:dyDescent="0.25">
      <c r="B216" s="221"/>
      <c r="C216" s="221"/>
      <c r="D216" s="221"/>
      <c r="E216" s="221"/>
      <c r="F216" s="212"/>
      <c r="G216" s="212"/>
      <c r="H216" s="212" t="s">
        <v>367</v>
      </c>
      <c r="J216" s="223"/>
      <c r="K216" s="215"/>
      <c r="L216" s="420">
        <f>IF(ADPT=ADPT02,0,1)</f>
        <v>1</v>
      </c>
      <c r="M216" s="215"/>
      <c r="N216" s="224">
        <f>IF(OR(AND(AND(Hea02_28=AIS_Yes,ADPT&lt;&gt;ADPT02),Hea02_13=1),AND(Hea02_28=AIS_Yes,ADPT=ADPT03),AND(Hea02_28=AIS_Yes,ADBT0=ADBT8)),1,0)</f>
        <v>0</v>
      </c>
      <c r="O216" s="215"/>
      <c r="P216" s="734"/>
      <c r="Q216" s="252"/>
      <c r="R216" s="209" t="str">
        <f>IF(Hea02_27=AIS_statement32,"",IF((AND(ADIND_option01=AD_no,ADBT0=ADBT2)),AIS_statement15,""))</f>
        <v/>
      </c>
      <c r="Y216" s="501"/>
      <c r="BI216" s="106"/>
      <c r="BJ216" s="106"/>
      <c r="BK216" s="106"/>
      <c r="BL216" s="106"/>
      <c r="BM216" s="106"/>
      <c r="BN216" s="106"/>
      <c r="BO216" s="106"/>
    </row>
    <row r="217" spans="2:67" x14ac:dyDescent="0.25">
      <c r="B217" s="221"/>
      <c r="C217" s="221"/>
      <c r="D217" s="221"/>
      <c r="E217" s="221"/>
      <c r="F217" s="212"/>
      <c r="G217" s="221"/>
      <c r="H217" s="212" t="s">
        <v>368</v>
      </c>
      <c r="J217" s="223" t="s">
        <v>121</v>
      </c>
      <c r="K217" s="215"/>
      <c r="L217" s="224">
        <f>IF(ADPT&lt;&gt;ADPT01,0,1)</f>
        <v>0</v>
      </c>
      <c r="M217" s="215"/>
      <c r="N217" s="224">
        <f>IF(ADPT&lt;&gt;ADPT01,0,IF(AND(ADIND_option01=AD_no,ADBT0=ADBT2),AIS_option05,IF(AND(Hea02_02=AIS_Yes,ADBT0=ADBT8),Hea02_08,IF(AND(Hea02_02=AIS_Yes,Hea02_13=1),Hea02_08,0))))</f>
        <v>0</v>
      </c>
      <c r="O217" s="215"/>
      <c r="P217" s="400"/>
      <c r="Q217" s="400"/>
      <c r="Y217" s="501"/>
      <c r="BI217" s="106"/>
      <c r="BJ217" s="106"/>
      <c r="BK217" s="106"/>
      <c r="BL217" s="106"/>
      <c r="BM217" s="106"/>
      <c r="BN217" s="106"/>
      <c r="BO217" s="106"/>
    </row>
    <row r="218" spans="2:67" x14ac:dyDescent="0.25">
      <c r="B218" s="221"/>
      <c r="C218" s="221"/>
      <c r="D218" s="221"/>
      <c r="E218" s="221"/>
      <c r="F218" s="212"/>
      <c r="G218" s="221"/>
      <c r="H218" s="212" t="s">
        <v>369</v>
      </c>
      <c r="J218" s="223" t="s">
        <v>121</v>
      </c>
      <c r="K218" s="215"/>
      <c r="L218" s="224">
        <f>IF(ADBT0=ADBT8,0,IF(ADPT&lt;&gt;ADPT01,0,1))</f>
        <v>0</v>
      </c>
      <c r="M218" s="215"/>
      <c r="N218" s="224">
        <f>IF(ADPT&lt;&gt;ADPT01,0,IF(AND(ADIND_option01=AD_no,ADBT0=ADBT2),AIS_option05,IF(AND(Hea02_03=AIS_Yes,Hea02_13=1),Hea02_09,0)))</f>
        <v>0</v>
      </c>
      <c r="O218" s="215"/>
      <c r="P218" s="400"/>
      <c r="Q218" s="400"/>
      <c r="Y218" s="501"/>
      <c r="BI218" s="106"/>
      <c r="BJ218" s="106"/>
      <c r="BK218" s="106"/>
      <c r="BL218" s="106"/>
      <c r="BM218" s="106"/>
      <c r="BN218" s="106"/>
      <c r="BO218" s="106"/>
    </row>
    <row r="219" spans="2:67" x14ac:dyDescent="0.25">
      <c r="B219" s="221"/>
      <c r="C219" s="221"/>
      <c r="D219" s="221"/>
      <c r="E219" s="221"/>
      <c r="F219" s="212"/>
      <c r="G219" s="221"/>
      <c r="H219" s="212" t="s">
        <v>370</v>
      </c>
      <c r="J219" s="223"/>
      <c r="K219" s="215"/>
      <c r="L219" s="469">
        <f>IF(J212=AIS_No,0,1)</f>
        <v>1</v>
      </c>
      <c r="M219" s="215"/>
      <c r="N219" s="270">
        <f>IF(Hea02_04=AIS_Yes,Hea02_10,0)</f>
        <v>0</v>
      </c>
      <c r="O219" s="215"/>
      <c r="P219" s="252"/>
      <c r="Q219" s="252"/>
      <c r="R219" s="209" t="str">
        <f>IF(Hea02_27=AIS_statement32,"",IF(AND(ADIND_option01=AD_no,ADBT0=ADBT2),AIS_statement15,IF(ADBT0=ADBT6,AIS_statement12,"")))</f>
        <v/>
      </c>
      <c r="Y219" s="501"/>
      <c r="BI219" s="106"/>
      <c r="BJ219" s="106"/>
      <c r="BK219" s="106"/>
      <c r="BL219" s="106"/>
      <c r="BM219" s="106"/>
      <c r="BN219" s="106"/>
      <c r="BO219" s="106"/>
    </row>
    <row r="220" spans="2:67" ht="7.5" customHeight="1" x14ac:dyDescent="0.25">
      <c r="B220" s="215"/>
      <c r="C220" s="215"/>
      <c r="D220" s="215"/>
      <c r="E220" s="215"/>
      <c r="F220" s="215"/>
      <c r="G220" s="215"/>
      <c r="H220" s="215"/>
      <c r="I220" s="215"/>
      <c r="J220" s="215"/>
      <c r="K220" s="215"/>
      <c r="L220" s="215"/>
      <c r="M220" s="215"/>
      <c r="N220" s="215"/>
      <c r="O220" s="215"/>
      <c r="P220" s="215"/>
      <c r="Q220" s="215"/>
      <c r="Y220" s="501"/>
      <c r="BI220" s="106"/>
      <c r="BJ220" s="106"/>
      <c r="BK220" s="106"/>
      <c r="BL220" s="106"/>
      <c r="BM220" s="106"/>
      <c r="BN220" s="106"/>
      <c r="BO220" s="106"/>
    </row>
    <row r="221" spans="2:67" x14ac:dyDescent="0.25">
      <c r="B221" s="221"/>
      <c r="C221" s="221"/>
      <c r="D221" s="221"/>
      <c r="E221" s="221"/>
      <c r="F221" s="221"/>
      <c r="G221" s="221"/>
      <c r="H221" s="212" t="s">
        <v>371</v>
      </c>
      <c r="J221" s="223"/>
      <c r="K221" s="215"/>
      <c r="L221" s="224">
        <f>IF(ADBT0=ADBT8,0,IF(OR(ADPT=ADPT02,ADPT=ADPT03),AIS_NA,2))</f>
        <v>2</v>
      </c>
      <c r="M221" s="215"/>
      <c r="N221" s="224">
        <f>IF(OR(ADPT=ADPT02,ADPT=ADPT03),0,Hea02_05)</f>
        <v>0</v>
      </c>
      <c r="O221" s="215"/>
      <c r="P221" s="252"/>
      <c r="Q221" s="252"/>
      <c r="Y221" s="501"/>
      <c r="BI221" s="106"/>
      <c r="BJ221" s="106"/>
      <c r="BK221" s="106"/>
      <c r="BL221" s="106"/>
      <c r="BM221" s="106"/>
      <c r="BN221" s="106"/>
      <c r="BO221" s="106"/>
    </row>
    <row r="222" spans="2:67" ht="24.95" customHeight="1" x14ac:dyDescent="0.25">
      <c r="B222" s="265" t="s">
        <v>372</v>
      </c>
      <c r="C222" s="215"/>
      <c r="D222" s="215"/>
      <c r="E222" s="215"/>
      <c r="F222" s="215"/>
      <c r="G222" s="215"/>
      <c r="K222" s="215"/>
      <c r="L222" s="249"/>
      <c r="M222" s="215"/>
      <c r="O222" s="215"/>
      <c r="P222" s="215"/>
      <c r="Q222" s="215"/>
      <c r="R222" s="315"/>
      <c r="S222" s="1"/>
      <c r="T222" s="1"/>
      <c r="U222" s="1"/>
      <c r="V222" s="1"/>
      <c r="W222" s="1"/>
      <c r="Y222" s="501"/>
      <c r="BI222" s="106"/>
      <c r="BJ222" s="106"/>
      <c r="BK222" s="106"/>
      <c r="BL222" s="106"/>
      <c r="BM222" s="106"/>
      <c r="BN222" s="106"/>
      <c r="BO222" s="106"/>
    </row>
    <row r="223" spans="2:67" ht="3" customHeight="1" x14ac:dyDescent="0.25">
      <c r="B223" s="266"/>
      <c r="C223" s="215"/>
      <c r="D223" s="215"/>
      <c r="E223" s="215"/>
      <c r="F223" s="215"/>
      <c r="G223" s="215"/>
      <c r="K223" s="215"/>
      <c r="L223" s="249"/>
      <c r="M223" s="215"/>
      <c r="O223" s="215"/>
      <c r="P223" s="215"/>
      <c r="Q223" s="215"/>
      <c r="Y223" s="501"/>
      <c r="BI223" s="106"/>
      <c r="BJ223" s="106"/>
      <c r="BK223" s="106"/>
      <c r="BL223" s="106"/>
      <c r="BM223" s="106"/>
      <c r="BN223" s="106"/>
      <c r="BO223" s="106"/>
    </row>
    <row r="224" spans="2:67" x14ac:dyDescent="0.25">
      <c r="B224" s="221"/>
      <c r="C224" s="221"/>
      <c r="D224" s="221"/>
      <c r="E224" s="221"/>
      <c r="F224" s="222"/>
      <c r="G224" s="221"/>
      <c r="H224" s="212" t="s">
        <v>373</v>
      </c>
      <c r="I224" s="215"/>
      <c r="J224" s="223"/>
      <c r="K224" s="215"/>
      <c r="L224" s="209" t="str">
        <f>IF(P206=AIS_statement32,"",IF(AIS_stage00=AIS_stage01,AIS_statement01,IF(Hea02_03=AIS_No,AIS_statement03,AIS_units11)))</f>
        <v>µg/m3</v>
      </c>
      <c r="M224" s="215"/>
      <c r="N224" s="215"/>
      <c r="O224" s="215"/>
      <c r="P224" s="215"/>
      <c r="Q224" s="215"/>
      <c r="Y224" s="501"/>
      <c r="BI224" s="106"/>
      <c r="BJ224" s="106"/>
      <c r="BK224" s="106"/>
      <c r="BL224" s="106"/>
      <c r="BM224" s="106"/>
      <c r="BN224" s="106"/>
      <c r="BO224" s="106"/>
    </row>
    <row r="225" spans="2:67" x14ac:dyDescent="0.25">
      <c r="B225" s="221"/>
      <c r="C225" s="221"/>
      <c r="D225" s="221"/>
      <c r="E225" s="221"/>
      <c r="F225" s="222"/>
      <c r="G225" s="221"/>
      <c r="H225" s="212" t="s">
        <v>374</v>
      </c>
      <c r="I225" s="215"/>
      <c r="J225" s="223"/>
      <c r="K225" s="215"/>
      <c r="L225" s="209" t="str">
        <f>IF(P206=AIS_statement32,"",IF(AIS_stage00=AIS_stage01,AIS_statement01,IF(Hea02_03=AIS_No,AIS_statement03,AIS_units11)))</f>
        <v>µg/m3</v>
      </c>
      <c r="M225" s="215"/>
      <c r="N225" s="215"/>
      <c r="O225" s="215"/>
      <c r="P225" s="3"/>
      <c r="Q225" s="3"/>
      <c r="Y225" s="501"/>
      <c r="BI225" s="106"/>
      <c r="BJ225" s="106"/>
      <c r="BK225" s="106"/>
      <c r="BL225" s="106"/>
      <c r="BM225" s="106"/>
      <c r="BN225" s="106"/>
      <c r="BO225" s="106"/>
    </row>
    <row r="226" spans="2:67" ht="16.5" customHeight="1" x14ac:dyDescent="0.25">
      <c r="Y226" s="501"/>
      <c r="BI226" s="106"/>
      <c r="BJ226" s="106"/>
      <c r="BK226" s="106"/>
      <c r="BL226" s="106"/>
      <c r="BM226" s="106"/>
      <c r="BN226" s="106"/>
      <c r="BO226" s="106"/>
    </row>
    <row r="227" spans="2:67" x14ac:dyDescent="0.25">
      <c r="B227" s="221"/>
      <c r="C227" s="222"/>
      <c r="D227" s="222"/>
      <c r="E227" s="221"/>
      <c r="F227" s="212" t="s">
        <v>296</v>
      </c>
      <c r="G227" s="215"/>
      <c r="H227" s="216">
        <f>IF(ISERROR(Hea02_Tot_Err), 0, Hea02_Tot_Err)</f>
        <v>0</v>
      </c>
      <c r="K227" s="215"/>
      <c r="M227" s="215"/>
      <c r="N227" s="215"/>
      <c r="O227" s="215"/>
      <c r="P227" s="215"/>
      <c r="Q227" s="215"/>
      <c r="Y227" s="501"/>
      <c r="BI227" s="106"/>
      <c r="BJ227" s="106"/>
      <c r="BK227" s="106"/>
      <c r="BL227" s="106"/>
      <c r="BM227" s="106"/>
      <c r="BN227" s="106"/>
      <c r="BO227" s="106"/>
    </row>
    <row r="228" spans="2:67" ht="3" customHeight="1" x14ac:dyDescent="0.25">
      <c r="B228" s="215"/>
      <c r="E228" s="215"/>
      <c r="F228" s="225"/>
      <c r="G228" s="215"/>
      <c r="H228" s="252"/>
      <c r="K228" s="215"/>
      <c r="M228" s="215"/>
      <c r="N228" s="215"/>
      <c r="O228" s="215"/>
      <c r="P228" s="215"/>
      <c r="Q228" s="215"/>
      <c r="Y228" s="501"/>
      <c r="BI228" s="106"/>
      <c r="BJ228" s="106"/>
      <c r="BK228" s="106"/>
      <c r="BL228" s="106"/>
      <c r="BM228" s="106"/>
      <c r="BN228" s="106"/>
      <c r="BO228" s="106"/>
    </row>
    <row r="229" spans="2:67" x14ac:dyDescent="0.25">
      <c r="B229" s="221"/>
      <c r="C229" s="222"/>
      <c r="D229" s="222"/>
      <c r="E229" s="221"/>
      <c r="F229" s="212" t="s">
        <v>297</v>
      </c>
      <c r="G229" s="215"/>
      <c r="H229" s="217">
        <f>IF(Hea02_27=AIS_statement32,AIS_NA,(Hea02_25/Hea02_credits)*Hea02_tot)</f>
        <v>0</v>
      </c>
      <c r="K229" s="215"/>
      <c r="M229" s="215"/>
      <c r="N229" s="215"/>
      <c r="O229" s="215"/>
      <c r="P229" s="215"/>
      <c r="Q229" s="215"/>
      <c r="Y229" s="501"/>
      <c r="BI229" s="106"/>
      <c r="BJ229" s="106"/>
      <c r="BK229" s="106"/>
      <c r="BL229" s="106"/>
      <c r="BM229" s="106"/>
      <c r="BN229" s="106"/>
      <c r="BO229" s="106"/>
    </row>
    <row r="230" spans="2:67" ht="3" customHeight="1" x14ac:dyDescent="0.25">
      <c r="K230" s="215"/>
      <c r="M230" s="215"/>
      <c r="N230" s="215"/>
      <c r="O230" s="215"/>
      <c r="P230" s="215"/>
      <c r="Q230" s="215"/>
      <c r="Y230" s="501"/>
      <c r="BI230" s="106"/>
      <c r="BJ230" s="106"/>
      <c r="BK230" s="106"/>
      <c r="BL230" s="106"/>
      <c r="BM230" s="106"/>
      <c r="BN230" s="106"/>
      <c r="BO230" s="106"/>
    </row>
    <row r="231" spans="2:67" x14ac:dyDescent="0.25">
      <c r="B231" s="221"/>
      <c r="C231" s="222"/>
      <c r="D231" s="222"/>
      <c r="E231" s="221"/>
      <c r="F231" s="212" t="s">
        <v>298</v>
      </c>
      <c r="H231" s="216">
        <f>IF(Hea02_credits=AIS_NA, AIS_NA,IF(Hea02_02=AIS_No,0,Hea02_17))</f>
        <v>0</v>
      </c>
      <c r="K231" s="215"/>
      <c r="M231" s="215"/>
      <c r="N231" s="215"/>
      <c r="O231" s="215"/>
      <c r="P231" s="215"/>
      <c r="Q231" s="215"/>
      <c r="Y231" s="501"/>
      <c r="BI231" s="106"/>
      <c r="BJ231" s="106"/>
      <c r="BK231" s="106"/>
      <c r="BL231" s="106"/>
      <c r="BM231" s="106"/>
      <c r="BN231" s="106"/>
      <c r="BO231" s="106"/>
    </row>
    <row r="232" spans="2:67" ht="3" customHeight="1" x14ac:dyDescent="0.25">
      <c r="K232" s="215"/>
      <c r="M232" s="215"/>
      <c r="N232" s="215"/>
      <c r="O232" s="215"/>
      <c r="P232" s="215"/>
      <c r="Q232" s="215"/>
      <c r="Y232" s="501"/>
      <c r="BI232" s="106"/>
      <c r="BJ232" s="106"/>
      <c r="BK232" s="106"/>
      <c r="BL232" s="106"/>
      <c r="BM232" s="106"/>
      <c r="BN232" s="106"/>
      <c r="BO232" s="106"/>
    </row>
    <row r="233" spans="2:67" x14ac:dyDescent="0.25">
      <c r="B233" s="221"/>
      <c r="C233" s="222"/>
      <c r="D233" s="221"/>
      <c r="E233" s="221"/>
      <c r="F233" s="212" t="s">
        <v>299</v>
      </c>
      <c r="H233" s="216" t="s">
        <v>300</v>
      </c>
      <c r="K233" s="215"/>
      <c r="M233" s="215"/>
      <c r="N233" s="215"/>
      <c r="O233" s="215"/>
      <c r="P233" s="215"/>
      <c r="Q233" s="215"/>
      <c r="Y233" s="501"/>
      <c r="BI233" s="106"/>
      <c r="BJ233" s="106"/>
      <c r="BK233" s="106"/>
      <c r="BL233" s="106"/>
      <c r="BM233" s="106"/>
      <c r="BN233" s="106"/>
      <c r="BO233" s="106"/>
    </row>
    <row r="234" spans="2:67" x14ac:dyDescent="0.25">
      <c r="M234" s="215"/>
      <c r="N234" s="215"/>
      <c r="O234" s="215"/>
      <c r="P234" s="215"/>
      <c r="Q234" s="215"/>
      <c r="Y234" s="501"/>
      <c r="BI234" s="106"/>
      <c r="BJ234" s="106"/>
      <c r="BK234" s="106"/>
      <c r="BL234" s="106"/>
      <c r="BM234" s="106"/>
      <c r="BN234" s="106"/>
      <c r="BO234" s="106"/>
    </row>
    <row r="235" spans="2:67" x14ac:dyDescent="0.25">
      <c r="B235" s="257" t="s">
        <v>301</v>
      </c>
      <c r="C235" s="215"/>
      <c r="D235" s="215"/>
      <c r="E235" s="215"/>
      <c r="F235" s="225"/>
      <c r="G235" s="215"/>
      <c r="H235" s="215"/>
      <c r="I235" s="215"/>
      <c r="J235" s="215"/>
      <c r="K235" s="215"/>
      <c r="L235" s="215"/>
      <c r="M235" s="215"/>
      <c r="N235" s="215"/>
      <c r="O235" s="215"/>
      <c r="P235" s="215"/>
      <c r="Q235" s="215"/>
      <c r="Y235" s="501"/>
      <c r="BI235" s="106"/>
      <c r="BJ235" s="106"/>
      <c r="BK235" s="106"/>
      <c r="BL235" s="106"/>
      <c r="BM235" s="106"/>
      <c r="BN235" s="106"/>
      <c r="BO235" s="106"/>
    </row>
    <row r="236" spans="2:67" ht="159.94999999999999" customHeight="1" x14ac:dyDescent="0.25">
      <c r="B236" s="736"/>
      <c r="C236" s="737"/>
      <c r="D236" s="737"/>
      <c r="E236" s="737"/>
      <c r="F236" s="737"/>
      <c r="G236" s="737"/>
      <c r="H236" s="737"/>
      <c r="I236" s="737"/>
      <c r="J236" s="737"/>
      <c r="K236" s="737"/>
      <c r="L236" s="737"/>
      <c r="M236" s="737"/>
      <c r="N236" s="737"/>
      <c r="O236" s="737"/>
      <c r="P236" s="738"/>
      <c r="Q236" s="416"/>
      <c r="Y236" s="501"/>
      <c r="BI236" s="106"/>
      <c r="BJ236" s="106"/>
      <c r="BK236" s="106"/>
      <c r="BL236" s="106"/>
      <c r="BM236" s="106"/>
      <c r="BN236" s="106"/>
      <c r="BO236" s="106"/>
    </row>
    <row r="237" spans="2:67" ht="36" customHeight="1" x14ac:dyDescent="0.25">
      <c r="B237" s="24" t="s">
        <v>375</v>
      </c>
      <c r="C237" s="13"/>
      <c r="D237" s="236"/>
      <c r="E237" s="237"/>
      <c r="F237" s="237"/>
      <c r="G237" s="237"/>
      <c r="H237" s="237"/>
      <c r="I237" s="237"/>
      <c r="J237" s="237"/>
      <c r="K237" s="237"/>
      <c r="L237" s="237"/>
      <c r="M237" s="237"/>
      <c r="N237" s="237"/>
      <c r="O237" s="237"/>
      <c r="P237" s="329" t="str">
        <f>IF(OR(ADPT&lt;&gt;ADPT01,AD_Labsize=AD_Labsize03),AIS_statement32,IF(OR(AD_catlevel=AD_catlevel01,AD_catlevel=AD_catlevel02,AD_catlevel=AD_catlevel03,ADFume_option01=AD_Yes),"",AIS_statement32))</f>
        <v>Assessment issue not applicable</v>
      </c>
      <c r="Q237" s="240"/>
      <c r="Y237" s="501"/>
      <c r="BI237" s="106"/>
      <c r="BJ237" s="106"/>
      <c r="BK237" s="106"/>
      <c r="BL237" s="106"/>
      <c r="BM237" s="106"/>
      <c r="BN237" s="106"/>
      <c r="BO237" s="106"/>
    </row>
    <row r="238" spans="2:67" x14ac:dyDescent="0.25">
      <c r="B238" s="215"/>
      <c r="C238" s="215"/>
      <c r="D238" s="215"/>
      <c r="E238" s="215"/>
      <c r="F238" s="215"/>
      <c r="G238" s="215"/>
      <c r="H238" s="215"/>
      <c r="I238" s="215"/>
      <c r="J238" s="215"/>
      <c r="K238" s="215"/>
      <c r="L238" s="215"/>
      <c r="M238" s="215"/>
      <c r="N238" s="215"/>
      <c r="O238" s="215"/>
      <c r="P238" s="215"/>
      <c r="Q238" s="215"/>
      <c r="Y238" s="501"/>
      <c r="BI238" s="106"/>
      <c r="BJ238" s="106"/>
      <c r="BK238" s="106"/>
      <c r="BL238" s="106"/>
      <c r="BM238" s="106"/>
      <c r="BN238" s="106"/>
      <c r="BO238" s="106"/>
    </row>
    <row r="239" spans="2:67" x14ac:dyDescent="0.25">
      <c r="B239" s="222"/>
      <c r="C239" s="222"/>
      <c r="D239" s="221"/>
      <c r="E239" s="221"/>
      <c r="F239" s="212" t="s">
        <v>284</v>
      </c>
      <c r="G239" s="215"/>
      <c r="H239" s="216" t="str">
        <f>IF(Hea03_13=AIS_statement32,AIS_NA,SUM(L245:L246))</f>
        <v>N/A</v>
      </c>
      <c r="J239" s="222"/>
      <c r="K239" s="222"/>
      <c r="L239" s="222"/>
      <c r="M239" s="222"/>
      <c r="N239" s="212" t="s">
        <v>285</v>
      </c>
      <c r="P239" s="217" t="str">
        <f>IF(Hea03_13=AIS_statement32,AIS_NA,(BP_33/BP_02)*Hea03_credits)</f>
        <v>N/A</v>
      </c>
      <c r="Q239" s="217"/>
      <c r="R239" s="709" t="str">
        <f>IF(AND(ADBT0=ADBT2,ADIND_option01=AD_no,ADFume_option01=AD_no,(OR(AD_catlevel=AD_catlevel01,AD_catlevel=AD_nolab))),AIS_statement16,"")</f>
        <v/>
      </c>
      <c r="S239" s="709"/>
      <c r="T239" s="709"/>
      <c r="U239" s="709"/>
      <c r="V239" s="709"/>
      <c r="W239" s="709"/>
      <c r="Y239" s="501"/>
      <c r="BI239" s="106"/>
      <c r="BJ239" s="106"/>
      <c r="BK239" s="106"/>
      <c r="BL239" s="106"/>
      <c r="BM239" s="106"/>
      <c r="BN239" s="106"/>
      <c r="BO239" s="106"/>
    </row>
    <row r="240" spans="2:67" ht="3.75" customHeight="1" x14ac:dyDescent="0.25">
      <c r="R240" s="709"/>
      <c r="S240" s="709"/>
      <c r="T240" s="709"/>
      <c r="U240" s="709"/>
      <c r="V240" s="709"/>
      <c r="W240" s="709"/>
      <c r="Y240" s="501"/>
      <c r="BI240" s="106"/>
      <c r="BJ240" s="106"/>
      <c r="BK240" s="106"/>
      <c r="BL240" s="106"/>
      <c r="BM240" s="106"/>
      <c r="BN240" s="106"/>
      <c r="BO240" s="106"/>
    </row>
    <row r="241" spans="2:67" x14ac:dyDescent="0.25">
      <c r="B241" s="222"/>
      <c r="C241" s="222"/>
      <c r="D241" s="221"/>
      <c r="E241" s="221"/>
      <c r="F241" s="212" t="s">
        <v>286</v>
      </c>
      <c r="G241" s="215"/>
      <c r="H241" s="216" t="str">
        <f>IF(Hea03_13=AIS_statement32,AIS_NA,0)</f>
        <v>N/A</v>
      </c>
      <c r="J241" s="221"/>
      <c r="K241" s="221"/>
      <c r="L241" s="221"/>
      <c r="M241" s="221"/>
      <c r="N241" s="212" t="s">
        <v>287</v>
      </c>
      <c r="O241" s="215"/>
      <c r="P241" s="216" t="str">
        <f>IF(Hea03_13=AIS_statement32,AIS_NA,AIS_No)</f>
        <v>N/A</v>
      </c>
      <c r="Q241" s="216"/>
      <c r="R241" s="709"/>
      <c r="S241" s="709"/>
      <c r="T241" s="709"/>
      <c r="U241" s="709"/>
      <c r="V241" s="709"/>
      <c r="W241" s="709"/>
      <c r="Y241" s="501"/>
      <c r="BI241" s="106"/>
      <c r="BJ241" s="106"/>
      <c r="BK241" s="106"/>
      <c r="BL241" s="106"/>
      <c r="BM241" s="106"/>
      <c r="BN241" s="106"/>
      <c r="BO241" s="106"/>
    </row>
    <row r="242" spans="2:67" ht="47.25" customHeight="1" x14ac:dyDescent="0.25">
      <c r="B242" s="23" t="s">
        <v>288</v>
      </c>
      <c r="C242" s="218"/>
      <c r="D242" s="215"/>
      <c r="E242" s="218"/>
      <c r="F242" s="255"/>
      <c r="J242" s="219" t="s">
        <v>289</v>
      </c>
      <c r="K242" s="219"/>
      <c r="L242" s="220" t="s">
        <v>290</v>
      </c>
      <c r="M242" s="23"/>
      <c r="N242" s="220" t="s">
        <v>291</v>
      </c>
      <c r="O242" s="23"/>
      <c r="P242" s="220"/>
      <c r="Q242" s="220"/>
      <c r="Y242" s="501"/>
      <c r="BI242" s="106"/>
      <c r="BJ242" s="106"/>
      <c r="BK242" s="106"/>
      <c r="BL242" s="106"/>
      <c r="BM242" s="106"/>
      <c r="BN242" s="106"/>
      <c r="BO242" s="106"/>
    </row>
    <row r="243" spans="2:67" ht="3" customHeight="1" x14ac:dyDescent="0.25">
      <c r="B243" s="215"/>
      <c r="C243" s="218"/>
      <c r="D243" s="215"/>
      <c r="E243" s="218"/>
      <c r="F243" s="244"/>
      <c r="G243" s="215"/>
      <c r="J243" s="245"/>
      <c r="K243" s="245"/>
      <c r="L243" s="215"/>
      <c r="M243" s="215"/>
      <c r="N243" s="246"/>
      <c r="O243" s="218"/>
      <c r="P243" s="246"/>
      <c r="Q243" s="246"/>
      <c r="Y243" s="501"/>
      <c r="BI243" s="106"/>
      <c r="BJ243" s="106"/>
      <c r="BK243" s="106"/>
      <c r="BL243" s="106"/>
      <c r="BM243" s="106"/>
      <c r="BN243" s="106"/>
      <c r="BO243" s="106"/>
    </row>
    <row r="244" spans="2:67" ht="15" customHeight="1" x14ac:dyDescent="0.25">
      <c r="B244" s="221"/>
      <c r="C244" s="221"/>
      <c r="D244" s="221"/>
      <c r="E244" s="221"/>
      <c r="F244" s="212"/>
      <c r="G244" s="221"/>
      <c r="H244" s="212" t="s">
        <v>376</v>
      </c>
      <c r="J244" s="223"/>
      <c r="K244" s="215"/>
      <c r="L244" s="246"/>
      <c r="M244" s="246"/>
      <c r="N244" s="246"/>
      <c r="O244" s="246"/>
      <c r="P244" s="246"/>
      <c r="Q244" s="246"/>
      <c r="Y244" s="501"/>
      <c r="BI244" s="106"/>
      <c r="BJ244" s="106"/>
      <c r="BK244" s="106"/>
      <c r="BL244" s="106"/>
      <c r="BM244" s="106"/>
      <c r="BN244" s="106"/>
      <c r="BO244" s="106"/>
    </row>
    <row r="245" spans="2:67" x14ac:dyDescent="0.25">
      <c r="B245" s="221"/>
      <c r="C245" s="221"/>
      <c r="D245" s="221"/>
      <c r="E245" s="221"/>
      <c r="F245" s="212"/>
      <c r="G245" s="221"/>
      <c r="H245" s="212" t="s">
        <v>377</v>
      </c>
      <c r="J245" s="223"/>
      <c r="K245" s="215"/>
      <c r="L245" s="224">
        <f>IF(ADFume_option01=AIS_Yes,1,0)</f>
        <v>0</v>
      </c>
      <c r="M245" s="215"/>
      <c r="N245" s="224">
        <f>IF(AND(ADFume_option01=AIS_Yes,Hea03_01=AIS_Yes,Hea03_AC1=AIS_Yes),Hea03_03,0)</f>
        <v>0</v>
      </c>
      <c r="O245" s="215"/>
      <c r="P245" s="400"/>
      <c r="Q245" s="400"/>
      <c r="Y245" s="501"/>
      <c r="BI245" s="106"/>
      <c r="BJ245" s="106"/>
      <c r="BK245" s="106"/>
      <c r="BL245" s="106"/>
      <c r="BM245" s="106"/>
      <c r="BN245" s="106"/>
      <c r="BO245" s="106"/>
    </row>
    <row r="246" spans="2:67" ht="15.75" customHeight="1" x14ac:dyDescent="0.25">
      <c r="B246" s="221"/>
      <c r="C246" s="221"/>
      <c r="D246" s="221"/>
      <c r="E246" s="221"/>
      <c r="F246" s="212"/>
      <c r="G246" s="221"/>
      <c r="H246" s="212" t="s">
        <v>378</v>
      </c>
      <c r="J246" s="223"/>
      <c r="K246" s="215"/>
      <c r="L246" s="224">
        <f>IF(OR(AD_catlevel=AD_catlevel02,AD_catlevel=AD_catlevel03),1,0)</f>
        <v>0</v>
      </c>
      <c r="M246" s="215"/>
      <c r="N246" s="224">
        <f>IF(AND(Hea03_02=AIS_Yes,Hea03_AC1=AIS_Yes,Hea03_AC1=AIS_Yes),Hea03_04,0)</f>
        <v>0</v>
      </c>
      <c r="O246" s="215"/>
      <c r="P246" s="400"/>
      <c r="Q246" s="400"/>
      <c r="Y246" s="501"/>
      <c r="BI246" s="106"/>
      <c r="BJ246" s="106"/>
      <c r="BK246" s="106"/>
      <c r="BL246" s="106"/>
      <c r="BM246" s="106"/>
      <c r="BN246" s="106"/>
      <c r="BO246" s="106"/>
    </row>
    <row r="247" spans="2:67" ht="16.5" customHeight="1" x14ac:dyDescent="0.25">
      <c r="Y247" s="501"/>
      <c r="BI247" s="106"/>
      <c r="BJ247" s="106"/>
      <c r="BK247" s="106"/>
      <c r="BL247" s="106"/>
      <c r="BM247" s="106"/>
      <c r="BN247" s="106"/>
      <c r="BO247" s="106"/>
    </row>
    <row r="248" spans="2:67" x14ac:dyDescent="0.25">
      <c r="B248" s="221"/>
      <c r="C248" s="222"/>
      <c r="D248" s="222"/>
      <c r="E248" s="221"/>
      <c r="F248" s="212" t="s">
        <v>296</v>
      </c>
      <c r="G248" s="215"/>
      <c r="H248" s="216" t="str">
        <f>IF(ISERROR(Hea03_Tot_Err), 0, Hea03_Tot_Err)</f>
        <v>N/A</v>
      </c>
      <c r="J248" s="347"/>
      <c r="K248" s="215"/>
      <c r="M248" s="215"/>
      <c r="N248" s="215"/>
      <c r="O248" s="215"/>
      <c r="P248" s="215"/>
      <c r="Q248" s="215"/>
      <c r="Y248" s="501"/>
      <c r="BI248" s="106"/>
      <c r="BJ248" s="106"/>
      <c r="BK248" s="106"/>
      <c r="BL248" s="106"/>
      <c r="BM248" s="106"/>
      <c r="BN248" s="106"/>
      <c r="BO248" s="106"/>
    </row>
    <row r="249" spans="2:67" ht="3" customHeight="1" x14ac:dyDescent="0.25">
      <c r="B249" s="215"/>
      <c r="E249" s="215"/>
      <c r="F249" s="225"/>
      <c r="G249" s="215"/>
      <c r="H249" s="252"/>
      <c r="K249" s="215"/>
      <c r="M249" s="215"/>
      <c r="N249" s="215"/>
      <c r="O249" s="215"/>
      <c r="P249" s="215"/>
      <c r="Q249" s="215"/>
      <c r="Y249" s="501"/>
      <c r="BI249" s="106"/>
      <c r="BJ249" s="106"/>
      <c r="BK249" s="106"/>
      <c r="BL249" s="106"/>
      <c r="BM249" s="106"/>
      <c r="BN249" s="106"/>
      <c r="BO249" s="106"/>
    </row>
    <row r="250" spans="2:67" x14ac:dyDescent="0.25">
      <c r="B250" s="221"/>
      <c r="C250" s="222"/>
      <c r="D250" s="222"/>
      <c r="E250" s="221"/>
      <c r="F250" s="212" t="s">
        <v>297</v>
      </c>
      <c r="G250" s="215"/>
      <c r="H250" s="217" t="str">
        <f>IF(Hea03_13=AIS_statement32,AIS_NA,(Hea03_09/Hea03_credits)*Hea03_tot)</f>
        <v>N/A</v>
      </c>
      <c r="K250" s="215"/>
      <c r="M250" s="215"/>
      <c r="N250" s="215"/>
      <c r="O250" s="215"/>
      <c r="P250" s="215"/>
      <c r="Q250" s="215"/>
      <c r="Y250" s="501"/>
      <c r="BI250" s="106"/>
      <c r="BJ250" s="106"/>
      <c r="BK250" s="106"/>
      <c r="BL250" s="106"/>
      <c r="BM250" s="106"/>
      <c r="BN250" s="106"/>
      <c r="BO250" s="106"/>
    </row>
    <row r="251" spans="2:67" ht="3" customHeight="1" x14ac:dyDescent="0.25">
      <c r="K251" s="215"/>
      <c r="M251" s="215"/>
      <c r="N251" s="215"/>
      <c r="O251" s="215"/>
      <c r="P251" s="215"/>
      <c r="Q251" s="215"/>
      <c r="Y251" s="501"/>
      <c r="BI251" s="106"/>
      <c r="BJ251" s="106"/>
      <c r="BK251" s="106"/>
      <c r="BL251" s="106"/>
      <c r="BM251" s="106"/>
      <c r="BN251" s="106"/>
      <c r="BO251" s="106"/>
    </row>
    <row r="252" spans="2:67" x14ac:dyDescent="0.25">
      <c r="B252" s="221"/>
      <c r="C252" s="222"/>
      <c r="D252" s="222"/>
      <c r="E252" s="221"/>
      <c r="F252" s="212" t="s">
        <v>298</v>
      </c>
      <c r="H252" s="216" t="s">
        <v>300</v>
      </c>
      <c r="K252" s="215"/>
      <c r="M252" s="215"/>
      <c r="N252" s="215"/>
      <c r="O252" s="215"/>
      <c r="P252" s="215"/>
      <c r="Q252" s="215"/>
      <c r="Y252" s="501"/>
      <c r="BI252" s="106"/>
      <c r="BJ252" s="106"/>
      <c r="BK252" s="106"/>
      <c r="BL252" s="106"/>
      <c r="BM252" s="106"/>
      <c r="BN252" s="106"/>
      <c r="BO252" s="106"/>
    </row>
    <row r="253" spans="2:67" ht="3" customHeight="1" x14ac:dyDescent="0.25">
      <c r="K253" s="215"/>
      <c r="M253" s="215"/>
      <c r="N253" s="215"/>
      <c r="O253" s="215"/>
      <c r="P253" s="215"/>
      <c r="Q253" s="215"/>
      <c r="Y253" s="501"/>
      <c r="BI253" s="106"/>
      <c r="BJ253" s="106"/>
      <c r="BK253" s="106"/>
      <c r="BL253" s="106"/>
      <c r="BM253" s="106"/>
      <c r="BN253" s="106"/>
      <c r="BO253" s="106"/>
    </row>
    <row r="254" spans="2:67" x14ac:dyDescent="0.25">
      <c r="B254" s="221"/>
      <c r="C254" s="222"/>
      <c r="D254" s="221"/>
      <c r="E254" s="221"/>
      <c r="F254" s="212" t="s">
        <v>299</v>
      </c>
      <c r="H254" s="216" t="s">
        <v>300</v>
      </c>
      <c r="K254" s="215"/>
      <c r="M254" s="215"/>
      <c r="N254" s="215"/>
      <c r="O254" s="215"/>
      <c r="P254" s="215"/>
      <c r="Q254" s="215"/>
      <c r="Y254" s="501"/>
      <c r="BI254" s="106"/>
      <c r="BJ254" s="106"/>
      <c r="BK254" s="106"/>
      <c r="BL254" s="106"/>
      <c r="BM254" s="106"/>
      <c r="BN254" s="106"/>
      <c r="BO254" s="106"/>
    </row>
    <row r="255" spans="2:67" x14ac:dyDescent="0.25">
      <c r="B255" s="203"/>
      <c r="C255" s="203"/>
      <c r="D255" s="203"/>
      <c r="E255" s="203"/>
      <c r="F255" s="203"/>
      <c r="G255" s="203"/>
      <c r="H255" s="203"/>
      <c r="I255" s="203"/>
      <c r="J255" s="203"/>
      <c r="K255" s="203"/>
      <c r="L255" s="203"/>
      <c r="M255" s="215"/>
      <c r="N255" s="215"/>
      <c r="O255" s="215"/>
      <c r="P255" s="215"/>
      <c r="Q255" s="215"/>
      <c r="Y255" s="501"/>
      <c r="BI255" s="106"/>
      <c r="BJ255" s="106"/>
      <c r="BK255" s="106"/>
      <c r="BL255" s="106"/>
      <c r="BM255" s="106"/>
      <c r="BN255" s="106"/>
      <c r="BO255" s="106"/>
    </row>
    <row r="256" spans="2:67" x14ac:dyDescent="0.25">
      <c r="B256" s="257" t="s">
        <v>301</v>
      </c>
      <c r="C256" s="215"/>
      <c r="D256" s="215"/>
      <c r="E256" s="215"/>
      <c r="F256" s="225"/>
      <c r="G256" s="215"/>
      <c r="H256" s="215"/>
      <c r="I256" s="215"/>
      <c r="J256" s="215"/>
      <c r="K256" s="215"/>
      <c r="L256" s="215"/>
      <c r="M256" s="215"/>
      <c r="N256" s="215"/>
      <c r="O256" s="215"/>
      <c r="P256" s="215"/>
      <c r="Q256" s="215"/>
      <c r="Y256" s="501"/>
      <c r="BI256" s="106"/>
      <c r="BJ256" s="106"/>
      <c r="BK256" s="106"/>
      <c r="BL256" s="106"/>
      <c r="BM256" s="106"/>
      <c r="BN256" s="106"/>
      <c r="BO256" s="106"/>
    </row>
    <row r="257" spans="2:67" ht="159.94999999999999" customHeight="1" x14ac:dyDescent="0.25">
      <c r="B257" s="736"/>
      <c r="C257" s="737"/>
      <c r="D257" s="737"/>
      <c r="E257" s="737"/>
      <c r="F257" s="737"/>
      <c r="G257" s="737"/>
      <c r="H257" s="737"/>
      <c r="I257" s="737"/>
      <c r="J257" s="737"/>
      <c r="K257" s="737"/>
      <c r="L257" s="737"/>
      <c r="M257" s="737"/>
      <c r="N257" s="737"/>
      <c r="O257" s="737"/>
      <c r="P257" s="738"/>
      <c r="Q257" s="416"/>
      <c r="Y257" s="501"/>
      <c r="BI257" s="106"/>
      <c r="BJ257" s="106"/>
      <c r="BK257" s="106"/>
      <c r="BL257" s="106"/>
      <c r="BM257" s="106"/>
      <c r="BN257" s="106"/>
      <c r="BO257" s="106"/>
    </row>
    <row r="258" spans="2:67" ht="36" customHeight="1" x14ac:dyDescent="0.25">
      <c r="B258" s="24" t="s">
        <v>379</v>
      </c>
      <c r="C258" s="13"/>
      <c r="D258" s="236"/>
      <c r="E258" s="237"/>
      <c r="F258" s="237"/>
      <c r="G258" s="237"/>
      <c r="H258" s="237"/>
      <c r="I258" s="237"/>
      <c r="J258" s="237"/>
      <c r="K258" s="237"/>
      <c r="L258" s="237"/>
      <c r="M258" s="237"/>
      <c r="N258" s="237"/>
      <c r="O258" s="237"/>
      <c r="P258" s="329" t="str">
        <f>IF(OR(ADPT=ADPT02,(AND(ADIND_option01=AD_no,ADBT0=ADBT2))),AIS_statement32,"")</f>
        <v/>
      </c>
      <c r="Q258" s="240"/>
      <c r="Y258" s="501"/>
      <c r="BI258" s="106"/>
      <c r="BJ258" s="106"/>
      <c r="BK258" s="106"/>
      <c r="BL258" s="106"/>
      <c r="BM258" s="106"/>
      <c r="BN258" s="106"/>
      <c r="BO258" s="106"/>
    </row>
    <row r="259" spans="2:67" x14ac:dyDescent="0.25">
      <c r="B259" s="215"/>
      <c r="C259" s="215"/>
      <c r="D259" s="215"/>
      <c r="E259" s="215"/>
      <c r="F259" s="215"/>
      <c r="G259" s="215"/>
      <c r="H259" s="215"/>
      <c r="I259" s="215"/>
      <c r="J259" s="215"/>
      <c r="K259" s="215"/>
      <c r="L259" s="215"/>
      <c r="M259" s="215"/>
      <c r="N259" s="215"/>
      <c r="O259" s="215"/>
      <c r="P259" s="215"/>
      <c r="Q259" s="215"/>
      <c r="Y259" s="501"/>
      <c r="BI259" s="106"/>
      <c r="BJ259" s="106"/>
      <c r="BK259" s="106"/>
      <c r="BL259" s="106"/>
      <c r="BM259" s="106"/>
      <c r="BN259" s="106"/>
      <c r="BO259" s="106"/>
    </row>
    <row r="260" spans="2:67" x14ac:dyDescent="0.25">
      <c r="B260" s="222"/>
      <c r="C260" s="222"/>
      <c r="D260" s="221"/>
      <c r="E260" s="221"/>
      <c r="F260" s="212" t="s">
        <v>284</v>
      </c>
      <c r="G260" s="215"/>
      <c r="H260" s="216">
        <f>IF(Hea04_17=AIS_statement32,AIS_NA,SUM(L265:L268))</f>
        <v>3</v>
      </c>
      <c r="J260" s="222"/>
      <c r="K260" s="222"/>
      <c r="L260" s="222"/>
      <c r="M260" s="222"/>
      <c r="N260" s="212" t="s">
        <v>285</v>
      </c>
      <c r="P260" s="217">
        <f>IF(Hea04_17=AIS_statement32,AIS_NA,(BP_33/BP_02)*Hea04_credits)</f>
        <v>0</v>
      </c>
      <c r="Q260" s="217"/>
      <c r="Y260" s="501"/>
      <c r="BI260" s="106"/>
      <c r="BJ260" s="106"/>
      <c r="BK260" s="106"/>
      <c r="BL260" s="106"/>
      <c r="BM260" s="106"/>
      <c r="BN260" s="106"/>
      <c r="BO260" s="106"/>
    </row>
    <row r="261" spans="2:67" ht="3.75" customHeight="1" x14ac:dyDescent="0.25">
      <c r="Y261" s="501"/>
      <c r="BI261" s="106"/>
      <c r="BJ261" s="106"/>
      <c r="BK261" s="106"/>
      <c r="BL261" s="106"/>
      <c r="BM261" s="106"/>
      <c r="BN261" s="106"/>
      <c r="BO261" s="106"/>
    </row>
    <row r="262" spans="2:67" x14ac:dyDescent="0.25">
      <c r="B262" s="222"/>
      <c r="C262" s="222"/>
      <c r="D262" s="221"/>
      <c r="E262" s="221"/>
      <c r="F262" s="212" t="s">
        <v>286</v>
      </c>
      <c r="G262" s="215"/>
      <c r="H262" s="216">
        <f>IF(Hea04_17=AIS_statement32,AIS_NA,0)</f>
        <v>0</v>
      </c>
      <c r="J262" s="221"/>
      <c r="K262" s="221"/>
      <c r="L262" s="221"/>
      <c r="M262" s="221"/>
      <c r="N262" s="212" t="s">
        <v>287</v>
      </c>
      <c r="O262" s="215"/>
      <c r="P262" s="216" t="s">
        <v>125</v>
      </c>
      <c r="Q262" s="216"/>
      <c r="Y262" s="501"/>
      <c r="BI262" s="106"/>
      <c r="BJ262" s="106"/>
      <c r="BK262" s="106"/>
      <c r="BL262" s="106"/>
      <c r="BM262" s="106"/>
      <c r="BN262" s="106"/>
      <c r="BO262" s="106"/>
    </row>
    <row r="263" spans="2:67" ht="47.25" customHeight="1" x14ac:dyDescent="0.25">
      <c r="B263" s="23" t="s">
        <v>288</v>
      </c>
      <c r="C263" s="218"/>
      <c r="D263" s="215"/>
      <c r="E263" s="218"/>
      <c r="F263" s="255"/>
      <c r="J263" s="219" t="s">
        <v>289</v>
      </c>
      <c r="K263" s="219"/>
      <c r="L263" s="220" t="s">
        <v>290</v>
      </c>
      <c r="M263" s="23"/>
      <c r="N263" s="220" t="s">
        <v>291</v>
      </c>
      <c r="O263" s="23"/>
      <c r="P263" s="220"/>
      <c r="Q263" s="220"/>
      <c r="Y263" s="501"/>
      <c r="BI263" s="106"/>
      <c r="BJ263" s="106"/>
      <c r="BK263" s="106"/>
      <c r="BL263" s="106"/>
      <c r="BM263" s="106"/>
      <c r="BN263" s="106"/>
      <c r="BO263" s="106"/>
    </row>
    <row r="264" spans="2:67" ht="3" customHeight="1" x14ac:dyDescent="0.25">
      <c r="B264" s="215"/>
      <c r="C264" s="218"/>
      <c r="D264" s="215"/>
      <c r="E264" s="218"/>
      <c r="F264" s="244"/>
      <c r="G264" s="215"/>
      <c r="J264" s="245"/>
      <c r="K264" s="245"/>
      <c r="L264" s="215"/>
      <c r="M264" s="215"/>
      <c r="N264" s="246"/>
      <c r="O264" s="218"/>
      <c r="P264" s="246"/>
      <c r="Q264" s="246"/>
      <c r="Y264" s="501"/>
      <c r="AW264" s="501"/>
      <c r="BI264" s="106"/>
      <c r="BJ264" s="106"/>
      <c r="BK264" s="106"/>
      <c r="BL264" s="106"/>
      <c r="BM264" s="106"/>
      <c r="BN264" s="106"/>
      <c r="BO264" s="106"/>
    </row>
    <row r="265" spans="2:67" ht="15" customHeight="1" x14ac:dyDescent="0.25">
      <c r="B265" s="221"/>
      <c r="C265" s="221"/>
      <c r="D265" s="221"/>
      <c r="E265" s="221"/>
      <c r="F265" s="212"/>
      <c r="G265" s="221"/>
      <c r="H265" s="212" t="s">
        <v>380</v>
      </c>
      <c r="J265" s="223"/>
      <c r="K265" s="215"/>
      <c r="L265" s="224">
        <f>IF(Hea04_17=AIS_statement32,0,1)</f>
        <v>1</v>
      </c>
      <c r="M265" s="215"/>
      <c r="N265" s="224">
        <f>IF(J265=AIS_Yes,L265,0)</f>
        <v>0</v>
      </c>
      <c r="O265" s="215"/>
      <c r="P265" s="400"/>
      <c r="Q265" s="400"/>
      <c r="R265" s="316"/>
      <c r="S265" s="35"/>
      <c r="T265" s="35"/>
      <c r="U265" s="35"/>
      <c r="V265" s="35"/>
      <c r="W265" s="35"/>
      <c r="Y265" s="501"/>
      <c r="AW265" s="501"/>
      <c r="BI265" s="106"/>
      <c r="BJ265" s="106"/>
      <c r="BK265" s="106"/>
      <c r="BL265" s="106"/>
      <c r="BM265" s="106"/>
      <c r="BN265" s="106"/>
      <c r="BO265" s="106"/>
    </row>
    <row r="266" spans="2:67" ht="15" customHeight="1" x14ac:dyDescent="0.25">
      <c r="B266" s="221"/>
      <c r="C266" s="221"/>
      <c r="D266" s="221"/>
      <c r="E266" s="221"/>
      <c r="F266" s="212"/>
      <c r="G266" s="221"/>
      <c r="H266" s="212" t="s">
        <v>381</v>
      </c>
      <c r="J266" s="223"/>
      <c r="K266" s="215"/>
      <c r="L266" s="224">
        <f>IF(Hea04_17=AIS_statement32,0,IF(ADPT=ADPT02,0,1))</f>
        <v>1</v>
      </c>
      <c r="M266" s="215"/>
      <c r="N266" s="224">
        <f>IF(OR(J265=AIS_No,J265=""),0,IF(Hea04_01=AIS_Yes,Hea04_04,0))</f>
        <v>0</v>
      </c>
      <c r="O266" s="215"/>
      <c r="P266" s="400"/>
      <c r="Q266" s="400"/>
      <c r="R266" s="316"/>
      <c r="S266" s="35"/>
      <c r="T266" s="35"/>
      <c r="U266" s="35"/>
      <c r="V266" s="35"/>
      <c r="W266" s="35"/>
      <c r="Y266" s="501"/>
      <c r="AW266" s="501"/>
      <c r="BI266" s="106"/>
      <c r="BJ266" s="106"/>
      <c r="BK266" s="106"/>
      <c r="BL266" s="106"/>
      <c r="BM266" s="106"/>
      <c r="BN266" s="106"/>
      <c r="BO266" s="106"/>
    </row>
    <row r="267" spans="2:67" ht="0.2" customHeight="1" x14ac:dyDescent="0.25">
      <c r="B267" s="3"/>
      <c r="C267" s="3"/>
      <c r="D267" s="3"/>
      <c r="E267" s="3"/>
      <c r="F267" s="3"/>
      <c r="G267" s="3"/>
      <c r="H267" s="3"/>
      <c r="I267" s="3"/>
      <c r="J267" s="3"/>
      <c r="K267" s="3"/>
      <c r="L267" s="3"/>
      <c r="M267" s="3"/>
      <c r="N267" s="3"/>
      <c r="O267" s="3"/>
      <c r="P267" s="3"/>
      <c r="Q267" s="3"/>
      <c r="R267" s="3"/>
      <c r="S267" s="35"/>
      <c r="T267" s="35"/>
      <c r="U267" s="35"/>
      <c r="V267" s="35"/>
      <c r="W267" s="35"/>
      <c r="Y267" s="501"/>
      <c r="AW267" s="501"/>
      <c r="BI267" s="106"/>
      <c r="BJ267" s="106"/>
      <c r="BK267" s="106"/>
      <c r="BL267" s="106"/>
      <c r="BM267" s="106"/>
      <c r="BN267" s="106"/>
      <c r="BO267" s="106"/>
    </row>
    <row r="268" spans="2:67" x14ac:dyDescent="0.25">
      <c r="B268" s="221"/>
      <c r="C268" s="221"/>
      <c r="D268" s="221"/>
      <c r="E268" s="221"/>
      <c r="F268" s="212"/>
      <c r="G268" s="221"/>
      <c r="H268" s="212" t="s">
        <v>382</v>
      </c>
      <c r="J268" s="223"/>
      <c r="K268" s="215"/>
      <c r="L268" s="224">
        <f>IF(Hea04_17=AIS_statement32,0,IF(OR(ADPT=ADPT02,ADPT=ADPT03),0,1))</f>
        <v>1</v>
      </c>
      <c r="M268" s="215"/>
      <c r="N268" s="224">
        <f>IF(OR(J265=AIS_No,J265=""),0,IF(Hea04_02=AIS_Yes,L268,0))</f>
        <v>0</v>
      </c>
      <c r="O268" s="215"/>
      <c r="P268" s="400"/>
      <c r="Q268" s="400"/>
      <c r="R268" s="211"/>
      <c r="S268" s="35"/>
      <c r="T268" s="35"/>
      <c r="U268" s="35"/>
      <c r="V268" s="35"/>
      <c r="W268" s="35"/>
      <c r="Y268" s="501"/>
      <c r="AW268" s="501"/>
      <c r="BI268" s="106"/>
      <c r="BJ268" s="106"/>
      <c r="BK268" s="106"/>
      <c r="BL268" s="106"/>
      <c r="BM268" s="106"/>
      <c r="BN268" s="106"/>
      <c r="BO268" s="106"/>
    </row>
    <row r="269" spans="2:67" x14ac:dyDescent="0.25">
      <c r="P269" s="202"/>
      <c r="Q269" s="202"/>
      <c r="R269" s="595"/>
      <c r="S269" s="595"/>
      <c r="T269" s="595"/>
      <c r="U269" s="595"/>
      <c r="V269" s="595"/>
      <c r="W269" s="595"/>
      <c r="Y269" s="501"/>
      <c r="BI269" s="106"/>
      <c r="BJ269" s="106"/>
      <c r="BK269" s="106"/>
      <c r="BL269" s="106"/>
      <c r="BM269" s="106"/>
      <c r="BN269" s="106"/>
      <c r="BO269" s="106"/>
    </row>
    <row r="270" spans="2:67" ht="28.5" customHeight="1" x14ac:dyDescent="0.25">
      <c r="B270" s="265"/>
      <c r="C270" s="215"/>
      <c r="D270" s="215"/>
      <c r="E270" s="215"/>
      <c r="F270" s="215"/>
      <c r="G270" s="215"/>
      <c r="H270" s="494" t="s">
        <v>383</v>
      </c>
      <c r="J270" s="495" t="s">
        <v>241</v>
      </c>
      <c r="K270" s="215"/>
      <c r="L270" s="249"/>
      <c r="M270" s="265"/>
      <c r="N270" s="596" t="s">
        <v>384</v>
      </c>
      <c r="O270" s="596"/>
      <c r="P270" s="596"/>
      <c r="Q270" s="265"/>
      <c r="R270" s="265"/>
      <c r="S270" s="595"/>
      <c r="T270" s="595"/>
      <c r="U270" s="595"/>
      <c r="V270" s="595"/>
      <c r="W270" s="595"/>
      <c r="Y270" s="501"/>
      <c r="AV270" s="502"/>
      <c r="AW270" s="18"/>
      <c r="AX270" s="18"/>
      <c r="AY270" s="18"/>
      <c r="AZ270" s="18"/>
      <c r="BA270" s="18"/>
      <c r="BB270" s="18"/>
      <c r="BC270" s="18"/>
      <c r="BD270" s="18"/>
      <c r="BE270" s="18"/>
      <c r="BF270" s="18"/>
      <c r="BG270" s="18"/>
      <c r="BH270" s="18"/>
      <c r="BI270" s="106"/>
      <c r="BJ270" s="106"/>
      <c r="BK270" s="106"/>
      <c r="BL270" s="106"/>
      <c r="BM270" s="106"/>
      <c r="BN270" s="106"/>
      <c r="BO270" s="106"/>
    </row>
    <row r="271" spans="2:67" ht="3" customHeight="1" x14ac:dyDescent="0.25">
      <c r="B271" s="266"/>
      <c r="C271" s="215"/>
      <c r="D271" s="215"/>
      <c r="E271" s="215"/>
      <c r="F271" s="215"/>
      <c r="G271" s="215"/>
      <c r="K271" s="215"/>
      <c r="L271" s="249"/>
      <c r="M271" s="215"/>
      <c r="O271" s="215"/>
      <c r="P271" s="215"/>
      <c r="Q271" s="215"/>
      <c r="R271" s="595"/>
      <c r="S271" s="595"/>
      <c r="T271" s="595"/>
      <c r="U271" s="595"/>
      <c r="V271" s="595"/>
      <c r="W271" s="595"/>
      <c r="Y271" s="501"/>
      <c r="AV271" s="502"/>
      <c r="AW271" s="18"/>
      <c r="AX271" s="18"/>
      <c r="AY271" s="18"/>
      <c r="AZ271" s="18"/>
      <c r="BA271" s="18"/>
      <c r="BB271" s="18"/>
      <c r="BC271" s="18"/>
      <c r="BD271" s="18"/>
      <c r="BE271" s="18"/>
      <c r="BF271" s="18"/>
      <c r="BG271" s="18"/>
      <c r="BH271" s="18"/>
      <c r="BI271" s="106"/>
      <c r="BJ271" s="106"/>
      <c r="BK271" s="106"/>
      <c r="BL271" s="106"/>
      <c r="BM271" s="106"/>
      <c r="BN271" s="106"/>
      <c r="BO271" s="106"/>
    </row>
    <row r="272" spans="2:67" ht="15.75" customHeight="1" x14ac:dyDescent="0.25">
      <c r="B272" s="221"/>
      <c r="C272" s="221"/>
      <c r="D272" s="221"/>
      <c r="E272" s="221"/>
      <c r="F272" s="222"/>
      <c r="G272" s="221"/>
      <c r="H272" s="212" t="s">
        <v>242</v>
      </c>
      <c r="I272" s="215"/>
      <c r="J272" s="498"/>
      <c r="K272" s="215"/>
      <c r="L272" s="209"/>
      <c r="M272" s="215"/>
      <c r="N272" s="289"/>
      <c r="O272" s="215"/>
      <c r="P272" s="3"/>
      <c r="Q272" s="3"/>
      <c r="R272" s="733" t="str">
        <f>IF(OR(Hea04_03=AIS_Yes,Hea04_01=AIS_Yes),AIS_statement17,"")</f>
        <v/>
      </c>
      <c r="S272" s="733"/>
      <c r="T272" s="733"/>
      <c r="U272" s="733"/>
      <c r="V272" s="733"/>
      <c r="W272" s="733"/>
      <c r="Y272" s="501"/>
      <c r="AV272" s="502"/>
      <c r="AW272" s="18"/>
      <c r="AX272" s="18"/>
      <c r="AY272" s="18"/>
      <c r="AZ272" s="18"/>
      <c r="BA272" s="18"/>
      <c r="BB272" s="18"/>
      <c r="BC272" s="18"/>
      <c r="BD272" s="18"/>
      <c r="BE272" s="18"/>
      <c r="BF272" s="18"/>
      <c r="BG272" s="18"/>
      <c r="BH272" s="18"/>
      <c r="BI272" s="106"/>
      <c r="BJ272" s="106"/>
      <c r="BK272" s="106"/>
      <c r="BL272" s="106"/>
      <c r="BM272" s="106"/>
      <c r="BN272" s="106"/>
      <c r="BO272" s="106"/>
    </row>
    <row r="273" spans="2:67" x14ac:dyDescent="0.25">
      <c r="B273" s="221"/>
      <c r="C273" s="221"/>
      <c r="D273" s="221"/>
      <c r="E273" s="221"/>
      <c r="F273" s="222"/>
      <c r="G273" s="221"/>
      <c r="H273" s="212" t="s">
        <v>244</v>
      </c>
      <c r="I273" s="215"/>
      <c r="J273" s="277"/>
      <c r="K273" s="215"/>
      <c r="L273" s="209"/>
      <c r="M273" s="215"/>
      <c r="N273" s="496"/>
      <c r="O273" s="215"/>
      <c r="P273" s="595"/>
      <c r="Q273" s="595"/>
      <c r="R273" s="733"/>
      <c r="S273" s="733"/>
      <c r="T273" s="733"/>
      <c r="U273" s="733"/>
      <c r="V273" s="733"/>
      <c r="W273" s="733"/>
      <c r="Y273" s="501"/>
      <c r="AV273" s="502"/>
      <c r="AW273" s="18"/>
      <c r="AX273" s="18"/>
      <c r="AY273" s="18"/>
      <c r="AZ273" s="18"/>
      <c r="BA273" s="18"/>
      <c r="BB273" s="18"/>
      <c r="BC273" s="18"/>
      <c r="BD273" s="18"/>
      <c r="BE273" s="18"/>
      <c r="BF273" s="18"/>
      <c r="BG273" s="18"/>
      <c r="BH273" s="18"/>
      <c r="BI273" s="106"/>
      <c r="BJ273" s="106"/>
      <c r="BK273" s="106"/>
      <c r="BL273" s="106"/>
      <c r="BM273" s="106"/>
      <c r="BN273" s="106"/>
      <c r="BO273" s="106"/>
    </row>
    <row r="274" spans="2:67" x14ac:dyDescent="0.25">
      <c r="B274" s="215"/>
      <c r="C274" s="215"/>
      <c r="D274" s="215"/>
      <c r="E274" s="215"/>
      <c r="F274" s="215"/>
      <c r="G274" s="215"/>
      <c r="H274" s="215"/>
      <c r="I274" s="215"/>
      <c r="J274" s="215"/>
      <c r="K274" s="215"/>
      <c r="L274" s="215"/>
      <c r="M274" s="215"/>
      <c r="N274" s="215"/>
      <c r="O274" s="215"/>
      <c r="P274" s="215"/>
      <c r="Q274" s="215"/>
      <c r="R274" s="595"/>
      <c r="S274" s="595"/>
      <c r="T274" s="595"/>
      <c r="U274" s="595"/>
      <c r="V274" s="595"/>
      <c r="W274" s="595"/>
      <c r="Y274" s="501"/>
      <c r="AV274" s="502"/>
      <c r="AW274" s="18"/>
      <c r="AX274" s="18"/>
      <c r="AY274" s="18"/>
      <c r="AZ274" s="18"/>
      <c r="BA274" s="18"/>
      <c r="BB274" s="18"/>
      <c r="BC274" s="18"/>
      <c r="BD274" s="18"/>
      <c r="BE274" s="18"/>
      <c r="BF274" s="18"/>
      <c r="BG274" s="18"/>
      <c r="BH274" s="18"/>
      <c r="BI274" s="106"/>
      <c r="BJ274" s="106"/>
      <c r="BK274" s="106"/>
      <c r="BL274" s="106"/>
      <c r="BM274" s="106"/>
      <c r="BN274" s="106"/>
      <c r="BO274" s="106"/>
    </row>
    <row r="275" spans="2:67" x14ac:dyDescent="0.25">
      <c r="B275" s="221"/>
      <c r="C275" s="222"/>
      <c r="D275" s="222"/>
      <c r="E275" s="221"/>
      <c r="F275" s="212" t="s">
        <v>296</v>
      </c>
      <c r="G275" s="215"/>
      <c r="H275" s="216">
        <f>IF(Hea04_17=AIS_statement32,AIS_NA,SUM(N265:N268))</f>
        <v>0</v>
      </c>
      <c r="J275" s="203"/>
      <c r="K275" s="215"/>
      <c r="M275" s="215"/>
      <c r="O275" s="215"/>
      <c r="P275" s="215"/>
      <c r="Q275" s="215"/>
      <c r="R275" s="595"/>
      <c r="S275" s="595"/>
      <c r="T275" s="595"/>
      <c r="U275" s="595"/>
      <c r="V275" s="595"/>
      <c r="W275" s="595"/>
      <c r="Y275" s="501"/>
      <c r="BI275" s="106"/>
      <c r="BJ275" s="106"/>
      <c r="BK275" s="106"/>
      <c r="BL275" s="106"/>
      <c r="BM275" s="106"/>
      <c r="BN275" s="106"/>
      <c r="BO275" s="106"/>
    </row>
    <row r="276" spans="2:67" ht="3" customHeight="1" x14ac:dyDescent="0.25">
      <c r="B276" s="215"/>
      <c r="E276" s="215"/>
      <c r="F276" s="225"/>
      <c r="G276" s="215"/>
      <c r="H276" s="252"/>
      <c r="J276" s="203"/>
      <c r="K276" s="215"/>
      <c r="M276" s="215"/>
      <c r="N276" s="215"/>
      <c r="O276" s="215"/>
      <c r="P276" s="215"/>
      <c r="Q276" s="215"/>
      <c r="R276" s="595"/>
      <c r="S276" s="595"/>
      <c r="T276" s="595"/>
      <c r="U276" s="595"/>
      <c r="V276" s="595"/>
      <c r="W276" s="595"/>
      <c r="Y276" s="501"/>
      <c r="BI276" s="106"/>
      <c r="BJ276" s="106"/>
      <c r="BK276" s="106"/>
      <c r="BL276" s="106"/>
      <c r="BM276" s="106"/>
      <c r="BN276" s="106"/>
      <c r="BO276" s="106"/>
    </row>
    <row r="277" spans="2:67" x14ac:dyDescent="0.25">
      <c r="B277" s="221"/>
      <c r="C277" s="222"/>
      <c r="D277" s="222"/>
      <c r="E277" s="221"/>
      <c r="F277" s="212" t="s">
        <v>297</v>
      </c>
      <c r="G277" s="215"/>
      <c r="H277" s="217">
        <f>IF(Hea04_17=AIS_statement32,AIS_NA,(Hea04_12/Hea04_credits)*Hea04_tot)</f>
        <v>0</v>
      </c>
      <c r="J277" s="203"/>
      <c r="K277" s="215"/>
      <c r="M277" s="215"/>
      <c r="N277" s="215"/>
      <c r="O277" s="215"/>
      <c r="P277" s="215"/>
      <c r="Q277" s="215"/>
      <c r="R277" s="595"/>
      <c r="S277" s="595"/>
      <c r="T277" s="595"/>
      <c r="U277" s="595"/>
      <c r="V277" s="595"/>
      <c r="W277" s="595"/>
      <c r="Y277" s="501"/>
      <c r="BI277" s="106"/>
      <c r="BJ277" s="106"/>
      <c r="BK277" s="106"/>
      <c r="BL277" s="106"/>
      <c r="BM277" s="106"/>
      <c r="BN277" s="106"/>
      <c r="BO277" s="106"/>
    </row>
    <row r="278" spans="2:67" ht="3" customHeight="1" x14ac:dyDescent="0.25">
      <c r="K278" s="215"/>
      <c r="M278" s="215"/>
      <c r="N278" s="215"/>
      <c r="O278" s="215"/>
      <c r="P278" s="215"/>
      <c r="Q278" s="215"/>
      <c r="Y278" s="501"/>
      <c r="BI278" s="106"/>
      <c r="BJ278" s="106"/>
      <c r="BK278" s="106"/>
      <c r="BL278" s="106"/>
      <c r="BM278" s="106"/>
      <c r="BN278" s="106"/>
      <c r="BO278" s="106"/>
    </row>
    <row r="279" spans="2:67" x14ac:dyDescent="0.25">
      <c r="B279" s="221"/>
      <c r="C279" s="222"/>
      <c r="D279" s="222"/>
      <c r="E279" s="221"/>
      <c r="F279" s="212" t="s">
        <v>298</v>
      </c>
      <c r="H279" s="216" t="s">
        <v>300</v>
      </c>
      <c r="K279" s="215"/>
      <c r="M279" s="215"/>
      <c r="N279" s="215"/>
      <c r="O279" s="215"/>
      <c r="P279" s="215"/>
      <c r="Q279" s="215"/>
      <c r="Y279" s="501"/>
      <c r="BI279" s="106"/>
      <c r="BJ279" s="106"/>
      <c r="BK279" s="106"/>
      <c r="BL279" s="106"/>
      <c r="BM279" s="106"/>
      <c r="BN279" s="106"/>
      <c r="BO279" s="106"/>
    </row>
    <row r="280" spans="2:67" ht="3" customHeight="1" x14ac:dyDescent="0.25">
      <c r="K280" s="215"/>
      <c r="M280" s="215"/>
      <c r="N280" s="215"/>
      <c r="O280" s="215"/>
      <c r="P280" s="215"/>
      <c r="Q280" s="215"/>
      <c r="Y280" s="501"/>
      <c r="BI280" s="106"/>
      <c r="BJ280" s="106"/>
      <c r="BK280" s="106"/>
      <c r="BL280" s="106"/>
      <c r="BM280" s="106"/>
      <c r="BN280" s="106"/>
      <c r="BO280" s="106"/>
    </row>
    <row r="281" spans="2:67" x14ac:dyDescent="0.25">
      <c r="B281" s="221"/>
      <c r="C281" s="222"/>
      <c r="D281" s="221"/>
      <c r="E281" s="221"/>
      <c r="F281" s="212" t="s">
        <v>299</v>
      </c>
      <c r="H281" s="216" t="s">
        <v>300</v>
      </c>
      <c r="I281" s="215"/>
      <c r="J281" s="215"/>
      <c r="K281" s="215"/>
      <c r="L281" s="215"/>
      <c r="M281" s="215"/>
      <c r="N281" s="215"/>
      <c r="O281" s="215"/>
      <c r="P281" s="215"/>
      <c r="Q281" s="215"/>
      <c r="Y281" s="501"/>
      <c r="BI281" s="106"/>
      <c r="BJ281" s="106"/>
      <c r="BK281" s="106"/>
      <c r="BL281" s="106"/>
      <c r="BM281" s="106"/>
      <c r="BN281" s="106"/>
      <c r="BO281" s="106"/>
    </row>
    <row r="282" spans="2:67" x14ac:dyDescent="0.25">
      <c r="M282" s="215"/>
      <c r="N282" s="215"/>
      <c r="O282" s="215"/>
      <c r="P282" s="215"/>
      <c r="Q282" s="215"/>
      <c r="Y282" s="501"/>
      <c r="BI282" s="106"/>
      <c r="BJ282" s="106"/>
      <c r="BK282" s="106"/>
      <c r="BL282" s="106"/>
      <c r="BM282" s="106"/>
      <c r="BN282" s="106"/>
      <c r="BO282" s="106"/>
    </row>
    <row r="283" spans="2:67" x14ac:dyDescent="0.25">
      <c r="B283" s="257" t="s">
        <v>301</v>
      </c>
      <c r="C283" s="215"/>
      <c r="D283" s="215"/>
      <c r="E283" s="215"/>
      <c r="F283" s="225"/>
      <c r="G283" s="215"/>
      <c r="H283" s="215"/>
      <c r="I283" s="215"/>
      <c r="J283" s="215"/>
      <c r="K283" s="215"/>
      <c r="L283" s="215"/>
      <c r="M283" s="215"/>
      <c r="N283" s="215"/>
      <c r="O283" s="215"/>
      <c r="P283" s="215"/>
      <c r="Q283" s="215"/>
      <c r="Y283" s="501"/>
      <c r="BI283" s="106"/>
      <c r="BJ283" s="106"/>
      <c r="BK283" s="106"/>
      <c r="BL283" s="106"/>
      <c r="BM283" s="106"/>
      <c r="BN283" s="106"/>
      <c r="BO283" s="106"/>
    </row>
    <row r="284" spans="2:67" ht="159.94999999999999" customHeight="1" x14ac:dyDescent="0.25">
      <c r="B284" s="736"/>
      <c r="C284" s="737"/>
      <c r="D284" s="737"/>
      <c r="E284" s="737"/>
      <c r="F284" s="737"/>
      <c r="G284" s="737"/>
      <c r="H284" s="737"/>
      <c r="I284" s="737"/>
      <c r="J284" s="737"/>
      <c r="K284" s="737"/>
      <c r="L284" s="737"/>
      <c r="M284" s="737"/>
      <c r="N284" s="737"/>
      <c r="O284" s="737"/>
      <c r="P284" s="738"/>
      <c r="Q284" s="416"/>
      <c r="Y284" s="501"/>
      <c r="BI284" s="106"/>
      <c r="BJ284" s="106"/>
      <c r="BK284" s="106"/>
      <c r="BL284" s="106"/>
      <c r="BM284" s="106"/>
      <c r="BN284" s="106"/>
      <c r="BO284" s="106"/>
    </row>
    <row r="285" spans="2:67" ht="36" customHeight="1" x14ac:dyDescent="0.25">
      <c r="B285" s="24" t="s">
        <v>385</v>
      </c>
      <c r="C285" s="13"/>
      <c r="D285" s="236"/>
      <c r="E285" s="237"/>
      <c r="F285" s="237"/>
      <c r="G285" s="237"/>
      <c r="H285" s="237"/>
      <c r="I285" s="237"/>
      <c r="J285" s="237"/>
      <c r="K285" s="237"/>
      <c r="L285" s="237"/>
      <c r="M285" s="237"/>
      <c r="N285" s="237"/>
      <c r="O285" s="237"/>
      <c r="P285" s="237"/>
      <c r="Q285" s="215"/>
      <c r="Y285" s="501"/>
      <c r="BI285" s="106"/>
      <c r="BJ285" s="106"/>
      <c r="BK285" s="106"/>
      <c r="BL285" s="106"/>
      <c r="BM285" s="106"/>
      <c r="BN285" s="106"/>
      <c r="BO285" s="106"/>
    </row>
    <row r="286" spans="2:67" x14ac:dyDescent="0.25">
      <c r="B286" s="215"/>
      <c r="C286" s="215"/>
      <c r="D286" s="215"/>
      <c r="E286" s="215"/>
      <c r="F286" s="215"/>
      <c r="G286" s="215"/>
      <c r="H286" s="215"/>
      <c r="I286" s="215"/>
      <c r="J286" s="215"/>
      <c r="K286" s="215"/>
      <c r="L286" s="215"/>
      <c r="M286" s="215"/>
      <c r="N286" s="215"/>
      <c r="O286" s="215"/>
      <c r="P286" s="215"/>
      <c r="Q286" s="215"/>
      <c r="Y286" s="501"/>
      <c r="BI286" s="106"/>
      <c r="BJ286" s="106"/>
      <c r="BK286" s="106"/>
      <c r="BL286" s="106"/>
      <c r="BM286" s="106"/>
      <c r="BN286" s="106"/>
      <c r="BO286" s="106"/>
    </row>
    <row r="287" spans="2:67" x14ac:dyDescent="0.25">
      <c r="B287" s="222"/>
      <c r="C287" s="222"/>
      <c r="D287" s="221"/>
      <c r="E287" s="221"/>
      <c r="F287" s="212" t="s">
        <v>284</v>
      </c>
      <c r="G287" s="215"/>
      <c r="H287" s="216">
        <f>L291</f>
        <v>4</v>
      </c>
      <c r="J287" s="222"/>
      <c r="K287" s="222"/>
      <c r="L287" s="222"/>
      <c r="M287" s="222"/>
      <c r="N287" s="212" t="s">
        <v>285</v>
      </c>
      <c r="P287" s="217">
        <f>(BP_33/BP_02)*Hea05_credits</f>
        <v>0</v>
      </c>
      <c r="Q287" s="217"/>
      <c r="Y287" s="501"/>
      <c r="BI287" s="106"/>
      <c r="BJ287" s="106"/>
      <c r="BK287" s="106"/>
      <c r="BL287" s="106"/>
      <c r="BM287" s="106"/>
      <c r="BN287" s="106"/>
      <c r="BO287" s="106"/>
    </row>
    <row r="288" spans="2:67" ht="3.75" customHeight="1" x14ac:dyDescent="0.25">
      <c r="Y288" s="501"/>
      <c r="BI288" s="106"/>
      <c r="BJ288" s="106"/>
      <c r="BK288" s="106"/>
      <c r="BL288" s="106"/>
      <c r="BM288" s="106"/>
      <c r="BN288" s="106"/>
      <c r="BO288" s="106"/>
    </row>
    <row r="289" spans="2:67" x14ac:dyDescent="0.25">
      <c r="B289" s="222"/>
      <c r="C289" s="222"/>
      <c r="D289" s="221"/>
      <c r="E289" s="221"/>
      <c r="F289" s="212" t="s">
        <v>286</v>
      </c>
      <c r="G289" s="215"/>
      <c r="H289" s="216">
        <v>0</v>
      </c>
      <c r="J289" s="221"/>
      <c r="K289" s="221"/>
      <c r="L289" s="221"/>
      <c r="M289" s="221"/>
      <c r="N289" s="212" t="s">
        <v>287</v>
      </c>
      <c r="O289" s="215"/>
      <c r="P289" s="216" t="s">
        <v>125</v>
      </c>
      <c r="Q289" s="216"/>
      <c r="Y289" s="501"/>
      <c r="BI289" s="106"/>
      <c r="BJ289" s="106"/>
      <c r="BK289" s="106"/>
      <c r="BL289" s="106"/>
      <c r="BM289" s="106"/>
      <c r="BN289" s="106"/>
      <c r="BO289" s="106"/>
    </row>
    <row r="290" spans="2:67" ht="47.25" customHeight="1" x14ac:dyDescent="0.25">
      <c r="B290" s="23" t="s">
        <v>288</v>
      </c>
      <c r="C290" s="218"/>
      <c r="D290" s="215"/>
      <c r="E290" s="218"/>
      <c r="F290" s="255"/>
      <c r="J290" s="219" t="s">
        <v>386</v>
      </c>
      <c r="K290" s="219"/>
      <c r="L290" s="220" t="s">
        <v>290</v>
      </c>
      <c r="M290" s="23"/>
      <c r="N290" s="220" t="s">
        <v>291</v>
      </c>
      <c r="O290" s="23"/>
      <c r="P290" s="220"/>
      <c r="Q290" s="220"/>
      <c r="R290" s="744"/>
      <c r="S290" s="744"/>
      <c r="T290" s="744"/>
      <c r="U290" s="744"/>
      <c r="V290" s="744"/>
      <c r="W290" s="744"/>
      <c r="X290" s="744"/>
      <c r="Y290" s="501"/>
      <c r="BI290" s="106"/>
      <c r="BJ290" s="106"/>
      <c r="BK290" s="106"/>
      <c r="BL290" s="106"/>
      <c r="BM290" s="106"/>
      <c r="BN290" s="106"/>
      <c r="BO290" s="106"/>
    </row>
    <row r="291" spans="2:67" x14ac:dyDescent="0.25">
      <c r="B291" s="221"/>
      <c r="C291" s="221"/>
      <c r="D291" s="221"/>
      <c r="E291" s="221"/>
      <c r="F291" s="212"/>
      <c r="G291" s="221"/>
      <c r="H291" s="212" t="s">
        <v>387</v>
      </c>
      <c r="J291" s="223">
        <v>2</v>
      </c>
      <c r="K291" s="215"/>
      <c r="L291" s="224">
        <v>4</v>
      </c>
      <c r="M291" s="215"/>
      <c r="N291" s="224">
        <f>IF(J291&gt;L291,AIS_Error,J291)</f>
        <v>2</v>
      </c>
      <c r="O291" s="215"/>
      <c r="P291" s="252"/>
      <c r="Q291" s="252"/>
      <c r="Y291" s="501"/>
      <c r="BI291" s="106"/>
      <c r="BJ291" s="106"/>
      <c r="BK291" s="106"/>
      <c r="BL291" s="106"/>
      <c r="BM291" s="106"/>
      <c r="BN291" s="106"/>
      <c r="BO291" s="106"/>
    </row>
    <row r="292" spans="2:67" ht="3" customHeight="1" x14ac:dyDescent="0.25">
      <c r="B292" s="215"/>
      <c r="C292" s="218"/>
      <c r="D292" s="215"/>
      <c r="E292" s="218"/>
      <c r="F292" s="244"/>
      <c r="G292" s="215"/>
      <c r="J292" s="245"/>
      <c r="K292" s="245"/>
      <c r="L292" s="215"/>
      <c r="M292" s="215"/>
      <c r="N292" s="246"/>
      <c r="O292" s="218"/>
      <c r="P292" s="246"/>
      <c r="Q292" s="246"/>
      <c r="Y292" s="501"/>
      <c r="BI292" s="106"/>
      <c r="BJ292" s="106"/>
      <c r="BK292" s="106"/>
      <c r="BL292" s="106"/>
      <c r="BM292" s="106"/>
      <c r="BN292" s="106"/>
      <c r="BO292" s="106"/>
    </row>
    <row r="293" spans="2:67" x14ac:dyDescent="0.25">
      <c r="O293" s="269"/>
      <c r="Y293" s="501"/>
      <c r="BI293" s="106"/>
      <c r="BJ293" s="106"/>
      <c r="BK293" s="106"/>
      <c r="BL293" s="106"/>
      <c r="BM293" s="106"/>
      <c r="BN293" s="106"/>
      <c r="BO293" s="106"/>
    </row>
    <row r="294" spans="2:67" x14ac:dyDescent="0.25">
      <c r="B294" s="221"/>
      <c r="C294" s="222"/>
      <c r="D294" s="222"/>
      <c r="E294" s="221"/>
      <c r="F294" s="212" t="s">
        <v>296</v>
      </c>
      <c r="G294" s="215"/>
      <c r="H294" s="216">
        <f>N291</f>
        <v>2</v>
      </c>
      <c r="J294" s="203"/>
      <c r="K294" s="215"/>
      <c r="M294" s="215"/>
      <c r="N294" s="215"/>
      <c r="O294" s="215"/>
      <c r="P294" s="215"/>
      <c r="Q294" s="215"/>
      <c r="Y294" s="501"/>
      <c r="BI294" s="106"/>
      <c r="BJ294" s="106"/>
      <c r="BK294" s="106"/>
      <c r="BL294" s="106"/>
      <c r="BM294" s="106"/>
      <c r="BN294" s="106"/>
      <c r="BO294" s="106"/>
    </row>
    <row r="295" spans="2:67" ht="3" customHeight="1" x14ac:dyDescent="0.25">
      <c r="B295" s="215"/>
      <c r="E295" s="215"/>
      <c r="F295" s="225"/>
      <c r="G295" s="215"/>
      <c r="H295" s="252"/>
      <c r="J295" s="203"/>
      <c r="K295" s="215"/>
      <c r="M295" s="215"/>
      <c r="N295" s="215"/>
      <c r="O295" s="215"/>
      <c r="P295" s="215"/>
      <c r="Q295" s="215"/>
      <c r="Y295" s="501"/>
      <c r="BI295" s="106"/>
      <c r="BJ295" s="106"/>
      <c r="BK295" s="106"/>
      <c r="BL295" s="106"/>
      <c r="BM295" s="106"/>
      <c r="BN295" s="106"/>
      <c r="BO295" s="106"/>
    </row>
    <row r="296" spans="2:67" x14ac:dyDescent="0.25">
      <c r="B296" s="221"/>
      <c r="C296" s="222"/>
      <c r="D296" s="222"/>
      <c r="E296" s="221"/>
      <c r="F296" s="212" t="s">
        <v>297</v>
      </c>
      <c r="G296" s="215"/>
      <c r="H296" s="217">
        <f>(Hea05_07/Hea05_credits)*Hea05_tot</f>
        <v>0</v>
      </c>
      <c r="J296" s="203"/>
      <c r="K296" s="215"/>
      <c r="M296" s="215"/>
      <c r="N296" s="215"/>
      <c r="O296" s="215"/>
      <c r="P296" s="215"/>
      <c r="Q296" s="215"/>
      <c r="Y296" s="501"/>
      <c r="BI296" s="106"/>
      <c r="BJ296" s="106"/>
      <c r="BK296" s="106"/>
      <c r="BL296" s="106"/>
      <c r="BM296" s="106"/>
      <c r="BN296" s="106"/>
      <c r="BO296" s="106"/>
    </row>
    <row r="297" spans="2:67" ht="3" customHeight="1" x14ac:dyDescent="0.25">
      <c r="K297" s="215"/>
      <c r="M297" s="215"/>
      <c r="N297" s="215"/>
      <c r="O297" s="215"/>
      <c r="P297" s="215"/>
      <c r="Q297" s="215"/>
      <c r="Y297" s="501"/>
      <c r="BI297" s="106"/>
      <c r="BJ297" s="106"/>
      <c r="BK297" s="106"/>
      <c r="BL297" s="106"/>
      <c r="BM297" s="106"/>
      <c r="BN297" s="106"/>
      <c r="BO297" s="106"/>
    </row>
    <row r="298" spans="2:67" x14ac:dyDescent="0.25">
      <c r="B298" s="221"/>
      <c r="C298" s="222"/>
      <c r="D298" s="222"/>
      <c r="E298" s="221"/>
      <c r="F298" s="212" t="s">
        <v>298</v>
      </c>
      <c r="H298" s="216" t="s">
        <v>300</v>
      </c>
      <c r="K298" s="215"/>
      <c r="M298" s="215"/>
      <c r="N298" s="215"/>
      <c r="O298" s="215"/>
      <c r="P298" s="215"/>
      <c r="Q298" s="215"/>
      <c r="Y298" s="501"/>
      <c r="BI298" s="106"/>
      <c r="BJ298" s="106"/>
      <c r="BK298" s="106"/>
      <c r="BL298" s="106"/>
      <c r="BM298" s="106"/>
      <c r="BN298" s="106"/>
      <c r="BO298" s="106"/>
    </row>
    <row r="299" spans="2:67" ht="3" customHeight="1" x14ac:dyDescent="0.25">
      <c r="K299" s="215"/>
      <c r="M299" s="215"/>
      <c r="N299" s="215"/>
      <c r="O299" s="215"/>
      <c r="P299" s="215"/>
      <c r="Q299" s="215"/>
      <c r="Y299" s="501"/>
      <c r="BI299" s="106"/>
      <c r="BJ299" s="106"/>
      <c r="BK299" s="106"/>
      <c r="BL299" s="106"/>
      <c r="BM299" s="106"/>
      <c r="BN299" s="106"/>
      <c r="BO299" s="106"/>
    </row>
    <row r="300" spans="2:67" x14ac:dyDescent="0.25">
      <c r="B300" s="221"/>
      <c r="C300" s="222"/>
      <c r="D300" s="221"/>
      <c r="E300" s="221"/>
      <c r="F300" s="212" t="s">
        <v>299</v>
      </c>
      <c r="H300" s="216" t="s">
        <v>300</v>
      </c>
      <c r="K300" s="215"/>
      <c r="M300" s="215"/>
      <c r="N300" s="215"/>
      <c r="O300" s="215"/>
      <c r="P300" s="215"/>
      <c r="Q300" s="215"/>
      <c r="Y300" s="501"/>
      <c r="BI300" s="106"/>
      <c r="BJ300" s="106"/>
      <c r="BK300" s="106"/>
      <c r="BL300" s="106"/>
      <c r="BM300" s="106"/>
      <c r="BN300" s="106"/>
      <c r="BO300" s="106"/>
    </row>
    <row r="301" spans="2:67" x14ac:dyDescent="0.25">
      <c r="M301" s="215"/>
      <c r="N301" s="215"/>
      <c r="O301" s="215"/>
      <c r="P301" s="215"/>
      <c r="Q301" s="215"/>
      <c r="Y301" s="501"/>
      <c r="BI301" s="106"/>
      <c r="BJ301" s="106"/>
      <c r="BK301" s="106"/>
      <c r="BL301" s="106"/>
      <c r="BM301" s="106"/>
      <c r="BN301" s="106"/>
      <c r="BO301" s="106"/>
    </row>
    <row r="302" spans="2:67" x14ac:dyDescent="0.25">
      <c r="B302" s="257" t="s">
        <v>301</v>
      </c>
      <c r="C302" s="215"/>
      <c r="D302" s="215"/>
      <c r="E302" s="215"/>
      <c r="F302" s="225"/>
      <c r="G302" s="215"/>
      <c r="H302" s="215"/>
      <c r="I302" s="215"/>
      <c r="J302" s="215"/>
      <c r="K302" s="215"/>
      <c r="L302" s="215"/>
      <c r="M302" s="215"/>
      <c r="N302" s="215"/>
      <c r="O302" s="215"/>
      <c r="P302" s="215"/>
      <c r="Q302" s="215"/>
      <c r="Y302" s="501"/>
      <c r="BI302" s="106"/>
      <c r="BJ302" s="106"/>
      <c r="BK302" s="106"/>
      <c r="BL302" s="106"/>
      <c r="BM302" s="106"/>
      <c r="BN302" s="106"/>
      <c r="BO302" s="106"/>
    </row>
    <row r="303" spans="2:67" ht="159.94999999999999" customHeight="1" x14ac:dyDescent="0.25">
      <c r="B303" s="736"/>
      <c r="C303" s="737"/>
      <c r="D303" s="737"/>
      <c r="E303" s="737"/>
      <c r="F303" s="737"/>
      <c r="G303" s="737"/>
      <c r="H303" s="737"/>
      <c r="I303" s="737"/>
      <c r="J303" s="737"/>
      <c r="K303" s="737"/>
      <c r="L303" s="737"/>
      <c r="M303" s="737"/>
      <c r="N303" s="737"/>
      <c r="O303" s="737"/>
      <c r="P303" s="738"/>
      <c r="Q303" s="416"/>
      <c r="Y303" s="501"/>
      <c r="BI303" s="106"/>
      <c r="BJ303" s="106"/>
      <c r="BK303" s="106"/>
      <c r="BL303" s="106"/>
      <c r="BM303" s="106"/>
      <c r="BN303" s="106"/>
      <c r="BO303" s="106"/>
    </row>
    <row r="304" spans="2:67" ht="36" customHeight="1" x14ac:dyDescent="0.25">
      <c r="B304" s="24" t="s">
        <v>388</v>
      </c>
      <c r="C304" s="13"/>
      <c r="D304" s="236"/>
      <c r="E304" s="237"/>
      <c r="F304" s="237"/>
      <c r="G304" s="237"/>
      <c r="H304" s="237"/>
      <c r="I304" s="237"/>
      <c r="J304" s="237"/>
      <c r="K304" s="237"/>
      <c r="L304" s="237"/>
      <c r="M304" s="237"/>
      <c r="N304" s="237"/>
      <c r="O304" s="237"/>
      <c r="P304" s="237"/>
      <c r="Q304" s="215"/>
      <c r="Y304" s="501"/>
      <c r="BI304" s="106"/>
      <c r="BJ304" s="106"/>
      <c r="BK304" s="106"/>
      <c r="BL304" s="106"/>
      <c r="BM304" s="106"/>
      <c r="BN304" s="106"/>
      <c r="BO304" s="106"/>
    </row>
    <row r="305" spans="2:67" x14ac:dyDescent="0.25">
      <c r="B305" s="215"/>
      <c r="C305" s="215"/>
      <c r="D305" s="215"/>
      <c r="E305" s="215"/>
      <c r="F305" s="215"/>
      <c r="G305" s="215"/>
      <c r="H305" s="215"/>
      <c r="I305" s="215"/>
      <c r="J305" s="215"/>
      <c r="K305" s="215"/>
      <c r="L305" s="215"/>
      <c r="M305" s="215"/>
      <c r="N305" s="215"/>
      <c r="O305" s="215"/>
      <c r="P305" s="215"/>
      <c r="Q305" s="215"/>
      <c r="Y305" s="501"/>
      <c r="BI305" s="106"/>
      <c r="BJ305" s="106"/>
      <c r="BK305" s="106"/>
      <c r="BL305" s="106"/>
      <c r="BM305" s="106"/>
      <c r="BN305" s="106"/>
      <c r="BO305" s="106"/>
    </row>
    <row r="306" spans="2:67" x14ac:dyDescent="0.25">
      <c r="B306" s="222"/>
      <c r="C306" s="222"/>
      <c r="D306" s="221"/>
      <c r="E306" s="221"/>
      <c r="F306" s="212" t="s">
        <v>284</v>
      </c>
      <c r="G306" s="215"/>
      <c r="H306" s="216">
        <f>Hea06_03+Hea06_04</f>
        <v>2</v>
      </c>
      <c r="J306" s="222"/>
      <c r="K306" s="222"/>
      <c r="L306" s="222"/>
      <c r="M306" s="222"/>
      <c r="N306" s="212" t="s">
        <v>285</v>
      </c>
      <c r="P306" s="217">
        <f>(BP_33/BP_02)*Hea06_credits</f>
        <v>0</v>
      </c>
      <c r="Q306" s="217"/>
      <c r="Y306" s="501"/>
      <c r="BI306" s="106"/>
      <c r="BJ306" s="106"/>
      <c r="BK306" s="106"/>
      <c r="BL306" s="106"/>
      <c r="BM306" s="106"/>
      <c r="BN306" s="106"/>
      <c r="BO306" s="106"/>
    </row>
    <row r="307" spans="2:67" ht="3.75" customHeight="1" x14ac:dyDescent="0.25">
      <c r="Y307" s="501"/>
      <c r="BI307" s="106"/>
      <c r="BJ307" s="106"/>
      <c r="BK307" s="106"/>
      <c r="BL307" s="106"/>
      <c r="BM307" s="106"/>
      <c r="BN307" s="106"/>
      <c r="BO307" s="106"/>
    </row>
    <row r="308" spans="2:67" x14ac:dyDescent="0.25">
      <c r="B308" s="222"/>
      <c r="C308" s="222"/>
      <c r="D308" s="221"/>
      <c r="E308" s="221"/>
      <c r="F308" s="212" t="s">
        <v>286</v>
      </c>
      <c r="G308" s="215"/>
      <c r="H308" s="216">
        <v>0</v>
      </c>
      <c r="J308" s="221"/>
      <c r="K308" s="221"/>
      <c r="L308" s="221"/>
      <c r="M308" s="221"/>
      <c r="N308" s="212" t="s">
        <v>287</v>
      </c>
      <c r="O308" s="215"/>
      <c r="P308" s="216" t="s">
        <v>125</v>
      </c>
      <c r="Q308" s="216"/>
      <c r="Y308" s="501"/>
      <c r="BI308" s="106"/>
      <c r="BJ308" s="106"/>
      <c r="BK308" s="106"/>
      <c r="BL308" s="106"/>
      <c r="BM308" s="106"/>
      <c r="BN308" s="106"/>
      <c r="BO308" s="106"/>
    </row>
    <row r="309" spans="2:67" ht="47.25" customHeight="1" x14ac:dyDescent="0.25">
      <c r="B309" s="23" t="s">
        <v>288</v>
      </c>
      <c r="C309" s="218"/>
      <c r="D309" s="215"/>
      <c r="E309" s="218"/>
      <c r="F309" s="255"/>
      <c r="J309" s="219" t="s">
        <v>289</v>
      </c>
      <c r="K309" s="219"/>
      <c r="L309" s="220" t="s">
        <v>290</v>
      </c>
      <c r="M309" s="23"/>
      <c r="N309" s="220" t="s">
        <v>291</v>
      </c>
      <c r="O309" s="23"/>
      <c r="P309" s="220"/>
      <c r="Q309" s="220"/>
      <c r="Y309" s="501"/>
      <c r="BI309" s="106"/>
      <c r="BJ309" s="106"/>
      <c r="BK309" s="106"/>
      <c r="BL309" s="106"/>
      <c r="BM309" s="106"/>
      <c r="BN309" s="106"/>
      <c r="BO309" s="106"/>
    </row>
    <row r="310" spans="2:67" ht="3" customHeight="1" x14ac:dyDescent="0.25">
      <c r="B310" s="215"/>
      <c r="C310" s="218"/>
      <c r="D310" s="215"/>
      <c r="E310" s="218"/>
      <c r="F310" s="244"/>
      <c r="G310" s="215"/>
      <c r="J310" s="245"/>
      <c r="K310" s="245"/>
      <c r="L310" s="215"/>
      <c r="M310" s="215"/>
      <c r="N310" s="246"/>
      <c r="O310" s="218"/>
      <c r="P310" s="246"/>
      <c r="Q310" s="246"/>
      <c r="Y310" s="501"/>
      <c r="BI310" s="106"/>
      <c r="BJ310" s="106"/>
      <c r="BK310" s="106"/>
      <c r="BL310" s="106"/>
      <c r="BM310" s="106"/>
      <c r="BN310" s="106"/>
      <c r="BO310" s="106"/>
    </row>
    <row r="311" spans="2:67" x14ac:dyDescent="0.25">
      <c r="B311" s="221"/>
      <c r="C311" s="221"/>
      <c r="D311" s="221"/>
      <c r="E311" s="221"/>
      <c r="F311" s="212"/>
      <c r="G311" s="221"/>
      <c r="H311" s="212" t="s">
        <v>389</v>
      </c>
      <c r="J311" s="223"/>
      <c r="K311" s="215"/>
      <c r="L311" s="224">
        <f>IF(AND(ADBT0=ADBT8,ADBT_sub01=ADBT_sub28),0,IF(Hea06_01=AIS_NA,0,1))</f>
        <v>1</v>
      </c>
      <c r="M311" s="215"/>
      <c r="N311" s="224">
        <f>IF(Hea06_01=AIS_Yes,Hea06_03,IF(Hea06_01=AIS_NA,0,0))</f>
        <v>0</v>
      </c>
      <c r="O311" s="215"/>
      <c r="P311" s="252"/>
      <c r="Q311" s="252"/>
      <c r="R311" s="793" t="str">
        <f>IF(Hea06_01=AIS_NA,AIS_statement20,"")</f>
        <v/>
      </c>
      <c r="S311" s="793"/>
      <c r="T311" s="793"/>
      <c r="U311" s="793"/>
      <c r="V311" s="793"/>
      <c r="W311" s="793"/>
      <c r="X311" s="793"/>
      <c r="Y311" s="501"/>
      <c r="BI311" s="106"/>
      <c r="BJ311" s="106"/>
      <c r="BK311" s="106"/>
      <c r="BL311" s="106"/>
      <c r="BM311" s="106"/>
      <c r="BN311" s="106"/>
      <c r="BO311" s="106"/>
    </row>
    <row r="312" spans="2:67" x14ac:dyDescent="0.25">
      <c r="B312" s="221"/>
      <c r="C312" s="221"/>
      <c r="D312" s="221"/>
      <c r="E312" s="221"/>
      <c r="F312" s="212"/>
      <c r="G312" s="221"/>
      <c r="H312" s="212" t="s">
        <v>390</v>
      </c>
      <c r="J312" s="223"/>
      <c r="K312" s="215"/>
      <c r="L312" s="224">
        <f>IF(OR(ADBT0=ADBT8,Hea06_01=AIS_NA),2,1)</f>
        <v>1</v>
      </c>
      <c r="M312" s="215"/>
      <c r="N312" s="270">
        <f>IF(Hea06_02=AIS_Yes,Hea06_04,0)</f>
        <v>0</v>
      </c>
      <c r="O312" s="215"/>
      <c r="P312" s="252"/>
      <c r="Q312" s="252"/>
      <c r="R312" s="793"/>
      <c r="S312" s="793"/>
      <c r="T312" s="793"/>
      <c r="U312" s="793"/>
      <c r="V312" s="793"/>
      <c r="W312" s="793"/>
      <c r="X312" s="793"/>
      <c r="Y312" s="501"/>
      <c r="BI312" s="106"/>
      <c r="BJ312" s="106"/>
      <c r="BK312" s="106"/>
      <c r="BL312" s="106"/>
      <c r="BM312" s="106"/>
      <c r="BN312" s="106"/>
      <c r="BO312" s="106"/>
    </row>
    <row r="313" spans="2:67" x14ac:dyDescent="0.25">
      <c r="Y313" s="501"/>
      <c r="BI313" s="106"/>
      <c r="BJ313" s="106"/>
      <c r="BK313" s="106"/>
      <c r="BL313" s="106"/>
      <c r="BM313" s="106"/>
      <c r="BN313" s="106"/>
      <c r="BO313" s="106"/>
    </row>
    <row r="314" spans="2:67" x14ac:dyDescent="0.25">
      <c r="B314" s="221"/>
      <c r="C314" s="222"/>
      <c r="D314" s="222"/>
      <c r="E314" s="221"/>
      <c r="F314" s="212" t="s">
        <v>296</v>
      </c>
      <c r="G314" s="215"/>
      <c r="H314" s="216">
        <f>IF(ISERROR(Hea06_Tot_Err), 0, Hea06_Tot_Err)</f>
        <v>0</v>
      </c>
      <c r="J314" s="203"/>
      <c r="K314" s="215"/>
      <c r="M314" s="215"/>
      <c r="N314" s="215"/>
      <c r="O314" s="215"/>
      <c r="P314" s="215"/>
      <c r="Q314" s="215"/>
      <c r="Y314" s="501"/>
      <c r="BI314" s="106"/>
      <c r="BJ314" s="106"/>
      <c r="BK314" s="106"/>
      <c r="BL314" s="106"/>
      <c r="BM314" s="106"/>
      <c r="BN314" s="106"/>
      <c r="BO314" s="106"/>
    </row>
    <row r="315" spans="2:67" ht="3" customHeight="1" x14ac:dyDescent="0.25">
      <c r="B315" s="215"/>
      <c r="E315" s="215"/>
      <c r="F315" s="225"/>
      <c r="G315" s="215"/>
      <c r="H315" s="252"/>
      <c r="J315" s="203"/>
      <c r="K315" s="215"/>
      <c r="M315" s="215"/>
      <c r="N315" s="215"/>
      <c r="O315" s="215"/>
      <c r="P315" s="215"/>
      <c r="Q315" s="215"/>
      <c r="Y315" s="501"/>
      <c r="BI315" s="106"/>
      <c r="BJ315" s="106"/>
      <c r="BK315" s="106"/>
      <c r="BL315" s="106"/>
      <c r="BM315" s="106"/>
      <c r="BN315" s="106"/>
      <c r="BO315" s="106"/>
    </row>
    <row r="316" spans="2:67" x14ac:dyDescent="0.25">
      <c r="B316" s="221"/>
      <c r="C316" s="222"/>
      <c r="D316" s="222"/>
      <c r="E316" s="221"/>
      <c r="F316" s="212" t="s">
        <v>297</v>
      </c>
      <c r="G316" s="215"/>
      <c r="H316" s="217">
        <f>IF(AND(Hea06_01=AIS_NA,Hea06_02=AIS_NA),0,(Hea06_07/Hea06_credits)*Hea06_tot)</f>
        <v>0</v>
      </c>
      <c r="J316" s="203"/>
      <c r="K316" s="215"/>
      <c r="M316" s="215"/>
      <c r="N316" s="215"/>
      <c r="O316" s="215"/>
      <c r="P316" s="215"/>
      <c r="Q316" s="215"/>
      <c r="Y316" s="501"/>
      <c r="BI316" s="106"/>
      <c r="BJ316" s="106"/>
      <c r="BK316" s="106"/>
      <c r="BL316" s="106"/>
      <c r="BM316" s="106"/>
      <c r="BN316" s="106"/>
      <c r="BO316" s="106"/>
    </row>
    <row r="317" spans="2:67" ht="3" customHeight="1" x14ac:dyDescent="0.25">
      <c r="K317" s="215"/>
      <c r="M317" s="215"/>
      <c r="N317" s="215"/>
      <c r="O317" s="215"/>
      <c r="P317" s="215"/>
      <c r="Q317" s="215"/>
      <c r="Y317" s="501"/>
      <c r="BI317" s="106"/>
      <c r="BJ317" s="106"/>
      <c r="BK317" s="106"/>
      <c r="BL317" s="106"/>
      <c r="BM317" s="106"/>
      <c r="BN317" s="106"/>
      <c r="BO317" s="106"/>
    </row>
    <row r="318" spans="2:67" x14ac:dyDescent="0.25">
      <c r="B318" s="221"/>
      <c r="C318" s="222"/>
      <c r="D318" s="222"/>
      <c r="E318" s="221"/>
      <c r="F318" s="212" t="s">
        <v>298</v>
      </c>
      <c r="H318" s="216" t="s">
        <v>300</v>
      </c>
      <c r="K318" s="215"/>
      <c r="M318" s="215"/>
      <c r="N318" s="215"/>
      <c r="O318" s="215"/>
      <c r="P318" s="215"/>
      <c r="Q318" s="215"/>
      <c r="Y318" s="501"/>
      <c r="BI318" s="106"/>
      <c r="BJ318" s="106"/>
      <c r="BK318" s="106"/>
      <c r="BL318" s="106"/>
      <c r="BM318" s="106"/>
      <c r="BN318" s="106"/>
      <c r="BO318" s="106"/>
    </row>
    <row r="319" spans="2:67" ht="3" customHeight="1" x14ac:dyDescent="0.25">
      <c r="K319" s="215"/>
      <c r="M319" s="215"/>
      <c r="N319" s="215"/>
      <c r="O319" s="215"/>
      <c r="P319" s="215"/>
      <c r="Q319" s="215"/>
      <c r="Y319" s="501"/>
      <c r="BI319" s="106"/>
      <c r="BJ319" s="106"/>
      <c r="BK319" s="106"/>
      <c r="BL319" s="106"/>
      <c r="BM319" s="106"/>
      <c r="BN319" s="106"/>
      <c r="BO319" s="106"/>
    </row>
    <row r="320" spans="2:67" x14ac:dyDescent="0.25">
      <c r="B320" s="221"/>
      <c r="C320" s="222"/>
      <c r="D320" s="221"/>
      <c r="E320" s="221"/>
      <c r="F320" s="212" t="s">
        <v>299</v>
      </c>
      <c r="H320" s="768" t="str">
        <f>IF(ADBT0&lt;&gt;ADBT8,AIS_NA,VLOOKUP(MinSt_15,AIS_MinSt_benchmarks,2,FALSE))</f>
        <v>N/A</v>
      </c>
      <c r="I320" s="768"/>
      <c r="J320" s="768"/>
      <c r="K320" s="768"/>
      <c r="L320" s="768"/>
      <c r="M320" s="768"/>
      <c r="N320" s="768"/>
      <c r="O320" s="215"/>
      <c r="P320" s="215"/>
      <c r="Q320" s="215"/>
      <c r="Y320" s="501"/>
      <c r="BI320" s="106"/>
      <c r="BJ320" s="106"/>
      <c r="BK320" s="106"/>
      <c r="BL320" s="106"/>
      <c r="BM320" s="106"/>
      <c r="BN320" s="106"/>
      <c r="BO320" s="106"/>
    </row>
    <row r="321" spans="2:67" x14ac:dyDescent="0.25">
      <c r="B321" s="192"/>
      <c r="C321" s="192"/>
      <c r="D321" s="192"/>
      <c r="E321" s="192"/>
      <c r="F321" s="192"/>
      <c r="M321" s="215"/>
      <c r="N321" s="215"/>
      <c r="O321" s="215"/>
      <c r="P321" s="215"/>
      <c r="Q321" s="215"/>
      <c r="Y321" s="501"/>
      <c r="BI321" s="106"/>
      <c r="BJ321" s="106"/>
      <c r="BK321" s="106"/>
      <c r="BL321" s="106"/>
      <c r="BM321" s="106"/>
      <c r="BN321" s="106"/>
      <c r="BO321" s="106"/>
    </row>
    <row r="322" spans="2:67" x14ac:dyDescent="0.25">
      <c r="B322" s="257" t="s">
        <v>301</v>
      </c>
      <c r="C322" s="215"/>
      <c r="D322" s="215"/>
      <c r="E322" s="215"/>
      <c r="F322" s="225"/>
      <c r="G322" s="215"/>
      <c r="H322" s="215"/>
      <c r="I322" s="215"/>
      <c r="J322" s="215"/>
      <c r="K322" s="215"/>
      <c r="L322" s="215"/>
      <c r="M322" s="215"/>
      <c r="N322" s="215"/>
      <c r="O322" s="215"/>
      <c r="P322" s="215"/>
      <c r="Q322" s="215"/>
      <c r="Y322" s="501"/>
      <c r="BI322" s="106"/>
      <c r="BJ322" s="106"/>
      <c r="BK322" s="106"/>
      <c r="BL322" s="106"/>
      <c r="BM322" s="106"/>
      <c r="BN322" s="106"/>
      <c r="BO322" s="106"/>
    </row>
    <row r="323" spans="2:67" ht="159.94999999999999" customHeight="1" x14ac:dyDescent="0.25">
      <c r="B323" s="736"/>
      <c r="C323" s="737"/>
      <c r="D323" s="737"/>
      <c r="E323" s="737"/>
      <c r="F323" s="737"/>
      <c r="G323" s="737"/>
      <c r="H323" s="737"/>
      <c r="I323" s="737"/>
      <c r="J323" s="737"/>
      <c r="K323" s="737"/>
      <c r="L323" s="737"/>
      <c r="M323" s="737"/>
      <c r="N323" s="737"/>
      <c r="O323" s="737"/>
      <c r="P323" s="738"/>
      <c r="Q323" s="416"/>
      <c r="Y323" s="501"/>
      <c r="BI323" s="106"/>
      <c r="BJ323" s="106"/>
      <c r="BK323" s="106"/>
      <c r="BL323" s="106"/>
      <c r="BM323" s="106"/>
      <c r="BN323" s="106"/>
      <c r="BO323" s="106"/>
    </row>
    <row r="324" spans="2:67" ht="36" customHeight="1" x14ac:dyDescent="0.25">
      <c r="B324" s="24" t="s">
        <v>391</v>
      </c>
      <c r="C324" s="13"/>
      <c r="D324" s="236"/>
      <c r="E324" s="237"/>
      <c r="F324" s="237"/>
      <c r="G324" s="237"/>
      <c r="H324" s="237"/>
      <c r="I324" s="237"/>
      <c r="J324" s="237"/>
      <c r="K324" s="237"/>
      <c r="L324" s="237"/>
      <c r="M324" s="237"/>
      <c r="N324" s="237"/>
      <c r="O324" s="237"/>
      <c r="P324" s="330" t="str">
        <f>IF(ADBT0&lt;&gt;ADBT8,AIS_statement32,"")</f>
        <v>Assessment issue not applicable</v>
      </c>
      <c r="Q324" s="215"/>
      <c r="Y324" s="501"/>
      <c r="BI324" s="106"/>
      <c r="BJ324" s="106"/>
      <c r="BK324" s="106"/>
      <c r="BL324" s="106"/>
      <c r="BM324" s="106"/>
      <c r="BN324" s="106"/>
      <c r="BO324" s="106"/>
    </row>
    <row r="325" spans="2:67" x14ac:dyDescent="0.25">
      <c r="B325" s="215"/>
      <c r="C325" s="215"/>
      <c r="D325" s="215"/>
      <c r="E325" s="215"/>
      <c r="F325" s="215"/>
      <c r="G325" s="215"/>
      <c r="H325" s="215"/>
      <c r="I325" s="215"/>
      <c r="J325" s="215"/>
      <c r="K325" s="215"/>
      <c r="L325" s="215"/>
      <c r="M325" s="215"/>
      <c r="N325" s="215"/>
      <c r="O325" s="215"/>
      <c r="P325" s="215"/>
      <c r="Q325" s="215"/>
      <c r="Y325" s="501"/>
      <c r="BI325" s="106"/>
      <c r="BJ325" s="106"/>
      <c r="BK325" s="106"/>
      <c r="BL325" s="106"/>
      <c r="BM325" s="106"/>
      <c r="BN325" s="106"/>
      <c r="BO325" s="106"/>
    </row>
    <row r="326" spans="2:67" x14ac:dyDescent="0.25">
      <c r="B326" s="222"/>
      <c r="C326" s="222"/>
      <c r="D326" s="221"/>
      <c r="E326" s="221"/>
      <c r="F326" s="212" t="s">
        <v>284</v>
      </c>
      <c r="G326" s="215"/>
      <c r="H326" s="216" t="str">
        <f>IF(P324=AIS_statement32,AIS_NA,1)</f>
        <v>N/A</v>
      </c>
      <c r="J326" s="222"/>
      <c r="K326" s="222"/>
      <c r="L326" s="222"/>
      <c r="M326" s="222"/>
      <c r="N326" s="212" t="s">
        <v>285</v>
      </c>
      <c r="P326" s="217" t="str">
        <f>IF(P324=AIS_statement32,AIS_NA,(BP_33/BP_02)*Hea08_credits)</f>
        <v>N/A</v>
      </c>
      <c r="Q326" s="217"/>
      <c r="Y326" s="501"/>
      <c r="BI326" s="106"/>
      <c r="BJ326" s="106"/>
      <c r="BK326" s="106"/>
      <c r="BL326" s="106"/>
      <c r="BM326" s="106"/>
      <c r="BN326" s="106"/>
      <c r="BO326" s="106"/>
    </row>
    <row r="327" spans="2:67" ht="3.75" customHeight="1" x14ac:dyDescent="0.25">
      <c r="Y327" s="501"/>
      <c r="BI327" s="106"/>
      <c r="BJ327" s="106"/>
      <c r="BK327" s="106"/>
      <c r="BL327" s="106"/>
      <c r="BM327" s="106"/>
      <c r="BN327" s="106"/>
      <c r="BO327" s="106"/>
    </row>
    <row r="328" spans="2:67" x14ac:dyDescent="0.25">
      <c r="B328" s="222"/>
      <c r="C328" s="222"/>
      <c r="D328" s="221"/>
      <c r="E328" s="221"/>
      <c r="F328" s="212" t="s">
        <v>286</v>
      </c>
      <c r="G328" s="215"/>
      <c r="H328" s="216">
        <v>0</v>
      </c>
      <c r="J328" s="221"/>
      <c r="K328" s="221"/>
      <c r="L328" s="221"/>
      <c r="M328" s="221"/>
      <c r="N328" s="212" t="s">
        <v>287</v>
      </c>
      <c r="O328" s="215"/>
      <c r="P328" s="216" t="s">
        <v>125</v>
      </c>
      <c r="Q328" s="216"/>
      <c r="Y328" s="501"/>
      <c r="BI328" s="106"/>
      <c r="BJ328" s="106"/>
      <c r="BK328" s="106"/>
      <c r="BL328" s="106"/>
      <c r="BM328" s="106"/>
      <c r="BN328" s="106"/>
      <c r="BO328" s="106"/>
    </row>
    <row r="329" spans="2:67" ht="47.25" customHeight="1" x14ac:dyDescent="0.25">
      <c r="B329" s="23" t="s">
        <v>288</v>
      </c>
      <c r="C329" s="218"/>
      <c r="D329" s="215"/>
      <c r="E329" s="218"/>
      <c r="F329" s="255"/>
      <c r="J329" s="219" t="s">
        <v>289</v>
      </c>
      <c r="K329" s="219"/>
      <c r="L329" s="220" t="s">
        <v>290</v>
      </c>
      <c r="M329" s="23"/>
      <c r="N329" s="220" t="s">
        <v>291</v>
      </c>
      <c r="O329" s="23"/>
      <c r="P329" s="220"/>
      <c r="Q329" s="220"/>
      <c r="Y329" s="501"/>
      <c r="BI329" s="106"/>
      <c r="BJ329" s="106"/>
      <c r="BK329" s="106"/>
      <c r="BL329" s="106"/>
      <c r="BM329" s="106"/>
      <c r="BN329" s="106"/>
      <c r="BO329" s="106"/>
    </row>
    <row r="330" spans="2:67" ht="3" customHeight="1" x14ac:dyDescent="0.25">
      <c r="B330" s="215"/>
      <c r="C330" s="218"/>
      <c r="D330" s="215"/>
      <c r="E330" s="218"/>
      <c r="F330" s="244"/>
      <c r="G330" s="215"/>
      <c r="J330" s="245"/>
      <c r="K330" s="245"/>
      <c r="L330" s="215"/>
      <c r="M330" s="215"/>
      <c r="N330" s="246"/>
      <c r="O330" s="218"/>
      <c r="P330" s="246"/>
      <c r="Q330" s="246"/>
      <c r="Y330" s="501"/>
      <c r="BI330" s="106"/>
      <c r="BJ330" s="106"/>
      <c r="BK330" s="106"/>
      <c r="BL330" s="106"/>
      <c r="BM330" s="106"/>
      <c r="BN330" s="106"/>
      <c r="BO330" s="106"/>
    </row>
    <row r="331" spans="2:67" ht="15.6" customHeight="1" x14ac:dyDescent="0.25">
      <c r="B331" s="221"/>
      <c r="C331" s="221"/>
      <c r="D331" s="221"/>
      <c r="E331" s="221"/>
      <c r="F331" s="212"/>
      <c r="G331" s="221"/>
      <c r="H331" s="212" t="s">
        <v>392</v>
      </c>
      <c r="J331" s="223"/>
      <c r="K331" s="215"/>
      <c r="L331" s="224">
        <v>1</v>
      </c>
      <c r="M331" s="215"/>
      <c r="N331" s="224">
        <f>IF(Hea08_01=AIS_Yes,Hea08_02,0)</f>
        <v>0</v>
      </c>
      <c r="O331" s="215"/>
      <c r="P331" s="252"/>
      <c r="Q331" s="252"/>
      <c r="R331" s="767"/>
      <c r="S331" s="767"/>
      <c r="T331" s="767"/>
      <c r="U331" s="767"/>
      <c r="V331" s="767"/>
      <c r="W331" s="767"/>
      <c r="X331" s="767"/>
      <c r="Y331" s="501"/>
      <c r="BI331" s="106"/>
      <c r="BJ331" s="106"/>
      <c r="BK331" s="106"/>
      <c r="BL331" s="106"/>
      <c r="BM331" s="106"/>
      <c r="BN331" s="106"/>
      <c r="BO331" s="106"/>
    </row>
    <row r="332" spans="2:67" x14ac:dyDescent="0.25">
      <c r="R332" s="767"/>
      <c r="S332" s="767"/>
      <c r="T332" s="767"/>
      <c r="U332" s="767"/>
      <c r="V332" s="767"/>
      <c r="W332" s="767"/>
      <c r="X332" s="767"/>
      <c r="Y332" s="501"/>
      <c r="BI332" s="106"/>
      <c r="BJ332" s="106"/>
      <c r="BK332" s="106"/>
      <c r="BL332" s="106"/>
      <c r="BM332" s="106"/>
      <c r="BN332" s="106"/>
      <c r="BO332" s="106"/>
    </row>
    <row r="333" spans="2:67" x14ac:dyDescent="0.25">
      <c r="B333" s="221"/>
      <c r="C333" s="222"/>
      <c r="D333" s="222"/>
      <c r="E333" s="221"/>
      <c r="F333" s="212" t="s">
        <v>296</v>
      </c>
      <c r="G333" s="215"/>
      <c r="H333" s="216" t="str">
        <f>IF(P324=AIS_statement32,AIS_NA,Hea08_03)</f>
        <v>N/A</v>
      </c>
      <c r="J333" s="203"/>
      <c r="K333" s="215"/>
      <c r="M333" s="215"/>
      <c r="N333" s="215"/>
      <c r="O333" s="215"/>
      <c r="P333" s="215"/>
      <c r="Q333" s="215"/>
      <c r="Y333" s="501"/>
      <c r="BI333" s="106"/>
      <c r="BJ333" s="106"/>
      <c r="BK333" s="106"/>
      <c r="BL333" s="106"/>
      <c r="BM333" s="106"/>
      <c r="BN333" s="106"/>
      <c r="BO333" s="106"/>
    </row>
    <row r="334" spans="2:67" ht="3" customHeight="1" x14ac:dyDescent="0.25">
      <c r="B334" s="215"/>
      <c r="E334" s="215"/>
      <c r="F334" s="225"/>
      <c r="G334" s="215"/>
      <c r="H334" s="252"/>
      <c r="J334" s="203"/>
      <c r="K334" s="215"/>
      <c r="M334" s="215"/>
      <c r="N334" s="215"/>
      <c r="O334" s="215"/>
      <c r="P334" s="215"/>
      <c r="Q334" s="215"/>
      <c r="Y334" s="501"/>
      <c r="BI334" s="106"/>
      <c r="BJ334" s="106"/>
      <c r="BK334" s="106"/>
      <c r="BL334" s="106"/>
      <c r="BM334" s="106"/>
      <c r="BN334" s="106"/>
      <c r="BO334" s="106"/>
    </row>
    <row r="335" spans="2:67" x14ac:dyDescent="0.25">
      <c r="B335" s="221"/>
      <c r="C335" s="222"/>
      <c r="D335" s="222"/>
      <c r="E335" s="221"/>
      <c r="F335" s="212" t="s">
        <v>297</v>
      </c>
      <c r="G335" s="215"/>
      <c r="H335" s="217" t="str">
        <f>IF(P324=AIS_statement32,AIS_NA,Hea08_04/Hea08_credits*Hea08_tot)</f>
        <v>N/A</v>
      </c>
      <c r="J335" s="203"/>
      <c r="K335" s="215"/>
      <c r="M335" s="215"/>
      <c r="N335" s="215"/>
      <c r="O335" s="215"/>
      <c r="P335" s="215"/>
      <c r="Q335" s="215"/>
      <c r="Y335" s="501"/>
      <c r="BI335" s="106"/>
      <c r="BJ335" s="106"/>
      <c r="BK335" s="106"/>
      <c r="BL335" s="106"/>
      <c r="BM335" s="106"/>
      <c r="BN335" s="106"/>
      <c r="BO335" s="106"/>
    </row>
    <row r="336" spans="2:67" ht="3" customHeight="1" x14ac:dyDescent="0.25">
      <c r="K336" s="215"/>
      <c r="M336" s="215"/>
      <c r="N336" s="215"/>
      <c r="O336" s="215"/>
      <c r="P336" s="215"/>
      <c r="Q336" s="215"/>
      <c r="Y336" s="501"/>
      <c r="BI336" s="106"/>
      <c r="BJ336" s="106"/>
      <c r="BK336" s="106"/>
      <c r="BL336" s="106"/>
      <c r="BM336" s="106"/>
      <c r="BN336" s="106"/>
      <c r="BO336" s="106"/>
    </row>
    <row r="337" spans="2:67" x14ac:dyDescent="0.25">
      <c r="B337" s="221"/>
      <c r="C337" s="222"/>
      <c r="D337" s="222"/>
      <c r="E337" s="221"/>
      <c r="F337" s="212" t="s">
        <v>298</v>
      </c>
      <c r="H337" s="216" t="s">
        <v>300</v>
      </c>
      <c r="K337" s="215"/>
      <c r="M337" s="215"/>
      <c r="N337" s="215"/>
      <c r="O337" s="215"/>
      <c r="P337" s="215"/>
      <c r="Q337" s="215"/>
      <c r="Y337" s="501"/>
      <c r="BI337" s="106"/>
      <c r="BJ337" s="106"/>
      <c r="BK337" s="106"/>
      <c r="BL337" s="106"/>
      <c r="BM337" s="106"/>
      <c r="BN337" s="106"/>
      <c r="BO337" s="106"/>
    </row>
    <row r="338" spans="2:67" ht="3" customHeight="1" x14ac:dyDescent="0.25">
      <c r="K338" s="215"/>
      <c r="M338" s="215"/>
      <c r="N338" s="215"/>
      <c r="O338" s="215"/>
      <c r="P338" s="215"/>
      <c r="Q338" s="215"/>
      <c r="Y338" s="501"/>
      <c r="BI338" s="106"/>
      <c r="BJ338" s="106"/>
      <c r="BK338" s="106"/>
      <c r="BL338" s="106"/>
      <c r="BM338" s="106"/>
      <c r="BN338" s="106"/>
      <c r="BO338" s="106"/>
    </row>
    <row r="339" spans="2:67" x14ac:dyDescent="0.25">
      <c r="B339" s="221"/>
      <c r="C339" s="222"/>
      <c r="D339" s="221"/>
      <c r="E339" s="221"/>
      <c r="F339" s="212" t="s">
        <v>299</v>
      </c>
      <c r="H339" s="768" t="str">
        <f>IF(ADBT0&lt;&gt;ADBT8,AIS_NA,VLOOKUP(MinSt_16,AIS_MinSt_benchmarks,2,FALSE))</f>
        <v>N/A</v>
      </c>
      <c r="I339" s="768"/>
      <c r="J339" s="768"/>
      <c r="K339" s="768"/>
      <c r="L339" s="768"/>
      <c r="M339" s="768"/>
      <c r="N339" s="768"/>
      <c r="O339" s="215"/>
      <c r="P339" s="215"/>
      <c r="Q339" s="215"/>
      <c r="Y339" s="501"/>
      <c r="BI339" s="106"/>
      <c r="BJ339" s="106"/>
      <c r="BK339" s="106"/>
      <c r="BL339" s="106"/>
      <c r="BM339" s="106"/>
      <c r="BN339" s="106"/>
      <c r="BO339" s="106"/>
    </row>
    <row r="340" spans="2:67" x14ac:dyDescent="0.25">
      <c r="B340" s="192"/>
      <c r="C340" s="192"/>
      <c r="D340" s="192"/>
      <c r="E340" s="192"/>
      <c r="F340" s="192"/>
      <c r="M340" s="215"/>
      <c r="N340" s="215"/>
      <c r="O340" s="215"/>
      <c r="P340" s="215"/>
      <c r="Q340" s="215"/>
      <c r="Y340" s="501"/>
      <c r="BI340" s="106"/>
      <c r="BJ340" s="106"/>
      <c r="BK340" s="106"/>
      <c r="BL340" s="106"/>
      <c r="BM340" s="106"/>
      <c r="BN340" s="106"/>
      <c r="BO340" s="106"/>
    </row>
    <row r="341" spans="2:67" x14ac:dyDescent="0.25">
      <c r="B341" s="257" t="s">
        <v>301</v>
      </c>
      <c r="C341" s="215"/>
      <c r="D341" s="215"/>
      <c r="E341" s="215"/>
      <c r="F341" s="225"/>
      <c r="G341" s="215"/>
      <c r="H341" s="215"/>
      <c r="I341" s="215"/>
      <c r="J341" s="215"/>
      <c r="K341" s="215"/>
      <c r="L341" s="215"/>
      <c r="M341" s="215"/>
      <c r="N341" s="215"/>
      <c r="O341" s="215"/>
      <c r="P341" s="215"/>
      <c r="Q341" s="215"/>
      <c r="Y341" s="501"/>
      <c r="BI341" s="106"/>
      <c r="BJ341" s="106"/>
      <c r="BK341" s="106"/>
      <c r="BL341" s="106"/>
      <c r="BM341" s="106"/>
      <c r="BN341" s="106"/>
      <c r="BO341" s="106"/>
    </row>
    <row r="342" spans="2:67" ht="159.94999999999999" customHeight="1" x14ac:dyDescent="0.25">
      <c r="B342" s="736"/>
      <c r="C342" s="737"/>
      <c r="D342" s="737"/>
      <c r="E342" s="737"/>
      <c r="F342" s="737"/>
      <c r="G342" s="737"/>
      <c r="H342" s="737"/>
      <c r="I342" s="737"/>
      <c r="J342" s="737"/>
      <c r="K342" s="737"/>
      <c r="L342" s="737"/>
      <c r="M342" s="737"/>
      <c r="N342" s="737"/>
      <c r="O342" s="737"/>
      <c r="P342" s="738"/>
      <c r="Q342" s="416"/>
      <c r="Y342" s="501"/>
      <c r="BI342" s="106"/>
      <c r="BJ342" s="106"/>
      <c r="BK342" s="106"/>
      <c r="BL342" s="106"/>
      <c r="BM342" s="106"/>
      <c r="BN342" s="106"/>
      <c r="BO342" s="106"/>
    </row>
    <row r="343" spans="2:67" ht="36" customHeight="1" x14ac:dyDescent="0.25">
      <c r="B343" s="24" t="s">
        <v>393</v>
      </c>
      <c r="C343" s="13"/>
      <c r="D343" s="236"/>
      <c r="E343" s="237"/>
      <c r="F343" s="237"/>
      <c r="G343" s="237"/>
      <c r="H343" s="237"/>
      <c r="I343" s="237"/>
      <c r="J343" s="237"/>
      <c r="K343" s="237"/>
      <c r="L343" s="237"/>
      <c r="M343" s="237"/>
      <c r="N343" s="237"/>
      <c r="O343" s="237"/>
      <c r="P343" s="330" t="str">
        <f>IF(ADPT=ADPT02,AIS_statement32,"")</f>
        <v/>
      </c>
      <c r="Q343" s="215"/>
      <c r="Y343" s="501"/>
      <c r="BI343" s="106"/>
      <c r="BJ343" s="106"/>
      <c r="BK343" s="106"/>
      <c r="BL343" s="106"/>
      <c r="BM343" s="106"/>
      <c r="BN343" s="106"/>
      <c r="BO343" s="106"/>
    </row>
    <row r="344" spans="2:67" x14ac:dyDescent="0.25">
      <c r="B344" s="215"/>
      <c r="C344" s="215"/>
      <c r="D344" s="215"/>
      <c r="E344" s="215"/>
      <c r="F344" s="215"/>
      <c r="G344" s="215"/>
      <c r="H344" s="215"/>
      <c r="I344" s="215"/>
      <c r="J344" s="215"/>
      <c r="K344" s="215"/>
      <c r="L344" s="215"/>
      <c r="M344" s="215"/>
      <c r="N344" s="215"/>
      <c r="O344" s="215"/>
      <c r="P344" s="215"/>
      <c r="Q344" s="215"/>
      <c r="Y344" s="501"/>
      <c r="BI344" s="106"/>
      <c r="BJ344" s="106"/>
      <c r="BK344" s="106"/>
      <c r="BL344" s="106"/>
      <c r="BM344" s="106"/>
      <c r="BN344" s="106"/>
      <c r="BO344" s="106"/>
    </row>
    <row r="345" spans="2:67" x14ac:dyDescent="0.25">
      <c r="B345" s="222"/>
      <c r="C345" s="222"/>
      <c r="D345" s="221"/>
      <c r="E345" s="221"/>
      <c r="F345" s="212" t="s">
        <v>284</v>
      </c>
      <c r="G345" s="215"/>
      <c r="H345" s="216">
        <f>IF(P343=AIS_statement32,AIS_NA,1)</f>
        <v>1</v>
      </c>
      <c r="J345" s="222"/>
      <c r="K345" s="222"/>
      <c r="L345" s="222"/>
      <c r="M345" s="222"/>
      <c r="N345" s="212" t="s">
        <v>285</v>
      </c>
      <c r="P345" s="217">
        <f>IF(P343=AIS_statement32,AIS_NA,(BP_33/BP_02)*Hea06_credits)</f>
        <v>0</v>
      </c>
      <c r="Q345" s="217"/>
      <c r="Y345" s="501"/>
      <c r="BI345" s="106"/>
      <c r="BJ345" s="106"/>
      <c r="BK345" s="106"/>
      <c r="BL345" s="106"/>
      <c r="BM345" s="106"/>
      <c r="BN345" s="106"/>
      <c r="BO345" s="106"/>
    </row>
    <row r="346" spans="2:67" ht="3.75" customHeight="1" x14ac:dyDescent="0.25">
      <c r="Y346" s="501"/>
      <c r="BI346" s="106"/>
      <c r="BJ346" s="106"/>
      <c r="BK346" s="106"/>
      <c r="BL346" s="106"/>
      <c r="BM346" s="106"/>
      <c r="BN346" s="106"/>
      <c r="BO346" s="106"/>
    </row>
    <row r="347" spans="2:67" x14ac:dyDescent="0.25">
      <c r="B347" s="222"/>
      <c r="C347" s="222"/>
      <c r="D347" s="221"/>
      <c r="E347" s="221"/>
      <c r="F347" s="212" t="s">
        <v>286</v>
      </c>
      <c r="G347" s="215"/>
      <c r="H347" s="216">
        <v>0</v>
      </c>
      <c r="J347" s="221"/>
      <c r="K347" s="221"/>
      <c r="L347" s="221"/>
      <c r="M347" s="221"/>
      <c r="N347" s="212" t="s">
        <v>287</v>
      </c>
      <c r="O347" s="215"/>
      <c r="P347" s="216" t="s">
        <v>125</v>
      </c>
      <c r="Q347" s="216"/>
      <c r="Y347" s="501"/>
      <c r="BI347" s="106"/>
      <c r="BJ347" s="106"/>
      <c r="BK347" s="106"/>
      <c r="BL347" s="106"/>
      <c r="BM347" s="106"/>
      <c r="BN347" s="106"/>
      <c r="BO347" s="106"/>
    </row>
    <row r="348" spans="2:67" ht="47.25" customHeight="1" x14ac:dyDescent="0.25">
      <c r="B348" s="23" t="s">
        <v>288</v>
      </c>
      <c r="C348" s="218"/>
      <c r="D348" s="215"/>
      <c r="E348" s="218"/>
      <c r="F348" s="255"/>
      <c r="J348" s="219" t="s">
        <v>289</v>
      </c>
      <c r="K348" s="219"/>
      <c r="L348" s="220" t="s">
        <v>290</v>
      </c>
      <c r="M348" s="23"/>
      <c r="N348" s="220" t="s">
        <v>291</v>
      </c>
      <c r="O348" s="23"/>
      <c r="P348" s="220"/>
      <c r="Q348" s="220"/>
      <c r="Y348" s="501"/>
      <c r="BI348" s="106"/>
      <c r="BJ348" s="106"/>
      <c r="BK348" s="106"/>
      <c r="BL348" s="106"/>
      <c r="BM348" s="106"/>
      <c r="BN348" s="106"/>
      <c r="BO348" s="106"/>
    </row>
    <row r="349" spans="2:67" ht="3" customHeight="1" x14ac:dyDescent="0.25">
      <c r="B349" s="215"/>
      <c r="C349" s="218"/>
      <c r="D349" s="215"/>
      <c r="E349" s="218"/>
      <c r="F349" s="244"/>
      <c r="G349" s="215"/>
      <c r="J349" s="245"/>
      <c r="K349" s="245"/>
      <c r="L349" s="215"/>
      <c r="M349" s="215"/>
      <c r="N349" s="246"/>
      <c r="O349" s="218"/>
      <c r="P349" s="246"/>
      <c r="Q349" s="246"/>
      <c r="Y349" s="501"/>
      <c r="BI349" s="106"/>
      <c r="BJ349" s="106"/>
      <c r="BK349" s="106"/>
      <c r="BL349" s="106"/>
      <c r="BM349" s="106"/>
      <c r="BN349" s="106"/>
      <c r="BO349" s="106"/>
    </row>
    <row r="350" spans="2:67" x14ac:dyDescent="0.25">
      <c r="B350" s="221"/>
      <c r="C350" s="221"/>
      <c r="D350" s="221"/>
      <c r="E350" s="221"/>
      <c r="F350" s="212"/>
      <c r="G350" s="221"/>
      <c r="H350" s="212" t="s">
        <v>394</v>
      </c>
      <c r="J350" s="223"/>
      <c r="K350" s="215"/>
      <c r="L350" s="794">
        <f>IF(P343=AIS_statement32,0,1)</f>
        <v>1</v>
      </c>
      <c r="M350" s="215"/>
      <c r="N350" s="794">
        <f>IF(AND(Hea09_01=AIS_Yes,Hea09_02=AIS_Yes),Hea09_03,0)</f>
        <v>0</v>
      </c>
      <c r="O350" s="215"/>
      <c r="P350" s="252"/>
      <c r="Q350" s="252"/>
      <c r="R350" s="793" t="str">
        <f>IF(Hea06_01=AIS_NA,AIS_statement20,"")</f>
        <v/>
      </c>
      <c r="S350" s="793"/>
      <c r="T350" s="793"/>
      <c r="U350" s="793"/>
      <c r="V350" s="793"/>
      <c r="W350" s="793"/>
      <c r="X350" s="793"/>
      <c r="Y350" s="501"/>
      <c r="BI350" s="106"/>
      <c r="BJ350" s="106"/>
      <c r="BK350" s="106"/>
      <c r="BL350" s="106"/>
      <c r="BM350" s="106"/>
      <c r="BN350" s="106"/>
      <c r="BO350" s="106"/>
    </row>
    <row r="351" spans="2:67" x14ac:dyDescent="0.25">
      <c r="B351" s="221"/>
      <c r="C351" s="221"/>
      <c r="D351" s="221"/>
      <c r="E351" s="221"/>
      <c r="F351" s="212"/>
      <c r="G351" s="221"/>
      <c r="H351" s="212" t="s">
        <v>395</v>
      </c>
      <c r="J351" s="223"/>
      <c r="K351" s="215"/>
      <c r="L351" s="795"/>
      <c r="M351" s="215"/>
      <c r="N351" s="795"/>
      <c r="O351" s="215"/>
      <c r="P351" s="252"/>
      <c r="Q351" s="252"/>
      <c r="R351" s="793" t="str">
        <f>IF(Hea06_01=AIS_NA,AIS_statement20,"")</f>
        <v/>
      </c>
      <c r="S351" s="793"/>
      <c r="T351" s="793"/>
      <c r="U351" s="793"/>
      <c r="V351" s="793"/>
      <c r="W351" s="793"/>
      <c r="X351" s="793"/>
      <c r="Y351" s="501"/>
      <c r="BI351" s="106"/>
      <c r="BJ351" s="106"/>
      <c r="BK351" s="106"/>
      <c r="BL351" s="106"/>
      <c r="BM351" s="106"/>
      <c r="BN351" s="106"/>
      <c r="BO351" s="106"/>
    </row>
    <row r="352" spans="2:67" x14ac:dyDescent="0.25">
      <c r="Y352" s="501"/>
      <c r="BI352" s="106"/>
      <c r="BJ352" s="106"/>
      <c r="BK352" s="106"/>
      <c r="BL352" s="106"/>
      <c r="BM352" s="106"/>
      <c r="BN352" s="106"/>
      <c r="BO352" s="106"/>
    </row>
    <row r="353" spans="2:67" x14ac:dyDescent="0.25">
      <c r="B353" s="221"/>
      <c r="C353" s="222"/>
      <c r="D353" s="222"/>
      <c r="E353" s="221"/>
      <c r="F353" s="212" t="s">
        <v>296</v>
      </c>
      <c r="G353" s="215"/>
      <c r="H353" s="216">
        <f>Hea09_04</f>
        <v>0</v>
      </c>
      <c r="J353" s="203"/>
      <c r="K353" s="215"/>
      <c r="M353" s="215"/>
      <c r="N353" s="215"/>
      <c r="O353" s="215"/>
      <c r="P353" s="215"/>
      <c r="Q353" s="215"/>
      <c r="Y353" s="501"/>
      <c r="BI353" s="106"/>
      <c r="BJ353" s="106"/>
      <c r="BK353" s="106"/>
      <c r="BL353" s="106"/>
      <c r="BM353" s="106"/>
      <c r="BN353" s="106"/>
      <c r="BO353" s="106"/>
    </row>
    <row r="354" spans="2:67" ht="3" customHeight="1" x14ac:dyDescent="0.25">
      <c r="B354" s="215"/>
      <c r="E354" s="215"/>
      <c r="F354" s="225"/>
      <c r="G354" s="215"/>
      <c r="H354" s="252"/>
      <c r="J354" s="203"/>
      <c r="K354" s="215"/>
      <c r="M354" s="215"/>
      <c r="N354" s="215"/>
      <c r="O354" s="215"/>
      <c r="P354" s="215"/>
      <c r="Q354" s="215"/>
      <c r="Y354" s="501"/>
      <c r="BI354" s="106"/>
      <c r="BJ354" s="106"/>
      <c r="BK354" s="106"/>
      <c r="BL354" s="106"/>
      <c r="BM354" s="106"/>
      <c r="BN354" s="106"/>
      <c r="BO354" s="106"/>
    </row>
    <row r="355" spans="2:67" x14ac:dyDescent="0.25">
      <c r="B355" s="221"/>
      <c r="C355" s="222"/>
      <c r="D355" s="222"/>
      <c r="E355" s="221"/>
      <c r="F355" s="212" t="s">
        <v>297</v>
      </c>
      <c r="G355" s="215"/>
      <c r="H355" s="217">
        <f>IF(P343=AIS_statement32,AIS_NA,Hea09_04/Hea09_credits*Hea09_tot)</f>
        <v>0</v>
      </c>
      <c r="J355" s="203"/>
      <c r="K355" s="215"/>
      <c r="M355" s="215"/>
      <c r="N355" s="215"/>
      <c r="O355" s="215"/>
      <c r="P355" s="215"/>
      <c r="Q355" s="215"/>
      <c r="Y355" s="501"/>
      <c r="BI355" s="106"/>
      <c r="BJ355" s="106"/>
      <c r="BK355" s="106"/>
      <c r="BL355" s="106"/>
      <c r="BM355" s="106"/>
      <c r="BN355" s="106"/>
      <c r="BO355" s="106"/>
    </row>
    <row r="356" spans="2:67" ht="3" customHeight="1" x14ac:dyDescent="0.25">
      <c r="K356" s="215"/>
      <c r="M356" s="215"/>
      <c r="N356" s="215"/>
      <c r="O356" s="215"/>
      <c r="P356" s="215"/>
      <c r="Q356" s="215"/>
      <c r="Y356" s="501"/>
      <c r="BI356" s="106"/>
      <c r="BJ356" s="106"/>
      <c r="BK356" s="106"/>
      <c r="BL356" s="106"/>
      <c r="BM356" s="106"/>
      <c r="BN356" s="106"/>
      <c r="BO356" s="106"/>
    </row>
    <row r="357" spans="2:67" x14ac:dyDescent="0.25">
      <c r="B357" s="221"/>
      <c r="C357" s="222"/>
      <c r="D357" s="222"/>
      <c r="E357" s="221"/>
      <c r="F357" s="212" t="s">
        <v>298</v>
      </c>
      <c r="H357" s="216" t="s">
        <v>300</v>
      </c>
      <c r="K357" s="215"/>
      <c r="M357" s="215"/>
      <c r="N357" s="215"/>
      <c r="O357" s="215"/>
      <c r="P357" s="215"/>
      <c r="Q357" s="215"/>
      <c r="Y357" s="501"/>
      <c r="BI357" s="106"/>
      <c r="BJ357" s="106"/>
      <c r="BK357" s="106"/>
      <c r="BL357" s="106"/>
      <c r="BM357" s="106"/>
      <c r="BN357" s="106"/>
      <c r="BO357" s="106"/>
    </row>
    <row r="358" spans="2:67" ht="3" customHeight="1" x14ac:dyDescent="0.25">
      <c r="K358" s="215"/>
      <c r="M358" s="215"/>
      <c r="N358" s="215"/>
      <c r="O358" s="215"/>
      <c r="P358" s="215"/>
      <c r="Q358" s="215"/>
      <c r="Y358" s="501"/>
      <c r="BI358" s="106"/>
      <c r="BJ358" s="106"/>
      <c r="BK358" s="106"/>
      <c r="BL358" s="106"/>
      <c r="BM358" s="106"/>
      <c r="BN358" s="106"/>
      <c r="BO358" s="106"/>
    </row>
    <row r="359" spans="2:67" x14ac:dyDescent="0.25">
      <c r="B359" s="221"/>
      <c r="C359" s="222"/>
      <c r="D359" s="221"/>
      <c r="E359" s="221"/>
      <c r="F359" s="212" t="s">
        <v>299</v>
      </c>
      <c r="H359" s="770" t="str">
        <f>IF(P343=AIS_statement32,AIS_NA,VLOOKUP(MinSt_17,AIS_MinSt_benchmarks,2,FALSE))</f>
        <v>Minimum standards not met for certification</v>
      </c>
      <c r="I359" s="770"/>
      <c r="J359" s="770"/>
      <c r="K359" s="770"/>
      <c r="L359" s="770"/>
      <c r="M359" s="770"/>
      <c r="N359" s="770"/>
      <c r="O359" s="215"/>
      <c r="P359" s="215"/>
      <c r="Q359" s="215"/>
      <c r="Y359" s="501"/>
      <c r="BI359" s="106"/>
      <c r="BJ359" s="106"/>
      <c r="BK359" s="106"/>
      <c r="BL359" s="106"/>
      <c r="BM359" s="106"/>
      <c r="BN359" s="106"/>
      <c r="BO359" s="106"/>
    </row>
    <row r="360" spans="2:67" x14ac:dyDescent="0.25">
      <c r="B360" s="192"/>
      <c r="C360" s="192"/>
      <c r="D360" s="192"/>
      <c r="E360" s="192"/>
      <c r="F360" s="192"/>
      <c r="M360" s="215"/>
      <c r="N360" s="215"/>
      <c r="O360" s="215"/>
      <c r="P360" s="215"/>
      <c r="Q360" s="215"/>
      <c r="Y360" s="501"/>
      <c r="BI360" s="106"/>
      <c r="BJ360" s="106"/>
      <c r="BK360" s="106"/>
      <c r="BL360" s="106"/>
      <c r="BM360" s="106"/>
      <c r="BN360" s="106"/>
      <c r="BO360" s="106"/>
    </row>
    <row r="361" spans="2:67" x14ac:dyDescent="0.25">
      <c r="B361" s="257" t="s">
        <v>301</v>
      </c>
      <c r="C361" s="215"/>
      <c r="D361" s="215"/>
      <c r="E361" s="215"/>
      <c r="F361" s="225"/>
      <c r="G361" s="215"/>
      <c r="H361" s="215"/>
      <c r="I361" s="215"/>
      <c r="J361" s="215"/>
      <c r="K361" s="215"/>
      <c r="L361" s="215"/>
      <c r="M361" s="215"/>
      <c r="N361" s="215"/>
      <c r="O361" s="215"/>
      <c r="P361" s="215"/>
      <c r="Q361" s="215"/>
      <c r="Y361" s="501"/>
      <c r="BI361" s="106"/>
      <c r="BJ361" s="106"/>
      <c r="BK361" s="106"/>
      <c r="BL361" s="106"/>
      <c r="BM361" s="106"/>
      <c r="BN361" s="106"/>
      <c r="BO361" s="106"/>
    </row>
    <row r="362" spans="2:67" ht="159.94999999999999" customHeight="1" x14ac:dyDescent="0.25">
      <c r="B362" s="736"/>
      <c r="C362" s="737"/>
      <c r="D362" s="737"/>
      <c r="E362" s="737"/>
      <c r="F362" s="737"/>
      <c r="G362" s="737"/>
      <c r="H362" s="737"/>
      <c r="I362" s="737"/>
      <c r="J362" s="737"/>
      <c r="K362" s="737"/>
      <c r="L362" s="737"/>
      <c r="M362" s="737"/>
      <c r="N362" s="737"/>
      <c r="O362" s="737"/>
      <c r="P362" s="738"/>
      <c r="Q362" s="416"/>
      <c r="Y362" s="501"/>
      <c r="BI362" s="106"/>
      <c r="BJ362" s="106"/>
      <c r="BK362" s="106"/>
      <c r="BL362" s="106"/>
      <c r="BM362" s="106"/>
      <c r="BN362" s="106"/>
      <c r="BO362" s="106"/>
    </row>
    <row r="363" spans="2:67" ht="36" customHeight="1" x14ac:dyDescent="0.25">
      <c r="B363" s="24" t="s">
        <v>396</v>
      </c>
      <c r="C363" s="13"/>
      <c r="D363" s="236"/>
      <c r="E363" s="237"/>
      <c r="F363" s="237"/>
      <c r="G363" s="237"/>
      <c r="H363" s="237"/>
      <c r="I363" s="237"/>
      <c r="J363" s="237"/>
      <c r="K363" s="237"/>
      <c r="L363" s="237"/>
      <c r="M363" s="237"/>
      <c r="N363" s="237"/>
      <c r="O363" s="237"/>
      <c r="P363" s="329"/>
      <c r="Q363" s="240"/>
      <c r="Y363" s="501"/>
      <c r="BI363" s="106"/>
      <c r="BJ363" s="106"/>
      <c r="BK363" s="106"/>
      <c r="BL363" s="106"/>
      <c r="BM363" s="106"/>
      <c r="BN363" s="106"/>
      <c r="BO363" s="106"/>
    </row>
    <row r="364" spans="2:67" x14ac:dyDescent="0.25">
      <c r="B364" s="215"/>
      <c r="C364" s="215"/>
      <c r="D364" s="215"/>
      <c r="E364" s="215"/>
      <c r="F364" s="215"/>
      <c r="G364" s="215"/>
      <c r="H364" s="215"/>
      <c r="I364" s="215"/>
      <c r="J364" s="215"/>
      <c r="K364" s="215"/>
      <c r="L364" s="215"/>
      <c r="M364" s="215"/>
      <c r="N364" s="215"/>
      <c r="O364" s="215"/>
      <c r="P364" s="215"/>
      <c r="Q364" s="215"/>
      <c r="Y364" s="501"/>
      <c r="BI364" s="106"/>
      <c r="BJ364" s="106"/>
      <c r="BK364" s="106"/>
      <c r="BL364" s="106"/>
      <c r="BM364" s="106"/>
      <c r="BN364" s="106"/>
      <c r="BO364" s="106"/>
    </row>
    <row r="365" spans="2:67" x14ac:dyDescent="0.25">
      <c r="B365" s="222"/>
      <c r="C365" s="222"/>
      <c r="D365" s="221"/>
      <c r="E365" s="221"/>
      <c r="F365" s="212" t="s">
        <v>284</v>
      </c>
      <c r="G365" s="215"/>
      <c r="H365" s="216">
        <f>IF(P363=AIS_statement32,AIS_NA,SUM(L371:L372))</f>
        <v>2</v>
      </c>
      <c r="J365" s="222"/>
      <c r="K365" s="222"/>
      <c r="L365" s="222"/>
      <c r="M365" s="222"/>
      <c r="N365" s="212" t="s">
        <v>285</v>
      </c>
      <c r="P365" s="217">
        <f>IF(P363=AIS_statement32,AIS_NA,(BP_33/BP_02)*Hea10_credits)</f>
        <v>0</v>
      </c>
      <c r="Q365" s="217"/>
      <c r="R365" s="709" t="str">
        <f>IF(AND(ADBT0=ADBT2,ADIND_option01=AD_no,ADFume_option01=AD_no,(OR(AD_catlevel=AD_catlevel01,AD_catlevel=AD_nolab))),AIS_statement16,"")</f>
        <v/>
      </c>
      <c r="S365" s="709"/>
      <c r="T365" s="709"/>
      <c r="U365" s="709"/>
      <c r="V365" s="709"/>
      <c r="W365" s="709"/>
      <c r="Y365" s="501"/>
      <c r="BI365" s="106"/>
      <c r="BJ365" s="106"/>
      <c r="BK365" s="106"/>
      <c r="BL365" s="106"/>
      <c r="BM365" s="106"/>
      <c r="BN365" s="106"/>
      <c r="BO365" s="106"/>
    </row>
    <row r="366" spans="2:67" ht="3.75" customHeight="1" x14ac:dyDescent="0.25">
      <c r="R366" s="709"/>
      <c r="S366" s="709"/>
      <c r="T366" s="709"/>
      <c r="U366" s="709"/>
      <c r="V366" s="709"/>
      <c r="W366" s="709"/>
      <c r="Y366" s="501"/>
      <c r="BI366" s="106"/>
      <c r="BJ366" s="106"/>
      <c r="BK366" s="106"/>
      <c r="BL366" s="106"/>
      <c r="BM366" s="106"/>
      <c r="BN366" s="106"/>
      <c r="BO366" s="106"/>
    </row>
    <row r="367" spans="2:67" x14ac:dyDescent="0.25">
      <c r="B367" s="222"/>
      <c r="C367" s="222"/>
      <c r="D367" s="221"/>
      <c r="E367" s="221"/>
      <c r="F367" s="212" t="s">
        <v>286</v>
      </c>
      <c r="G367" s="215"/>
      <c r="H367" s="216">
        <v>0</v>
      </c>
      <c r="J367" s="221"/>
      <c r="K367" s="221"/>
      <c r="L367" s="221"/>
      <c r="M367" s="221"/>
      <c r="N367" s="212" t="s">
        <v>287</v>
      </c>
      <c r="O367" s="215"/>
      <c r="P367" s="216" t="str">
        <f>IF(Hea03_13=AIS_statement32,AIS_NA,AIS_No)</f>
        <v>N/A</v>
      </c>
      <c r="Q367" s="216"/>
      <c r="R367" s="709"/>
      <c r="S367" s="709"/>
      <c r="T367" s="709"/>
      <c r="U367" s="709"/>
      <c r="V367" s="709"/>
      <c r="W367" s="709"/>
      <c r="Y367" s="501"/>
      <c r="BI367" s="106"/>
      <c r="BJ367" s="106"/>
      <c r="BK367" s="106"/>
      <c r="BL367" s="106"/>
      <c r="BM367" s="106"/>
      <c r="BN367" s="106"/>
      <c r="BO367" s="106"/>
    </row>
    <row r="368" spans="2:67" ht="47.25" customHeight="1" x14ac:dyDescent="0.25">
      <c r="B368" s="23" t="s">
        <v>288</v>
      </c>
      <c r="C368" s="218"/>
      <c r="D368" s="215"/>
      <c r="E368" s="218"/>
      <c r="F368" s="255"/>
      <c r="J368" s="219" t="s">
        <v>289</v>
      </c>
      <c r="K368" s="219"/>
      <c r="L368" s="220" t="s">
        <v>290</v>
      </c>
      <c r="M368" s="23"/>
      <c r="N368" s="220" t="s">
        <v>291</v>
      </c>
      <c r="O368" s="23"/>
      <c r="P368" s="220"/>
      <c r="Q368" s="220"/>
      <c r="Y368" s="501"/>
      <c r="BI368" s="106"/>
      <c r="BJ368" s="106"/>
      <c r="BK368" s="106"/>
      <c r="BL368" s="106"/>
      <c r="BM368" s="106"/>
      <c r="BN368" s="106"/>
      <c r="BO368" s="106"/>
    </row>
    <row r="369" spans="2:67" ht="3" customHeight="1" x14ac:dyDescent="0.25">
      <c r="B369" s="215"/>
      <c r="C369" s="218"/>
      <c r="D369" s="215"/>
      <c r="E369" s="218"/>
      <c r="F369" s="244"/>
      <c r="G369" s="215"/>
      <c r="J369" s="245"/>
      <c r="K369" s="245"/>
      <c r="L369" s="215"/>
      <c r="M369" s="215"/>
      <c r="N369" s="246"/>
      <c r="O369" s="218"/>
      <c r="P369" s="246"/>
      <c r="Q369" s="246"/>
      <c r="Y369" s="501"/>
      <c r="BI369" s="106"/>
      <c r="BJ369" s="106"/>
      <c r="BK369" s="106"/>
      <c r="BL369" s="106"/>
      <c r="BM369" s="106"/>
      <c r="BN369" s="106"/>
      <c r="BO369" s="106"/>
    </row>
    <row r="370" spans="2:67" ht="15" customHeight="1" x14ac:dyDescent="0.25">
      <c r="B370" s="221"/>
      <c r="C370" s="221"/>
      <c r="D370" s="221"/>
      <c r="E370" s="221"/>
      <c r="F370" s="212"/>
      <c r="G370" s="221"/>
      <c r="H370" s="212" t="s">
        <v>397</v>
      </c>
      <c r="J370" s="223"/>
      <c r="K370" s="215"/>
      <c r="L370" s="246"/>
      <c r="M370" s="246"/>
      <c r="N370" s="246"/>
      <c r="O370" s="246"/>
      <c r="P370" s="246"/>
      <c r="Q370" s="246"/>
      <c r="Y370" s="501"/>
      <c r="BI370" s="106"/>
      <c r="BJ370" s="106"/>
      <c r="BK370" s="106"/>
      <c r="BL370" s="106"/>
      <c r="BM370" s="106"/>
      <c r="BN370" s="106"/>
      <c r="BO370" s="106"/>
    </row>
    <row r="371" spans="2:67" x14ac:dyDescent="0.25">
      <c r="B371" s="221"/>
      <c r="C371" s="221"/>
      <c r="D371" s="221"/>
      <c r="E371" s="221"/>
      <c r="F371" s="212"/>
      <c r="G371" s="221"/>
      <c r="H371" s="212" t="s">
        <v>398</v>
      </c>
      <c r="J371" s="223"/>
      <c r="K371" s="215"/>
      <c r="L371" s="224">
        <v>1</v>
      </c>
      <c r="M371" s="215"/>
      <c r="N371" s="224">
        <f>IF(AND(Hea10_01=AIS_Yes,Hea10_02=AIS_Yes),Hea10_04,0)</f>
        <v>0</v>
      </c>
      <c r="O371" s="215"/>
      <c r="P371" s="400"/>
      <c r="Q371" s="400"/>
      <c r="Y371" s="501"/>
      <c r="BI371" s="106"/>
      <c r="BJ371" s="106"/>
      <c r="BK371" s="106"/>
      <c r="BL371" s="106"/>
      <c r="BM371" s="106"/>
      <c r="BN371" s="106"/>
      <c r="BO371" s="106"/>
    </row>
    <row r="372" spans="2:67" ht="15.75" customHeight="1" x14ac:dyDescent="0.25">
      <c r="B372" s="221"/>
      <c r="C372" s="221"/>
      <c r="D372" s="221"/>
      <c r="E372" s="221"/>
      <c r="F372" s="212"/>
      <c r="G372" s="221"/>
      <c r="H372" s="212" t="s">
        <v>399</v>
      </c>
      <c r="J372" s="223"/>
      <c r="K372" s="215"/>
      <c r="L372" s="224">
        <v>1</v>
      </c>
      <c r="M372" s="215"/>
      <c r="N372" s="224">
        <f>IF(AND(Hea10_01=AIS_Yes,Hea10_03=AIS_Yes),Hea10_05,0)</f>
        <v>0</v>
      </c>
      <c r="O372" s="215"/>
      <c r="P372" s="400"/>
      <c r="Q372" s="400"/>
      <c r="Y372" s="501"/>
      <c r="BI372" s="106"/>
      <c r="BJ372" s="106"/>
      <c r="BK372" s="106"/>
      <c r="BL372" s="106"/>
      <c r="BM372" s="106"/>
      <c r="BN372" s="106"/>
      <c r="BO372" s="106"/>
    </row>
    <row r="373" spans="2:67" ht="16.5" customHeight="1" x14ac:dyDescent="0.25">
      <c r="Y373" s="501"/>
      <c r="BI373" s="106"/>
      <c r="BJ373" s="106"/>
      <c r="BK373" s="106"/>
      <c r="BL373" s="106"/>
      <c r="BM373" s="106"/>
      <c r="BN373" s="106"/>
      <c r="BO373" s="106"/>
    </row>
    <row r="374" spans="2:67" x14ac:dyDescent="0.25">
      <c r="B374" s="221"/>
      <c r="C374" s="222"/>
      <c r="D374" s="222"/>
      <c r="E374" s="221"/>
      <c r="F374" s="212" t="s">
        <v>296</v>
      </c>
      <c r="G374" s="215"/>
      <c r="H374" s="216">
        <f>IF(P363=AIS_statement32,0,SUM(N371:N372))</f>
        <v>0</v>
      </c>
      <c r="J374" s="347"/>
      <c r="K374" s="215"/>
      <c r="M374" s="215"/>
      <c r="N374" s="215"/>
      <c r="O374" s="215"/>
      <c r="P374" s="215"/>
      <c r="Q374" s="215"/>
      <c r="Y374" s="501"/>
      <c r="BI374" s="106"/>
      <c r="BJ374" s="106"/>
      <c r="BK374" s="106"/>
      <c r="BL374" s="106"/>
      <c r="BM374" s="106"/>
      <c r="BN374" s="106"/>
      <c r="BO374" s="106"/>
    </row>
    <row r="375" spans="2:67" ht="3" customHeight="1" x14ac:dyDescent="0.25">
      <c r="B375" s="215"/>
      <c r="E375" s="215"/>
      <c r="F375" s="225"/>
      <c r="G375" s="215"/>
      <c r="H375" s="252"/>
      <c r="K375" s="215"/>
      <c r="M375" s="215"/>
      <c r="N375" s="215"/>
      <c r="O375" s="215"/>
      <c r="P375" s="215"/>
      <c r="Q375" s="215"/>
      <c r="Y375" s="501"/>
      <c r="BI375" s="106"/>
      <c r="BJ375" s="106"/>
      <c r="BK375" s="106"/>
      <c r="BL375" s="106"/>
      <c r="BM375" s="106"/>
      <c r="BN375" s="106"/>
      <c r="BO375" s="106"/>
    </row>
    <row r="376" spans="2:67" x14ac:dyDescent="0.25">
      <c r="B376" s="221"/>
      <c r="C376" s="222"/>
      <c r="D376" s="222"/>
      <c r="E376" s="221"/>
      <c r="F376" s="212" t="s">
        <v>297</v>
      </c>
      <c r="G376" s="215"/>
      <c r="H376" s="217">
        <f>IF(P363=AIS_statement32,0,Hea10_10/Hea10_credits*Hea10_tot)</f>
        <v>0</v>
      </c>
      <c r="K376" s="215"/>
      <c r="M376" s="215"/>
      <c r="N376" s="215"/>
      <c r="O376" s="215"/>
      <c r="P376" s="215"/>
      <c r="Q376" s="215"/>
      <c r="Y376" s="501"/>
      <c r="BI376" s="106"/>
      <c r="BJ376" s="106"/>
      <c r="BK376" s="106"/>
      <c r="BL376" s="106"/>
      <c r="BM376" s="106"/>
      <c r="BN376" s="106"/>
      <c r="BO376" s="106"/>
    </row>
    <row r="377" spans="2:67" ht="3" customHeight="1" x14ac:dyDescent="0.25">
      <c r="K377" s="215"/>
      <c r="M377" s="215"/>
      <c r="N377" s="215"/>
      <c r="O377" s="215"/>
      <c r="P377" s="215"/>
      <c r="Q377" s="215"/>
      <c r="Y377" s="501"/>
      <c r="BI377" s="106"/>
      <c r="BJ377" s="106"/>
      <c r="BK377" s="106"/>
      <c r="BL377" s="106"/>
      <c r="BM377" s="106"/>
      <c r="BN377" s="106"/>
      <c r="BO377" s="106"/>
    </row>
    <row r="378" spans="2:67" x14ac:dyDescent="0.25">
      <c r="B378" s="221"/>
      <c r="C378" s="222"/>
      <c r="D378" s="222"/>
      <c r="E378" s="221"/>
      <c r="F378" s="212" t="s">
        <v>298</v>
      </c>
      <c r="H378" s="216" t="s">
        <v>300</v>
      </c>
      <c r="K378" s="215"/>
      <c r="M378" s="215"/>
      <c r="N378" s="215"/>
      <c r="O378" s="215"/>
      <c r="P378" s="215"/>
      <c r="Q378" s="215"/>
      <c r="Y378" s="501"/>
      <c r="BI378" s="106"/>
      <c r="BJ378" s="106"/>
      <c r="BK378" s="106"/>
      <c r="BL378" s="106"/>
      <c r="BM378" s="106"/>
      <c r="BN378" s="106"/>
      <c r="BO378" s="106"/>
    </row>
    <row r="379" spans="2:67" ht="3" customHeight="1" x14ac:dyDescent="0.25">
      <c r="K379" s="215"/>
      <c r="M379" s="215"/>
      <c r="N379" s="215"/>
      <c r="O379" s="215"/>
      <c r="P379" s="215"/>
      <c r="Q379" s="215"/>
      <c r="Y379" s="501"/>
      <c r="BI379" s="106"/>
      <c r="BJ379" s="106"/>
      <c r="BK379" s="106"/>
      <c r="BL379" s="106"/>
      <c r="BM379" s="106"/>
      <c r="BN379" s="106"/>
      <c r="BO379" s="106"/>
    </row>
    <row r="380" spans="2:67" x14ac:dyDescent="0.25">
      <c r="B380" s="221"/>
      <c r="C380" s="222"/>
      <c r="D380" s="221"/>
      <c r="E380" s="221"/>
      <c r="F380" s="212" t="s">
        <v>299</v>
      </c>
      <c r="H380" s="216" t="s">
        <v>300</v>
      </c>
      <c r="K380" s="215"/>
      <c r="M380" s="215"/>
      <c r="N380" s="215"/>
      <c r="O380" s="215"/>
      <c r="P380" s="215"/>
      <c r="Q380" s="215"/>
      <c r="Y380" s="501"/>
      <c r="BI380" s="106"/>
      <c r="BJ380" s="106"/>
      <c r="BK380" s="106"/>
      <c r="BL380" s="106"/>
      <c r="BM380" s="106"/>
      <c r="BN380" s="106"/>
      <c r="BO380" s="106"/>
    </row>
    <row r="381" spans="2:67" x14ac:dyDescent="0.25">
      <c r="B381" s="203"/>
      <c r="C381" s="203"/>
      <c r="D381" s="203"/>
      <c r="E381" s="203"/>
      <c r="F381" s="203"/>
      <c r="G381" s="203"/>
      <c r="H381" s="203"/>
      <c r="I381" s="203"/>
      <c r="J381" s="203"/>
      <c r="K381" s="203"/>
      <c r="L381" s="203"/>
      <c r="M381" s="215"/>
      <c r="N381" s="215"/>
      <c r="O381" s="215"/>
      <c r="P381" s="215"/>
      <c r="Q381" s="215"/>
      <c r="Y381" s="501"/>
      <c r="BI381" s="106"/>
      <c r="BJ381" s="106"/>
      <c r="BK381" s="106"/>
      <c r="BL381" s="106"/>
      <c r="BM381" s="106"/>
      <c r="BN381" s="106"/>
      <c r="BO381" s="106"/>
    </row>
    <row r="382" spans="2:67" x14ac:dyDescent="0.25">
      <c r="B382" s="257" t="s">
        <v>301</v>
      </c>
      <c r="C382" s="215"/>
      <c r="D382" s="215"/>
      <c r="E382" s="215"/>
      <c r="F382" s="225"/>
      <c r="G382" s="215"/>
      <c r="H382" s="215"/>
      <c r="I382" s="215"/>
      <c r="J382" s="215"/>
      <c r="K382" s="215"/>
      <c r="L382" s="215"/>
      <c r="M382" s="215"/>
      <c r="N382" s="215"/>
      <c r="O382" s="215"/>
      <c r="P382" s="215"/>
      <c r="Q382" s="215"/>
      <c r="Y382" s="501"/>
      <c r="BI382" s="106"/>
      <c r="BJ382" s="106"/>
      <c r="BK382" s="106"/>
      <c r="BL382" s="106"/>
      <c r="BM382" s="106"/>
      <c r="BN382" s="106"/>
      <c r="BO382" s="106"/>
    </row>
    <row r="383" spans="2:67" ht="159.94999999999999" customHeight="1" x14ac:dyDescent="0.25">
      <c r="B383" s="736"/>
      <c r="C383" s="737"/>
      <c r="D383" s="737"/>
      <c r="E383" s="737"/>
      <c r="F383" s="737"/>
      <c r="G383" s="737"/>
      <c r="H383" s="737"/>
      <c r="I383" s="737"/>
      <c r="J383" s="737"/>
      <c r="K383" s="737"/>
      <c r="L383" s="737"/>
      <c r="M383" s="737"/>
      <c r="N383" s="737"/>
      <c r="O383" s="737"/>
      <c r="P383" s="738"/>
      <c r="Q383" s="416"/>
      <c r="Y383" s="501"/>
      <c r="BI383" s="106"/>
      <c r="BJ383" s="106"/>
      <c r="BK383" s="106"/>
      <c r="BL383" s="106"/>
      <c r="BM383" s="106"/>
      <c r="BN383" s="106"/>
      <c r="BO383" s="106"/>
    </row>
    <row r="384" spans="2:67" ht="30" customHeight="1" x14ac:dyDescent="0.25">
      <c r="Y384" s="501"/>
      <c r="BI384" s="106"/>
      <c r="BJ384" s="106"/>
      <c r="BK384" s="106"/>
      <c r="BL384" s="106"/>
      <c r="BM384" s="106"/>
      <c r="BN384" s="106"/>
      <c r="BO384" s="106"/>
    </row>
    <row r="385" spans="2:67" ht="24.95" customHeight="1" x14ac:dyDescent="0.25">
      <c r="B385" s="341" t="s">
        <v>400</v>
      </c>
      <c r="C385" s="342"/>
      <c r="D385" s="342"/>
      <c r="E385" s="342"/>
      <c r="F385" s="342"/>
      <c r="G385" s="342"/>
      <c r="H385" s="342"/>
      <c r="I385" s="342"/>
      <c r="J385" s="342"/>
      <c r="K385" s="342"/>
      <c r="L385" s="342"/>
      <c r="M385" s="342"/>
      <c r="N385" s="325"/>
      <c r="O385" s="326"/>
      <c r="P385" s="327"/>
      <c r="Q385" s="327"/>
      <c r="Y385" s="501"/>
      <c r="BI385" s="106"/>
      <c r="BJ385" s="106"/>
      <c r="BK385" s="106"/>
      <c r="BL385" s="106"/>
      <c r="BM385" s="106"/>
      <c r="BN385" s="106"/>
      <c r="BO385" s="106"/>
    </row>
    <row r="386" spans="2:67" x14ac:dyDescent="0.25">
      <c r="Y386" s="501"/>
      <c r="BI386" s="106"/>
      <c r="BJ386" s="106"/>
      <c r="BK386" s="106"/>
      <c r="BL386" s="106"/>
      <c r="BM386" s="106"/>
      <c r="BN386" s="106"/>
      <c r="BO386" s="106"/>
    </row>
    <row r="387" spans="2:67" ht="36" customHeight="1" x14ac:dyDescent="0.25">
      <c r="B387" s="24" t="s">
        <v>401</v>
      </c>
      <c r="C387" s="13"/>
      <c r="D387" s="236"/>
      <c r="E387" s="237"/>
      <c r="F387" s="237"/>
      <c r="G387" s="237"/>
      <c r="H387" s="479"/>
      <c r="I387" s="237"/>
      <c r="J387" s="237"/>
      <c r="K387" s="237"/>
      <c r="L387" s="237"/>
      <c r="M387" s="237"/>
      <c r="N387" s="237"/>
      <c r="O387" s="237"/>
      <c r="P387" s="237"/>
      <c r="Q387" s="215"/>
      <c r="R387" s="765"/>
      <c r="S387" s="766"/>
      <c r="T387" s="766"/>
      <c r="U387" s="766"/>
      <c r="V387" s="766"/>
      <c r="W387" s="766"/>
      <c r="X387" s="766"/>
      <c r="Y387" s="501"/>
      <c r="BI387" s="106"/>
      <c r="BJ387" s="106"/>
      <c r="BK387" s="106"/>
      <c r="BL387" s="106"/>
      <c r="BM387" s="106"/>
      <c r="BN387" s="106"/>
      <c r="BO387" s="106"/>
    </row>
    <row r="388" spans="2:67" x14ac:dyDescent="0.25">
      <c r="B388" s="215"/>
      <c r="C388" s="215"/>
      <c r="D388" s="215"/>
      <c r="E388" s="215"/>
      <c r="F388" s="215"/>
      <c r="G388" s="215"/>
      <c r="H388" s="215"/>
      <c r="I388" s="215"/>
      <c r="J388" s="215"/>
      <c r="K388" s="215"/>
      <c r="L388" s="215"/>
      <c r="M388" s="215"/>
      <c r="N388" s="215"/>
      <c r="O388" s="215"/>
      <c r="P388" s="215"/>
      <c r="Q388" s="215"/>
      <c r="R388" s="766"/>
      <c r="S388" s="766"/>
      <c r="T388" s="766"/>
      <c r="U388" s="766"/>
      <c r="V388" s="766"/>
      <c r="W388" s="766"/>
      <c r="X388" s="766"/>
      <c r="Y388" s="501"/>
      <c r="BI388" s="106"/>
      <c r="BJ388" s="106"/>
      <c r="BK388" s="106"/>
      <c r="BL388" s="106"/>
      <c r="BM388" s="106"/>
      <c r="BN388" s="106"/>
      <c r="BO388" s="106"/>
    </row>
    <row r="389" spans="2:67" ht="15" customHeight="1" x14ac:dyDescent="0.25">
      <c r="B389" s="222"/>
      <c r="C389" s="222"/>
      <c r="D389" s="221"/>
      <c r="E389" s="221"/>
      <c r="F389" s="212" t="s">
        <v>284</v>
      </c>
      <c r="G389" s="215"/>
      <c r="H389" s="216">
        <v>14</v>
      </c>
      <c r="J389" s="222"/>
      <c r="K389" s="222"/>
      <c r="L389" s="222"/>
      <c r="M389" s="222"/>
      <c r="N389" s="212" t="s">
        <v>285</v>
      </c>
      <c r="P389" s="217" t="e">
        <f>(BP_34/BP_03)*Ene01_credits</f>
        <v>#N/A</v>
      </c>
      <c r="Q389" s="217"/>
      <c r="R389" s="709"/>
      <c r="S389" s="709"/>
      <c r="T389" s="709"/>
      <c r="U389" s="709"/>
      <c r="V389" s="709"/>
      <c r="W389" s="709"/>
      <c r="X389" s="709"/>
      <c r="Y389" s="501"/>
      <c r="BI389" s="106"/>
      <c r="BJ389" s="106"/>
      <c r="BK389" s="106"/>
      <c r="BL389" s="106"/>
      <c r="BM389" s="106"/>
      <c r="BN389" s="106"/>
      <c r="BO389" s="106"/>
    </row>
    <row r="390" spans="2:67" ht="3.75" customHeight="1" x14ac:dyDescent="0.25">
      <c r="R390" s="709"/>
      <c r="S390" s="709"/>
      <c r="T390" s="709"/>
      <c r="U390" s="709"/>
      <c r="V390" s="709"/>
      <c r="W390" s="709"/>
      <c r="X390" s="709"/>
      <c r="Y390" s="501"/>
      <c r="BI390" s="106"/>
      <c r="BJ390" s="106"/>
      <c r="BK390" s="106"/>
      <c r="BL390" s="106"/>
      <c r="BM390" s="106"/>
      <c r="BN390" s="106"/>
      <c r="BO390" s="106"/>
    </row>
    <row r="391" spans="2:67" x14ac:dyDescent="0.25">
      <c r="B391" s="222"/>
      <c r="C391" s="222"/>
      <c r="D391" s="221"/>
      <c r="E391" s="221"/>
      <c r="F391" s="212" t="s">
        <v>286</v>
      </c>
      <c r="G391" s="215"/>
      <c r="H391" s="216">
        <v>0</v>
      </c>
      <c r="J391" s="221"/>
      <c r="K391" s="221"/>
      <c r="L391" s="221"/>
      <c r="M391" s="221"/>
      <c r="N391" s="212" t="s">
        <v>287</v>
      </c>
      <c r="O391" s="215"/>
      <c r="P391" s="216" t="s">
        <v>121</v>
      </c>
      <c r="Q391" s="216"/>
      <c r="R391" s="709"/>
      <c r="S391" s="709"/>
      <c r="T391" s="709"/>
      <c r="U391" s="709"/>
      <c r="V391" s="709"/>
      <c r="W391" s="709"/>
      <c r="X391" s="709"/>
      <c r="Y391" s="501"/>
      <c r="BI391" s="106"/>
      <c r="BJ391" s="106"/>
      <c r="BK391" s="106"/>
      <c r="BL391" s="106"/>
      <c r="BM391" s="106"/>
      <c r="BN391" s="106"/>
      <c r="BO391" s="106"/>
    </row>
    <row r="392" spans="2:67" ht="15" customHeight="1" x14ac:dyDescent="0.25">
      <c r="R392" s="709"/>
      <c r="S392" s="709"/>
      <c r="T392" s="709"/>
      <c r="U392" s="709"/>
      <c r="V392" s="709"/>
      <c r="W392" s="709"/>
      <c r="X392" s="709"/>
      <c r="Y392" s="501"/>
      <c r="BI392" s="106"/>
      <c r="BJ392" s="106"/>
      <c r="BK392" s="106"/>
      <c r="BL392" s="106"/>
      <c r="BM392" s="106"/>
      <c r="BN392" s="106"/>
      <c r="BO392" s="106"/>
    </row>
    <row r="393" spans="2:67" ht="47.25" customHeight="1" x14ac:dyDescent="0.25">
      <c r="B393" s="23" t="s">
        <v>402</v>
      </c>
      <c r="D393" s="473"/>
      <c r="E393" s="473"/>
      <c r="F393" s="473"/>
      <c r="G393" s="473"/>
      <c r="H393" s="473"/>
      <c r="I393" s="473"/>
      <c r="J393" s="473"/>
      <c r="K393" s="473"/>
      <c r="L393" s="473"/>
      <c r="M393" s="473"/>
      <c r="N393" s="500"/>
      <c r="O393" s="473"/>
      <c r="P393" s="473"/>
      <c r="Q393" s="473"/>
      <c r="R393" s="709" t="str">
        <f>IF(OR(Ene01_80=AIS_statement91,Ene01_80=AIS_Statement101),AIS_statement86,"")</f>
        <v/>
      </c>
      <c r="S393" s="709"/>
      <c r="T393" s="709"/>
      <c r="U393" s="709"/>
      <c r="V393" s="709"/>
      <c r="W393" s="709"/>
      <c r="X393" s="709"/>
      <c r="Y393" s="501"/>
      <c r="BI393" s="106"/>
      <c r="BJ393" s="106"/>
      <c r="BK393" s="106"/>
      <c r="BL393" s="106"/>
      <c r="BM393" s="106"/>
      <c r="BN393" s="106"/>
      <c r="BO393" s="106"/>
    </row>
    <row r="394" spans="2:67" ht="15.6" customHeight="1" x14ac:dyDescent="0.25">
      <c r="B394" s="23"/>
      <c r="H394" s="220"/>
      <c r="J394" s="209"/>
      <c r="L394" s="220"/>
      <c r="N394" s="209"/>
      <c r="O394" s="209"/>
      <c r="P394" s="209"/>
      <c r="Q394" s="408"/>
      <c r="R394" s="709"/>
      <c r="S394" s="709"/>
      <c r="T394" s="709"/>
      <c r="U394" s="709"/>
      <c r="V394" s="709"/>
      <c r="W394" s="709"/>
      <c r="X394" s="709"/>
      <c r="Y394" s="501"/>
      <c r="BI394" s="106"/>
      <c r="BJ394" s="106"/>
      <c r="BK394" s="106"/>
      <c r="BL394" s="106"/>
      <c r="BM394" s="106"/>
      <c r="BN394" s="106"/>
      <c r="BO394" s="106"/>
    </row>
    <row r="395" spans="2:67" ht="37.5" hidden="1" customHeight="1" x14ac:dyDescent="0.25">
      <c r="B395" s="221"/>
      <c r="C395" s="221"/>
      <c r="D395" s="221"/>
      <c r="E395" s="221"/>
      <c r="F395" s="212" t="s">
        <v>403</v>
      </c>
      <c r="H395" s="470" t="str">
        <f>AD_Country</f>
        <v>Sweden</v>
      </c>
      <c r="J395" s="777" t="s">
        <v>404</v>
      </c>
      <c r="K395" s="777"/>
      <c r="L395" s="777"/>
      <c r="M395" s="428"/>
      <c r="N395" s="804" t="e">
        <f>IF(Country=0,"Input asssessment country in assessment details tab",VLOOKUP(Country,Y1573:Z1576,2,FALSE))</f>
        <v>#N/A</v>
      </c>
      <c r="O395" s="805"/>
      <c r="P395" s="806"/>
      <c r="Q395" s="572"/>
      <c r="R395" s="709"/>
      <c r="S395" s="709"/>
      <c r="T395" s="709"/>
      <c r="U395" s="709"/>
      <c r="V395" s="709"/>
      <c r="W395" s="709"/>
      <c r="X395" s="709"/>
      <c r="Y395" s="501"/>
      <c r="AW395" s="501"/>
      <c r="BI395" s="106"/>
      <c r="BJ395" s="106"/>
      <c r="BK395" s="106"/>
      <c r="BL395" s="106"/>
      <c r="BM395" s="106"/>
      <c r="BN395" s="106"/>
      <c r="BO395" s="106"/>
    </row>
    <row r="396" spans="2:67" x14ac:dyDescent="0.25">
      <c r="B396" s="769" t="s">
        <v>405</v>
      </c>
      <c r="C396" s="769"/>
      <c r="D396" s="769"/>
      <c r="E396" s="769"/>
      <c r="F396" s="769"/>
      <c r="G396" s="177"/>
      <c r="H396" s="305"/>
      <c r="I396" s="596"/>
      <c r="J396" s="596"/>
      <c r="K396" s="596"/>
      <c r="L396" s="596"/>
      <c r="M396" s="596"/>
      <c r="N396" s="596"/>
      <c r="O396" s="596"/>
      <c r="P396" s="596"/>
      <c r="Q396" s="629"/>
      <c r="R396" s="709"/>
      <c r="S396" s="709"/>
      <c r="T396" s="709"/>
      <c r="U396" s="709"/>
      <c r="V396" s="709"/>
      <c r="W396" s="709"/>
      <c r="X396" s="709"/>
      <c r="Y396" s="501"/>
      <c r="AW396" s="501"/>
      <c r="BI396" s="106"/>
      <c r="BJ396" s="106"/>
      <c r="BK396" s="106"/>
      <c r="BL396" s="106"/>
      <c r="BM396" s="106"/>
      <c r="BN396" s="106"/>
      <c r="BO396" s="106"/>
    </row>
    <row r="397" spans="2:67" ht="15.6" customHeight="1" x14ac:dyDescent="0.25">
      <c r="B397" s="769" t="s">
        <v>406</v>
      </c>
      <c r="C397" s="769"/>
      <c r="D397" s="769"/>
      <c r="E397" s="769"/>
      <c r="F397" s="769"/>
      <c r="G397" s="177"/>
      <c r="H397" s="633"/>
      <c r="I397" s="177"/>
      <c r="J397" s="177"/>
      <c r="K397" s="177"/>
      <c r="L397" s="177"/>
      <c r="M397" s="177"/>
      <c r="N397" s="177"/>
      <c r="O397" s="177"/>
      <c r="P397" s="177"/>
      <c r="Q397" s="177"/>
      <c r="R397" s="709"/>
      <c r="S397" s="709"/>
      <c r="T397" s="709"/>
      <c r="U397" s="709"/>
      <c r="V397" s="709"/>
      <c r="W397" s="709"/>
      <c r="X397" s="709"/>
      <c r="Y397" s="501"/>
      <c r="AW397" s="501"/>
      <c r="BI397" s="106"/>
      <c r="BJ397" s="106"/>
      <c r="BK397" s="106"/>
      <c r="BL397" s="106"/>
      <c r="BM397" s="106"/>
      <c r="BN397" s="106"/>
      <c r="BO397" s="106"/>
    </row>
    <row r="398" spans="2:67" ht="15.6" customHeight="1" x14ac:dyDescent="0.25">
      <c r="B398" s="769" t="s">
        <v>407</v>
      </c>
      <c r="C398" s="769"/>
      <c r="D398" s="769"/>
      <c r="E398" s="769"/>
      <c r="F398" s="769"/>
      <c r="G398" s="177"/>
      <c r="H398" s="630">
        <f>IF(SEne01_Pimp&lt;0,0,SEne01_Pimp)</f>
        <v>0</v>
      </c>
      <c r="I398" s="177"/>
      <c r="J398" s="177"/>
      <c r="K398" s="177"/>
      <c r="L398" s="177"/>
      <c r="M398" s="177"/>
      <c r="N398" s="177"/>
      <c r="O398" s="177"/>
      <c r="P398" s="177"/>
      <c r="Q398" s="177"/>
      <c r="R398" s="709"/>
      <c r="S398" s="709"/>
      <c r="T398" s="709"/>
      <c r="U398" s="709"/>
      <c r="V398" s="709"/>
      <c r="W398" s="709"/>
      <c r="X398" s="709"/>
      <c r="Y398" s="501"/>
      <c r="AW398" s="501"/>
      <c r="BI398" s="106"/>
      <c r="BJ398" s="106"/>
      <c r="BK398" s="106"/>
      <c r="BL398" s="106"/>
      <c r="BM398" s="106"/>
      <c r="BN398" s="106"/>
      <c r="BO398" s="106"/>
    </row>
    <row r="399" spans="2:67" ht="15.6" customHeight="1" x14ac:dyDescent="0.25">
      <c r="B399" s="177"/>
      <c r="C399" s="177"/>
      <c r="D399" s="177"/>
      <c r="E399" s="177"/>
      <c r="F399" s="177"/>
      <c r="G399" s="177"/>
      <c r="H399" s="177"/>
      <c r="I399" s="177"/>
      <c r="J399" s="177"/>
      <c r="K399" s="177"/>
      <c r="L399" s="177"/>
      <c r="M399" s="177"/>
      <c r="N399" s="177"/>
      <c r="O399" s="177"/>
      <c r="P399" s="177"/>
      <c r="Q399" s="177"/>
      <c r="R399" s="709"/>
      <c r="S399" s="709"/>
      <c r="T399" s="709"/>
      <c r="U399" s="709"/>
      <c r="V399" s="709"/>
      <c r="W399" s="709"/>
      <c r="X399" s="709"/>
      <c r="Y399" s="501"/>
      <c r="AW399" s="501"/>
      <c r="BI399" s="106"/>
      <c r="BJ399" s="106"/>
      <c r="BK399" s="106"/>
      <c r="BL399" s="106"/>
      <c r="BM399" s="106"/>
      <c r="BN399" s="106"/>
      <c r="BO399" s="106"/>
    </row>
    <row r="400" spans="2:67" ht="15.6" hidden="1" customHeight="1" x14ac:dyDescent="0.25">
      <c r="B400" s="177"/>
      <c r="C400" s="177"/>
      <c r="D400" s="177"/>
      <c r="E400" s="177"/>
      <c r="F400" s="177"/>
      <c r="G400" s="177"/>
      <c r="H400" s="627"/>
      <c r="J400" s="209"/>
      <c r="L400" s="796" t="str">
        <f>IF(Ene01_80=AIS_statement91,"Domestic Building Areas","")</f>
        <v/>
      </c>
      <c r="N400" s="429"/>
      <c r="P400" s="220"/>
      <c r="Q400" s="220"/>
      <c r="R400" s="709"/>
      <c r="S400" s="709"/>
      <c r="T400" s="709"/>
      <c r="U400" s="709"/>
      <c r="V400" s="709"/>
      <c r="W400" s="709"/>
      <c r="X400" s="709"/>
      <c r="Y400" s="501"/>
      <c r="AW400" s="501"/>
      <c r="BI400" s="106"/>
      <c r="BJ400" s="106"/>
      <c r="BK400" s="106"/>
      <c r="BL400" s="106"/>
      <c r="BM400" s="106"/>
      <c r="BN400" s="106"/>
      <c r="BO400" s="106"/>
    </row>
    <row r="401" spans="2:67" ht="17.25" hidden="1" customHeight="1" x14ac:dyDescent="0.25">
      <c r="B401" s="23">
        <f>ADPT</f>
        <v>0</v>
      </c>
      <c r="C401" s="177"/>
      <c r="D401" s="177"/>
      <c r="E401" s="177"/>
      <c r="F401" s="177"/>
      <c r="G401" s="177"/>
      <c r="H401" s="628"/>
      <c r="J401" s="209"/>
      <c r="L401" s="796"/>
      <c r="N401" s="3"/>
      <c r="P401" s="220"/>
      <c r="Q401" s="220"/>
      <c r="R401" s="709"/>
      <c r="S401" s="709"/>
      <c r="T401" s="709"/>
      <c r="U401" s="709"/>
      <c r="V401" s="709"/>
      <c r="W401" s="709"/>
      <c r="X401" s="709"/>
      <c r="Y401" s="501"/>
      <c r="AW401" s="501"/>
      <c r="BI401" s="106"/>
      <c r="BJ401" s="106"/>
      <c r="BK401" s="106"/>
      <c r="BL401" s="106"/>
      <c r="BM401" s="106"/>
      <c r="BN401" s="106"/>
      <c r="BO401" s="106"/>
    </row>
    <row r="402" spans="2:67" hidden="1" x14ac:dyDescent="0.25">
      <c r="B402" s="221"/>
      <c r="C402" s="221"/>
      <c r="D402" s="221"/>
      <c r="E402" s="221"/>
      <c r="F402" s="212" t="s">
        <v>408</v>
      </c>
      <c r="H402" s="271">
        <f>IF(AND(AD_MultiRes_option01=AD_Yes,AD_MultiRes_option02&lt;1),((1-AD_MultiRes_option02)*AD_GIA),IF(AD_MultiRes_option02=1,0,AD_GIA))</f>
        <v>0</v>
      </c>
      <c r="J402" s="209" t="str">
        <f>IF(AD_MultiRes_option01=AD_Yes,"",AIS_Statement_111)</f>
        <v>m2</v>
      </c>
      <c r="L402" s="275" t="str">
        <f>IF(AND(OR(ADBT0=ADBT8,ADBT0=ADBT9),AD_MultiRes_option01=AD_Yes),(AD_MultiRes_option02*AD_GIA),"")</f>
        <v/>
      </c>
      <c r="N402" s="209" t="str">
        <f>IF(Ene01_80=AIS_statement91,"m2","")</f>
        <v/>
      </c>
      <c r="P402" s="419"/>
      <c r="Q402" s="409"/>
      <c r="R402" s="709"/>
      <c r="S402" s="709"/>
      <c r="T402" s="709"/>
      <c r="U402" s="709"/>
      <c r="V402" s="709"/>
      <c r="W402" s="709"/>
      <c r="X402" s="709"/>
      <c r="Y402" s="501"/>
      <c r="BI402" s="106"/>
      <c r="BJ402" s="106"/>
      <c r="BK402" s="106"/>
      <c r="BL402" s="106"/>
      <c r="BM402" s="106"/>
      <c r="BN402" s="106"/>
      <c r="BO402" s="106"/>
    </row>
    <row r="403" spans="2:67" hidden="1" x14ac:dyDescent="0.25">
      <c r="B403" s="221"/>
      <c r="C403" s="221"/>
      <c r="D403" s="221"/>
      <c r="E403" s="221"/>
      <c r="F403" s="212" t="s">
        <v>409</v>
      </c>
      <c r="H403" s="289"/>
      <c r="J403" s="209" t="str">
        <f>IF(AD_Country="Scotland","To be taken from Section 6 output, Part 1: Predicted CO2 emission from proposed building.","")</f>
        <v/>
      </c>
      <c r="L403" s="547"/>
      <c r="N403" s="209"/>
      <c r="P403" s="3"/>
      <c r="Q403" s="3"/>
      <c r="R403" s="210"/>
      <c r="S403" s="210"/>
      <c r="T403" s="210"/>
      <c r="U403" s="210"/>
      <c r="V403" s="210"/>
      <c r="W403" s="210"/>
      <c r="X403" s="210"/>
      <c r="Y403" s="501"/>
      <c r="BI403" s="106"/>
      <c r="BJ403" s="106"/>
      <c r="BK403" s="106"/>
      <c r="BL403" s="106"/>
      <c r="BM403" s="106"/>
      <c r="BN403" s="106"/>
      <c r="BO403" s="106"/>
    </row>
    <row r="404" spans="2:67" hidden="1" x14ac:dyDescent="0.25">
      <c r="B404" s="221"/>
      <c r="C404" s="221"/>
      <c r="D404" s="221"/>
      <c r="E404" s="221"/>
      <c r="F404" s="212" t="s">
        <v>410</v>
      </c>
      <c r="H404" s="272"/>
      <c r="J404" s="209" t="str">
        <f>IF(AND(AD_MultiRes_option01=AD_Yes,AD_MultiRes_option02=1),"",AIS_Statement_108)</f>
        <v>MJ/m2 yr</v>
      </c>
      <c r="L404" s="547"/>
      <c r="N404" s="590" t="str">
        <f>IF(OR(Ene01_80=AIS_statement91,Ene01_80=AIS_Statement101),"MJ/m2 yr","")</f>
        <v/>
      </c>
      <c r="R404" s="210"/>
      <c r="S404" s="210"/>
      <c r="T404" s="210"/>
      <c r="U404" s="210"/>
      <c r="V404" s="210"/>
      <c r="W404" s="210"/>
      <c r="X404" s="210"/>
      <c r="Y404" s="501"/>
      <c r="BI404" s="106"/>
      <c r="BJ404" s="106"/>
      <c r="BK404" s="106"/>
      <c r="BL404" s="106"/>
      <c r="BM404" s="106"/>
      <c r="BN404" s="106"/>
      <c r="BO404" s="106"/>
    </row>
    <row r="405" spans="2:67" hidden="1" x14ac:dyDescent="0.25">
      <c r="B405" s="221"/>
      <c r="C405" s="221"/>
      <c r="D405" s="221"/>
      <c r="E405" s="221"/>
      <c r="F405" s="212" t="s">
        <v>411</v>
      </c>
      <c r="H405" s="272"/>
      <c r="J405" s="209" t="str">
        <f>IF(AND(AD_MultiRes_option01=AD_Yes,AD_MultiRes_option02=1),"",AIS_Statement_108)</f>
        <v>MJ/m2 yr</v>
      </c>
      <c r="L405" s="547"/>
      <c r="N405" s="590" t="str">
        <f>IF(OR(Ene01_80=AIS_statement91,Ene01_80=AIS_Statement101),"MJ/m2 yr","")</f>
        <v/>
      </c>
      <c r="R405" s="210"/>
      <c r="S405" s="177"/>
      <c r="T405" s="177"/>
      <c r="U405" s="177"/>
      <c r="V405" s="177"/>
      <c r="W405" s="177"/>
      <c r="Y405" s="501"/>
      <c r="BI405" s="106"/>
      <c r="BJ405" s="106"/>
      <c r="BK405" s="106"/>
      <c r="BL405" s="106"/>
      <c r="BM405" s="106"/>
      <c r="BN405" s="106"/>
      <c r="BO405" s="106"/>
    </row>
    <row r="406" spans="2:67" hidden="1" x14ac:dyDescent="0.25">
      <c r="B406" s="221"/>
      <c r="C406" s="221"/>
      <c r="D406" s="221"/>
      <c r="E406" s="221"/>
      <c r="F406" s="212" t="s">
        <v>412</v>
      </c>
      <c r="H406" s="272"/>
      <c r="J406" s="209" t="str">
        <f>IF(AND(AD_MultiRes_option01=AD_Yes,AD_MultiRes_option02=1),"",AIS_Statement_109)</f>
        <v>kWh/m2 yr</v>
      </c>
      <c r="L406" s="547"/>
      <c r="N406" s="590" t="str">
        <f>IF(ADPT=ADPT02,"",IF(OR(Ene01_80=AIS_statement91,Ene01_80=AIS_Statement101),"kWh/m2 yr",""))</f>
        <v/>
      </c>
      <c r="R406" s="210"/>
      <c r="S406" s="177"/>
      <c r="T406" s="177"/>
      <c r="U406" s="177"/>
      <c r="V406" s="177"/>
      <c r="W406" s="177"/>
      <c r="Y406" s="501"/>
      <c r="BI406" s="106"/>
      <c r="BJ406" s="106"/>
      <c r="BK406" s="106"/>
      <c r="BL406" s="106"/>
      <c r="BM406" s="106"/>
      <c r="BN406" s="106"/>
      <c r="BO406" s="106"/>
    </row>
    <row r="407" spans="2:67" hidden="1" x14ac:dyDescent="0.25">
      <c r="B407" s="221"/>
      <c r="C407" s="221"/>
      <c r="D407" s="221"/>
      <c r="E407" s="221"/>
      <c r="F407" s="212" t="s">
        <v>413</v>
      </c>
      <c r="H407" s="272"/>
      <c r="J407" s="209" t="str">
        <f>IF(AND(AD_MultiRes_option01=AD_Yes,AD_MultiRes_option02=1),"",AIS_Statement_109)</f>
        <v>kWh/m2 yr</v>
      </c>
      <c r="L407" s="547"/>
      <c r="N407" s="590" t="str">
        <f>IF(ADPT=ADPT02,"",IF(OR(Ene01_80=AIS_statement91,Ene01_80=AIS_Statement101),"kWh/m2 yr",""))</f>
        <v/>
      </c>
      <c r="Y407" s="501"/>
      <c r="BI407" s="106"/>
      <c r="BJ407" s="106"/>
      <c r="BK407" s="106"/>
      <c r="BL407" s="106"/>
      <c r="BM407" s="106"/>
      <c r="BN407" s="106"/>
      <c r="BO407" s="106"/>
    </row>
    <row r="408" spans="2:67" hidden="1" x14ac:dyDescent="0.25">
      <c r="B408" s="221"/>
      <c r="C408" s="221"/>
      <c r="D408" s="221"/>
      <c r="E408" s="221"/>
      <c r="F408" s="212" t="s">
        <v>414</v>
      </c>
      <c r="H408" s="272"/>
      <c r="J408" s="209" t="str">
        <f>IF(AND(AD_MultiRes_option01=AD_Yes,AD_MultiRes_option02=1),"",AIS_Statement_110)</f>
        <v>kgCO2/m2 yr</v>
      </c>
      <c r="L408" s="547"/>
      <c r="N408" s="590" t="str">
        <f>IF(ADPT=ADPT02,"",IF(OR(Ene01_80=AIS_statement91,Ene01_80=AIS_Statement101),"kgCO2/m2 yr",""))</f>
        <v/>
      </c>
      <c r="Y408" s="501"/>
      <c r="BI408" s="106"/>
      <c r="BJ408" s="106"/>
      <c r="BK408" s="106"/>
      <c r="BL408" s="106"/>
      <c r="BM408" s="106"/>
      <c r="BN408" s="106"/>
      <c r="BO408" s="106"/>
    </row>
    <row r="409" spans="2:67" ht="15" hidden="1" customHeight="1" x14ac:dyDescent="0.25">
      <c r="B409" s="221"/>
      <c r="C409" s="221"/>
      <c r="D409" s="221"/>
      <c r="E409" s="221"/>
      <c r="F409" s="212" t="str">
        <f>IF(AND(AD_MultiRes_option01=AD_Yes,AD_MultiRes_option02=1),"Dwelling emission rate (BER/DER)",IF(AD_MultiRes_option01=AD_Yes,"Building/Dwelling emission rate (BER/DER)","Building emission rate (BER)"))</f>
        <v>Building emission rate (BER)</v>
      </c>
      <c r="H409" s="272"/>
      <c r="J409" s="209" t="str">
        <f>IF(AND(AD_MultiRes_option01=AD_Yes,AD_MultiRes_option02=1),"",AIS_Statement_110)</f>
        <v>kgCO2/m2 yr</v>
      </c>
      <c r="L409" s="547"/>
      <c r="N409" s="590" t="str">
        <f>IF(ADPT=ADPT02,"",IF(OR(Ene01_80=AIS_statement91,Ene01_80=AIS_Statement101),"kgCO2/m2 yr",""))</f>
        <v/>
      </c>
      <c r="P409" s="220" t="str">
        <f>IF(B401=ADPT02,"",IF(Ene01_80=AIS_statement91,"Area Weighted",""))</f>
        <v/>
      </c>
      <c r="Q409" s="220"/>
      <c r="X409" s="18"/>
      <c r="Y409" s="501"/>
      <c r="BI409" s="106"/>
      <c r="BJ409" s="106"/>
      <c r="BK409" s="106"/>
      <c r="BL409" s="106"/>
      <c r="BM409" s="106"/>
      <c r="BN409" s="106"/>
      <c r="BO409" s="106"/>
    </row>
    <row r="410" spans="2:67" ht="15.75" hidden="1" customHeight="1" x14ac:dyDescent="0.25">
      <c r="B410" s="221"/>
      <c r="C410" s="221"/>
      <c r="D410" s="221"/>
      <c r="E410" s="221"/>
      <c r="F410" s="212" t="s">
        <v>415</v>
      </c>
      <c r="H410" s="403" t="str">
        <f>IF(ISERROR(Ene01_08_Err), "", Ene01_08_Err)</f>
        <v/>
      </c>
      <c r="J410" s="209"/>
      <c r="L410" s="561" t="str">
        <f>IF(ISERROR(Ene01_50_Err),"",Ene01_50_Err)</f>
        <v/>
      </c>
      <c r="N410" s="591"/>
      <c r="P410" s="472">
        <f>IF(ISERROR(Ene01_81),"-",Ene01_81)</f>
        <v>0</v>
      </c>
      <c r="Q410" s="472"/>
      <c r="R410" s="709" t="str">
        <f>IF(OR(Ene01_80=AIS_statement91),AIS_statement87,"")</f>
        <v/>
      </c>
      <c r="S410" s="709"/>
      <c r="T410" s="709"/>
      <c r="U410" s="709"/>
      <c r="V410" s="709"/>
      <c r="W410" s="709"/>
      <c r="X410" s="709"/>
      <c r="Y410" s="501"/>
      <c r="BI410" s="106"/>
      <c r="BJ410" s="106"/>
      <c r="BK410" s="106"/>
      <c r="BL410" s="106"/>
      <c r="BM410" s="106"/>
      <c r="BN410" s="106"/>
      <c r="BO410" s="106"/>
    </row>
    <row r="411" spans="2:67" ht="18.75" hidden="1" x14ac:dyDescent="0.25">
      <c r="B411" s="221"/>
      <c r="C411" s="221"/>
      <c r="D411" s="221"/>
      <c r="E411" s="221"/>
      <c r="F411" s="212" t="s">
        <v>416</v>
      </c>
      <c r="H411" s="464" t="str">
        <f>IF(ISERROR(AR1816),"",AR1816)</f>
        <v/>
      </c>
      <c r="J411" s="209"/>
      <c r="L411" s="592" t="e">
        <f>Ene01_64</f>
        <v>#VALUE!</v>
      </c>
      <c r="R411" s="709"/>
      <c r="S411" s="709"/>
      <c r="T411" s="709"/>
      <c r="U411" s="709"/>
      <c r="V411" s="709"/>
      <c r="W411" s="709"/>
      <c r="X411" s="709"/>
      <c r="Y411" s="501"/>
      <c r="BI411" s="106"/>
      <c r="BJ411" s="106"/>
      <c r="BK411" s="106"/>
      <c r="BL411" s="106"/>
      <c r="BM411" s="106"/>
      <c r="BN411" s="106"/>
      <c r="BO411" s="106"/>
    </row>
    <row r="412" spans="2:67" ht="18.75" hidden="1" x14ac:dyDescent="0.25">
      <c r="B412" s="221"/>
      <c r="C412" s="221"/>
      <c r="D412" s="221"/>
      <c r="E412" s="221"/>
      <c r="F412" s="212" t="s">
        <v>417</v>
      </c>
      <c r="H412" s="464" t="str">
        <f>IF(ISERROR(AR1817),"",AR1817)</f>
        <v/>
      </c>
      <c r="J412" s="209"/>
      <c r="L412" s="593" t="e">
        <f>Ene01_65</f>
        <v>#VALUE!</v>
      </c>
      <c r="N412" s="591"/>
      <c r="O412" s="273"/>
      <c r="R412" s="709"/>
      <c r="S412" s="709"/>
      <c r="T412" s="709"/>
      <c r="U412" s="709"/>
      <c r="V412" s="709"/>
      <c r="W412" s="709"/>
      <c r="X412" s="709"/>
      <c r="Y412" s="501"/>
      <c r="BI412" s="106"/>
      <c r="BJ412" s="106"/>
      <c r="BK412" s="106"/>
      <c r="BL412" s="106"/>
      <c r="BM412" s="106"/>
      <c r="BN412" s="106"/>
      <c r="BO412" s="106"/>
    </row>
    <row r="413" spans="2:67" ht="17.25" hidden="1" customHeight="1" x14ac:dyDescent="0.25">
      <c r="B413" s="221"/>
      <c r="C413" s="221"/>
      <c r="D413" s="221"/>
      <c r="E413" s="221"/>
      <c r="F413" s="212" t="s">
        <v>418</v>
      </c>
      <c r="H413" s="464" t="str">
        <f>IF(ISERROR(AR1818),"",AR1818)</f>
        <v/>
      </c>
      <c r="J413" s="209"/>
      <c r="L413" s="593" t="e">
        <f>Ene01_66</f>
        <v>#VALUE!</v>
      </c>
      <c r="N413" s="591"/>
      <c r="R413" s="709"/>
      <c r="S413" s="709"/>
      <c r="T413" s="709"/>
      <c r="U413" s="709"/>
      <c r="V413" s="709"/>
      <c r="W413" s="709"/>
      <c r="X413" s="709"/>
      <c r="Y413" s="501"/>
      <c r="BI413" s="106"/>
      <c r="BJ413" s="106"/>
      <c r="BK413" s="106"/>
      <c r="BL413" s="106"/>
      <c r="BM413" s="106"/>
      <c r="BN413" s="106"/>
      <c r="BO413" s="106"/>
    </row>
    <row r="414" spans="2:67" ht="17.25" hidden="1" customHeight="1" x14ac:dyDescent="0.25">
      <c r="B414" s="221"/>
      <c r="C414" s="221"/>
      <c r="D414" s="221"/>
      <c r="E414" s="221"/>
      <c r="F414" s="212" t="s">
        <v>419</v>
      </c>
      <c r="H414" s="464" t="e">
        <f>ROUNDDOWN(IF(ISERROR(AR1819),"",AR1819),3)</f>
        <v>#VALUE!</v>
      </c>
      <c r="J414" s="546"/>
      <c r="L414" s="593" t="e">
        <f>ROUNDDOWN(Ene01_70,3)</f>
        <v>#VALUE!</v>
      </c>
      <c r="N414" s="591"/>
      <c r="R414" s="709"/>
      <c r="S414" s="709"/>
      <c r="T414" s="709"/>
      <c r="U414" s="709"/>
      <c r="V414" s="709"/>
      <c r="W414" s="709"/>
      <c r="X414" s="709"/>
      <c r="Y414" s="501"/>
      <c r="BI414" s="106"/>
      <c r="BJ414" s="106"/>
      <c r="BK414" s="106"/>
      <c r="BL414" s="106"/>
      <c r="BM414" s="106"/>
      <c r="BN414" s="106"/>
      <c r="BO414" s="106"/>
    </row>
    <row r="415" spans="2:67" ht="17.25" hidden="1" customHeight="1" x14ac:dyDescent="0.25">
      <c r="B415" s="274"/>
      <c r="C415" s="274"/>
      <c r="D415" s="274"/>
      <c r="E415" s="274"/>
      <c r="F415" s="274" t="s">
        <v>420</v>
      </c>
      <c r="H415" s="263">
        <f>Ene01_74</f>
        <v>0</v>
      </c>
      <c r="J415" s="209"/>
      <c r="L415" s="275">
        <f>Ene01_63</f>
        <v>0</v>
      </c>
      <c r="N415" s="209"/>
      <c r="R415" s="709"/>
      <c r="S415" s="709"/>
      <c r="T415" s="709"/>
      <c r="U415" s="709"/>
      <c r="V415" s="709"/>
      <c r="W415" s="709"/>
      <c r="X415" s="709"/>
      <c r="Y415" s="501"/>
      <c r="BI415" s="106"/>
      <c r="BJ415" s="106"/>
      <c r="BK415" s="106"/>
      <c r="BL415" s="106"/>
      <c r="BM415" s="106"/>
      <c r="BN415" s="106"/>
      <c r="BO415" s="106"/>
    </row>
    <row r="416" spans="2:67" ht="17.25" hidden="1" customHeight="1" x14ac:dyDescent="0.25">
      <c r="N416" s="276"/>
      <c r="R416" s="709"/>
      <c r="S416" s="709"/>
      <c r="T416" s="709"/>
      <c r="U416" s="709"/>
      <c r="V416" s="709"/>
      <c r="W416" s="709"/>
      <c r="X416" s="709"/>
      <c r="Y416" s="501"/>
      <c r="BI416" s="106"/>
      <c r="BJ416" s="106"/>
      <c r="BK416" s="106"/>
      <c r="BL416" s="106"/>
      <c r="BM416" s="106"/>
      <c r="BN416" s="106"/>
      <c r="BO416" s="106"/>
    </row>
    <row r="417" spans="2:67" ht="17.25" hidden="1" customHeight="1" x14ac:dyDescent="0.25">
      <c r="N417" s="232"/>
      <c r="R417" s="709"/>
      <c r="S417" s="709"/>
      <c r="T417" s="709"/>
      <c r="U417" s="709"/>
      <c r="V417" s="709"/>
      <c r="W417" s="709"/>
      <c r="X417" s="709"/>
      <c r="Y417" s="501"/>
      <c r="BI417" s="106"/>
      <c r="BJ417" s="106"/>
      <c r="BK417" s="106"/>
      <c r="BL417" s="106"/>
      <c r="BM417" s="106"/>
      <c r="BN417" s="106"/>
      <c r="BO417" s="106"/>
    </row>
    <row r="418" spans="2:67" ht="17.25" hidden="1" customHeight="1" x14ac:dyDescent="0.25">
      <c r="B418" s="212"/>
      <c r="C418" s="212"/>
      <c r="D418" s="212"/>
      <c r="E418" s="212"/>
      <c r="F418" s="212"/>
      <c r="G418" s="212"/>
      <c r="H418" s="212"/>
      <c r="I418" s="212"/>
      <c r="J418" s="212"/>
      <c r="K418" s="212"/>
      <c r="L418" s="212"/>
      <c r="M418" s="212"/>
      <c r="N418" s="212" t="s">
        <v>421</v>
      </c>
      <c r="O418" s="467"/>
      <c r="P418" s="305"/>
      <c r="Q418" s="573"/>
      <c r="R418" s="316" t="s">
        <v>422</v>
      </c>
      <c r="S418" s="211"/>
      <c r="T418" s="709" t="s">
        <v>423</v>
      </c>
      <c r="U418" s="709"/>
      <c r="V418" s="709"/>
      <c r="W418" s="709"/>
      <c r="X418" s="709"/>
      <c r="Y418" s="501"/>
      <c r="AV418" s="502"/>
      <c r="AW418" s="18"/>
      <c r="AX418" s="18"/>
      <c r="AY418" s="18"/>
      <c r="AZ418" s="18"/>
      <c r="BA418" s="18"/>
      <c r="BB418" s="18"/>
      <c r="BC418" s="18"/>
      <c r="BD418" s="18"/>
      <c r="BE418" s="18"/>
      <c r="BF418" s="18"/>
      <c r="BG418" s="18"/>
      <c r="BH418" s="18"/>
      <c r="BI418" s="106"/>
      <c r="BJ418" s="106"/>
      <c r="BK418" s="106"/>
      <c r="BL418" s="106"/>
      <c r="BM418" s="106"/>
      <c r="BN418" s="106"/>
      <c r="BO418" s="106"/>
    </row>
    <row r="419" spans="2:67" ht="33" hidden="1" customHeight="1" x14ac:dyDescent="0.25">
      <c r="B419" s="760" t="s">
        <v>424</v>
      </c>
      <c r="C419" s="813"/>
      <c r="D419" s="813"/>
      <c r="E419" s="813"/>
      <c r="F419" s="813"/>
      <c r="G419" s="813"/>
      <c r="H419" s="813"/>
      <c r="I419" s="814"/>
      <c r="J419" s="814"/>
      <c r="K419" s="814"/>
      <c r="L419" s="814"/>
      <c r="M419" s="814"/>
      <c r="N419" s="814"/>
      <c r="P419" s="306"/>
      <c r="Q419" s="606"/>
      <c r="S419" s="210"/>
      <c r="T419" s="709" t="str">
        <f>IF(ISERROR(IF(AND(Ene01_37=AIS_Yes,Ene01_36&lt;1,OR(Ene01_76=AIS_Yes,Ene01_77=AIS_Yes)),AIS_Statement88,"")),"",IF(AND(Ene01_37=AIS_Yes,Ene01_36&lt;1,OR(Ene01_76=AIS_Yes,Ene01_77=AIS_Yes)),AIS_Statement88,""))</f>
        <v/>
      </c>
      <c r="U419" s="709"/>
      <c r="V419" s="709"/>
      <c r="W419" s="709"/>
      <c r="X419" s="709"/>
      <c r="Y419" s="501"/>
      <c r="BI419" s="106"/>
      <c r="BJ419" s="106"/>
      <c r="BK419" s="106"/>
      <c r="BL419" s="106"/>
      <c r="BM419" s="106"/>
      <c r="BN419" s="106"/>
      <c r="BO419" s="106"/>
    </row>
    <row r="420" spans="2:67" ht="17.25" hidden="1" customHeight="1" x14ac:dyDescent="0.25">
      <c r="B420" s="222"/>
      <c r="C420" s="222"/>
      <c r="D420" s="222"/>
      <c r="E420" s="222"/>
      <c r="F420" s="222"/>
      <c r="G420" s="222"/>
      <c r="H420" s="222"/>
      <c r="I420" s="222"/>
      <c r="J420" s="222"/>
      <c r="K420" s="222"/>
      <c r="L420" s="222"/>
      <c r="M420" s="222"/>
      <c r="N420" s="212" t="s">
        <v>425</v>
      </c>
      <c r="P420" s="562"/>
      <c r="Q420" s="607"/>
      <c r="R420" s="210"/>
      <c r="S420" s="210"/>
      <c r="T420" s="210"/>
      <c r="U420" s="210"/>
      <c r="V420" s="210"/>
      <c r="W420" s="210"/>
      <c r="X420" s="210"/>
      <c r="Y420" s="501"/>
      <c r="BI420" s="106"/>
      <c r="BJ420" s="106"/>
      <c r="BK420" s="106"/>
      <c r="BL420" s="106"/>
      <c r="BM420" s="106"/>
      <c r="BN420" s="106"/>
      <c r="BO420" s="106"/>
    </row>
    <row r="421" spans="2:67" ht="15" hidden="1" customHeight="1" x14ac:dyDescent="0.25">
      <c r="B421" s="760" t="s">
        <v>426</v>
      </c>
      <c r="C421" s="760"/>
      <c r="D421" s="760"/>
      <c r="E421" s="760"/>
      <c r="F421" s="760"/>
      <c r="G421" s="760"/>
      <c r="H421" s="760"/>
      <c r="I421" s="760"/>
      <c r="J421" s="760"/>
      <c r="K421" s="760"/>
      <c r="L421" s="760"/>
      <c r="M421" s="760"/>
      <c r="N421" s="760"/>
      <c r="P421" s="609"/>
      <c r="Q421" s="608"/>
      <c r="R421" s="314" t="str">
        <f>IF(Ene01_37=AIS_Yes,AIS_units15,"")</f>
        <v/>
      </c>
      <c r="Y421" s="501"/>
      <c r="BI421" s="106"/>
      <c r="BJ421" s="106"/>
      <c r="BK421" s="106"/>
      <c r="BL421" s="106"/>
      <c r="BM421" s="106"/>
      <c r="BN421" s="106"/>
      <c r="BO421" s="106"/>
    </row>
    <row r="422" spans="2:67" ht="15" customHeight="1" x14ac:dyDescent="0.25">
      <c r="S422" s="210"/>
      <c r="T422" s="211"/>
      <c r="U422" s="211"/>
      <c r="V422" s="211"/>
      <c r="W422" s="211"/>
      <c r="X422" s="211"/>
      <c r="Y422" s="501"/>
      <c r="BI422" s="106"/>
      <c r="BJ422" s="106"/>
      <c r="BK422" s="106"/>
      <c r="BL422" s="106"/>
      <c r="BM422" s="106"/>
      <c r="BN422" s="106"/>
      <c r="BO422" s="106"/>
    </row>
    <row r="423" spans="2:67" ht="15" customHeight="1" x14ac:dyDescent="0.25">
      <c r="B423" s="221"/>
      <c r="C423" s="222"/>
      <c r="D423" s="222"/>
      <c r="E423" s="221"/>
      <c r="F423" s="212" t="str">
        <f>IF(Ene01_80=AIS_statement91,"Total 'area-weighted' BREEAM credits achieved","Total BREEAM credits achieved")</f>
        <v>Total BREEAM credits achieved</v>
      </c>
      <c r="G423" s="215"/>
      <c r="H423" s="634">
        <f>IFERROR(IF(ADBT0=ADBT8,VLOOKUP(SEne01_Pimp,SEne01_Res_Range,2,TRUE),VLOOKUP(SEne01_Pimp,SEne01_N_Res_Range,2,TRUE)),0)</f>
        <v>0</v>
      </c>
      <c r="J423" s="202"/>
      <c r="K423" s="215"/>
      <c r="M423" s="215"/>
      <c r="N423" s="264"/>
      <c r="O423" s="215"/>
      <c r="P423" s="278"/>
      <c r="Q423" s="278"/>
      <c r="R423" s="210"/>
      <c r="S423" s="210"/>
      <c r="T423" s="742" t="s">
        <v>427</v>
      </c>
      <c r="U423" s="743"/>
      <c r="V423" s="743"/>
      <c r="W423" s="743"/>
      <c r="X423" s="743"/>
      <c r="Y423" s="501"/>
      <c r="BI423" s="106"/>
      <c r="BJ423" s="106"/>
      <c r="BK423" s="106"/>
      <c r="BL423" s="106"/>
      <c r="BM423" s="106"/>
      <c r="BN423" s="106"/>
      <c r="BO423" s="106"/>
    </row>
    <row r="424" spans="2:67" ht="3" customHeight="1" x14ac:dyDescent="0.25">
      <c r="B424" s="215"/>
      <c r="E424" s="215"/>
      <c r="F424" s="225"/>
      <c r="G424" s="215"/>
      <c r="H424" s="252"/>
      <c r="J424" s="202"/>
      <c r="K424" s="215"/>
      <c r="M424" s="215"/>
      <c r="N424" s="264"/>
      <c r="O424" s="215"/>
      <c r="P424" s="215"/>
      <c r="Q424" s="215"/>
      <c r="R424" s="210"/>
      <c r="S424" s="210"/>
      <c r="T424" s="211"/>
      <c r="U424" s="211"/>
      <c r="V424" s="211"/>
      <c r="W424" s="211"/>
      <c r="X424" s="211"/>
      <c r="Y424" s="501"/>
      <c r="BI424" s="106"/>
      <c r="BJ424" s="106"/>
      <c r="BK424" s="106"/>
      <c r="BL424" s="106"/>
      <c r="BM424" s="106"/>
      <c r="BN424" s="106"/>
      <c r="BO424" s="106"/>
    </row>
    <row r="425" spans="2:67" x14ac:dyDescent="0.25">
      <c r="B425" s="221"/>
      <c r="C425" s="222"/>
      <c r="D425" s="222"/>
      <c r="E425" s="221"/>
      <c r="F425" s="212" t="s">
        <v>297</v>
      </c>
      <c r="G425" s="215"/>
      <c r="H425" s="217" t="e">
        <f>(Ene01_41/Ene01_credits)*SEne01_Tot</f>
        <v>#N/A</v>
      </c>
      <c r="J425" s="202"/>
      <c r="K425" s="215"/>
      <c r="M425" s="215"/>
      <c r="N425" s="264"/>
      <c r="O425" s="215"/>
      <c r="P425" s="252"/>
      <c r="Q425" s="252"/>
      <c r="R425" s="210"/>
      <c r="S425" s="210"/>
      <c r="T425" s="211"/>
      <c r="U425" s="211"/>
      <c r="V425" s="211"/>
      <c r="W425" s="211"/>
      <c r="X425" s="211"/>
      <c r="Y425" s="501"/>
      <c r="BI425" s="106"/>
      <c r="BJ425" s="106"/>
      <c r="BK425" s="106"/>
      <c r="BL425" s="106"/>
      <c r="BM425" s="106"/>
      <c r="BN425" s="106"/>
      <c r="BO425" s="106"/>
    </row>
    <row r="426" spans="2:67" ht="3" customHeight="1" x14ac:dyDescent="0.25">
      <c r="H426" s="411"/>
      <c r="K426" s="215"/>
      <c r="M426" s="215"/>
      <c r="N426" s="215"/>
      <c r="O426" s="215"/>
      <c r="P426" s="215"/>
      <c r="Q426" s="215"/>
      <c r="R426" s="210"/>
      <c r="S426" s="55"/>
      <c r="T426" s="55"/>
      <c r="U426" s="55"/>
      <c r="V426" s="55"/>
      <c r="W426" s="55"/>
      <c r="X426" s="55"/>
      <c r="Y426" s="501"/>
      <c r="BI426" s="106"/>
      <c r="BJ426" s="106"/>
      <c r="BK426" s="106"/>
      <c r="BL426" s="106"/>
      <c r="BM426" s="106"/>
      <c r="BN426" s="106"/>
      <c r="BO426" s="106"/>
    </row>
    <row r="427" spans="2:67" ht="14.25" customHeight="1" x14ac:dyDescent="0.25">
      <c r="B427" s="221"/>
      <c r="C427" s="222"/>
      <c r="D427" s="222"/>
      <c r="E427" s="221"/>
      <c r="F427" s="212" t="s">
        <v>298</v>
      </c>
      <c r="H427" s="374" t="str">
        <f>AIS_NA</f>
        <v>N/A</v>
      </c>
      <c r="K427" s="215"/>
      <c r="M427" s="215"/>
      <c r="N427" s="215"/>
      <c r="O427" s="215"/>
      <c r="P427" s="215"/>
      <c r="Q427" s="215"/>
      <c r="R427" s="709"/>
      <c r="S427" s="709"/>
      <c r="T427" s="709"/>
      <c r="U427" s="709"/>
      <c r="V427" s="709"/>
      <c r="W427" s="709"/>
      <c r="X427" s="709"/>
      <c r="Y427" s="501"/>
      <c r="BI427" s="106"/>
      <c r="BJ427" s="106"/>
      <c r="BK427" s="106"/>
      <c r="BL427" s="106"/>
      <c r="BM427" s="106"/>
      <c r="BN427" s="106"/>
      <c r="BO427" s="106"/>
    </row>
    <row r="428" spans="2:67" ht="3" customHeight="1" x14ac:dyDescent="0.25">
      <c r="K428" s="215"/>
      <c r="M428" s="215"/>
      <c r="N428" s="215"/>
      <c r="O428" s="215"/>
      <c r="P428" s="215"/>
      <c r="Q428" s="215"/>
      <c r="R428" s="709"/>
      <c r="S428" s="709"/>
      <c r="T428" s="709"/>
      <c r="U428" s="709"/>
      <c r="V428" s="709"/>
      <c r="W428" s="709"/>
      <c r="X428" s="709"/>
      <c r="Y428" s="501"/>
      <c r="AJ428" s="512"/>
      <c r="AK428" s="513"/>
      <c r="BI428" s="106"/>
      <c r="BJ428" s="106"/>
      <c r="BK428" s="106"/>
      <c r="BL428" s="106"/>
      <c r="BM428" s="106"/>
      <c r="BN428" s="106"/>
      <c r="BO428" s="106"/>
    </row>
    <row r="429" spans="2:67" ht="15" customHeight="1" x14ac:dyDescent="0.25">
      <c r="B429" s="221"/>
      <c r="C429" s="222"/>
      <c r="D429" s="221"/>
      <c r="E429" s="221"/>
      <c r="F429" s="212" t="s">
        <v>299</v>
      </c>
      <c r="H429" s="226" t="str">
        <f>IF(ISERROR(VLOOKUP(MinSt_06,AIS_MinSt_benchmarks,2,FALSE)),"",VLOOKUP(MinSt_06,AIS_MinSt_benchmarks,2,FALSE))</f>
        <v>Very Good level</v>
      </c>
      <c r="I429" s="227"/>
      <c r="J429" s="227"/>
      <c r="K429" s="227"/>
      <c r="L429" s="227"/>
      <c r="M429" s="279"/>
      <c r="N429" s="279"/>
      <c r="O429" s="204"/>
      <c r="P429" s="204"/>
      <c r="Q429" s="204"/>
      <c r="R429" s="709"/>
      <c r="S429" s="709"/>
      <c r="T429" s="709"/>
      <c r="U429" s="709"/>
      <c r="V429" s="709"/>
      <c r="W429" s="709"/>
      <c r="X429" s="709"/>
      <c r="Y429" s="501"/>
      <c r="AJ429" s="512"/>
      <c r="AK429" s="513"/>
      <c r="BI429" s="106"/>
      <c r="BJ429" s="106"/>
      <c r="BK429" s="106"/>
      <c r="BL429" s="106"/>
      <c r="BM429" s="106"/>
      <c r="BN429" s="106"/>
      <c r="BO429" s="106"/>
    </row>
    <row r="430" spans="2:67" ht="15" customHeight="1" x14ac:dyDescent="0.25">
      <c r="K430" s="215"/>
      <c r="M430" s="204"/>
      <c r="N430" s="204"/>
      <c r="O430" s="204"/>
      <c r="P430" s="204"/>
      <c r="Q430" s="204"/>
      <c r="R430" s="745"/>
      <c r="S430" s="745"/>
      <c r="T430" s="745"/>
      <c r="U430" s="745"/>
      <c r="V430" s="745"/>
      <c r="W430" s="745"/>
      <c r="X430" s="745"/>
      <c r="Y430" s="501"/>
      <c r="AJ430" s="512"/>
      <c r="AK430" s="513"/>
      <c r="BI430" s="106"/>
      <c r="BJ430" s="106"/>
      <c r="BK430" s="106"/>
      <c r="BL430" s="106"/>
      <c r="BM430" s="106"/>
      <c r="BN430" s="106"/>
      <c r="BO430" s="106"/>
    </row>
    <row r="431" spans="2:67" x14ac:dyDescent="0.25">
      <c r="B431" s="257" t="s">
        <v>301</v>
      </c>
      <c r="C431" s="215"/>
      <c r="D431" s="215"/>
      <c r="E431" s="215"/>
      <c r="F431" s="225"/>
      <c r="G431" s="215"/>
      <c r="H431" s="215"/>
      <c r="I431" s="215"/>
      <c r="J431" s="215"/>
      <c r="K431" s="215"/>
      <c r="L431" s="215"/>
      <c r="M431" s="215"/>
      <c r="N431" s="215"/>
      <c r="O431" s="215"/>
      <c r="P431" s="215"/>
      <c r="Q431" s="215"/>
      <c r="R431" s="745"/>
      <c r="S431" s="745"/>
      <c r="T431" s="745"/>
      <c r="U431" s="745"/>
      <c r="V431" s="745"/>
      <c r="W431" s="745"/>
      <c r="X431" s="745"/>
      <c r="Y431" s="501"/>
      <c r="BI431" s="106"/>
      <c r="BJ431" s="106"/>
      <c r="BK431" s="106"/>
      <c r="BL431" s="106"/>
      <c r="BM431" s="106"/>
      <c r="BN431" s="106"/>
      <c r="BO431" s="106"/>
    </row>
    <row r="432" spans="2:67" ht="159.94999999999999" customHeight="1" x14ac:dyDescent="0.25">
      <c r="B432" s="736"/>
      <c r="C432" s="737"/>
      <c r="D432" s="737"/>
      <c r="E432" s="737"/>
      <c r="F432" s="737"/>
      <c r="G432" s="737"/>
      <c r="H432" s="737"/>
      <c r="I432" s="737"/>
      <c r="J432" s="737"/>
      <c r="K432" s="737"/>
      <c r="L432" s="737"/>
      <c r="M432" s="737"/>
      <c r="N432" s="737"/>
      <c r="O432" s="737"/>
      <c r="P432" s="738"/>
      <c r="Q432" s="416"/>
      <c r="R432" s="210"/>
      <c r="S432" s="345"/>
      <c r="T432" s="345"/>
      <c r="U432" s="345"/>
      <c r="V432" s="345"/>
      <c r="W432" s="345"/>
      <c r="Y432" s="501"/>
      <c r="BI432" s="106"/>
      <c r="BJ432" s="106"/>
      <c r="BK432" s="106"/>
      <c r="BL432" s="106"/>
      <c r="BM432" s="106"/>
      <c r="BN432" s="106"/>
      <c r="BO432" s="106"/>
    </row>
    <row r="433" spans="2:67" ht="36" customHeight="1" x14ac:dyDescent="0.25">
      <c r="B433" s="24" t="s">
        <v>428</v>
      </c>
      <c r="C433" s="13"/>
      <c r="D433" s="236"/>
      <c r="E433" s="237"/>
      <c r="F433" s="237"/>
      <c r="G433" s="237"/>
      <c r="H433" s="237"/>
      <c r="I433" s="237"/>
      <c r="J433" s="237"/>
      <c r="K433" s="237"/>
      <c r="L433" s="237"/>
      <c r="M433" s="237"/>
      <c r="N433" s="237"/>
      <c r="O433" s="237"/>
      <c r="P433" s="330" t="str">
        <f>IF(OR(ADPT=ADPT02,ADBT0=ADBT8),AIS_statement32,"")</f>
        <v/>
      </c>
      <c r="Q433" s="258"/>
      <c r="Y433" s="501"/>
      <c r="BI433" s="106"/>
      <c r="BJ433" s="106"/>
      <c r="BK433" s="106"/>
      <c r="BL433" s="106"/>
      <c r="BM433" s="106"/>
      <c r="BN433" s="106"/>
      <c r="BO433" s="106"/>
    </row>
    <row r="434" spans="2:67" x14ac:dyDescent="0.25">
      <c r="B434" s="215"/>
      <c r="C434" s="215"/>
      <c r="D434" s="215"/>
      <c r="E434" s="215"/>
      <c r="F434" s="215"/>
      <c r="G434" s="215"/>
      <c r="H434" s="215"/>
      <c r="I434" s="215"/>
      <c r="J434" s="215"/>
      <c r="K434" s="215"/>
      <c r="L434" s="215"/>
      <c r="M434" s="215"/>
      <c r="N434" s="215"/>
      <c r="O434" s="215"/>
      <c r="P434" s="215"/>
      <c r="Q434" s="215"/>
      <c r="Y434" s="501"/>
      <c r="BI434" s="106"/>
      <c r="BJ434" s="106"/>
      <c r="BK434" s="106"/>
      <c r="BL434" s="106"/>
      <c r="BM434" s="106"/>
      <c r="BN434" s="106"/>
      <c r="BO434" s="106"/>
    </row>
    <row r="435" spans="2:67" x14ac:dyDescent="0.25">
      <c r="B435" s="222"/>
      <c r="C435" s="222"/>
      <c r="D435" s="221"/>
      <c r="E435" s="221"/>
      <c r="F435" s="212" t="s">
        <v>284</v>
      </c>
      <c r="G435" s="215"/>
      <c r="H435" s="216">
        <f>IF(Ene03_13=AIS_statement32,AIS_NA,IF(OR(ADBT_sub01=ADBT_sub11,ADBT_sub01=ADBT_sub12, ADBT_sub01=ADBT_sub53),1,2))</f>
        <v>2</v>
      </c>
      <c r="J435" s="222"/>
      <c r="K435" s="222"/>
      <c r="L435" s="222"/>
      <c r="M435" s="222"/>
      <c r="N435" s="212" t="s">
        <v>285</v>
      </c>
      <c r="P435" s="217" t="e">
        <f>IF(Ene03_13=AIS_statement32,AIS_NA,(BP_34/BP_03)*Ene02_credits)</f>
        <v>#N/A</v>
      </c>
      <c r="Q435" s="217"/>
      <c r="Y435" s="501"/>
      <c r="BI435" s="106"/>
      <c r="BJ435" s="106"/>
      <c r="BK435" s="106"/>
      <c r="BL435" s="106"/>
      <c r="BM435" s="106"/>
      <c r="BN435" s="106"/>
      <c r="BO435" s="106"/>
    </row>
    <row r="436" spans="2:67" ht="3.75" customHeight="1" x14ac:dyDescent="0.25">
      <c r="Y436" s="501"/>
      <c r="BI436" s="106"/>
      <c r="BJ436" s="106"/>
      <c r="BK436" s="106"/>
      <c r="BL436" s="106"/>
      <c r="BM436" s="106"/>
      <c r="BN436" s="106"/>
      <c r="BO436" s="106"/>
    </row>
    <row r="437" spans="2:67" x14ac:dyDescent="0.25">
      <c r="B437" s="222"/>
      <c r="C437" s="222"/>
      <c r="D437" s="221"/>
      <c r="E437" s="221"/>
      <c r="F437" s="212" t="s">
        <v>286</v>
      </c>
      <c r="G437" s="215"/>
      <c r="H437" s="216">
        <v>0</v>
      </c>
      <c r="J437" s="221"/>
      <c r="K437" s="221"/>
      <c r="L437" s="221"/>
      <c r="M437" s="221"/>
      <c r="N437" s="212" t="s">
        <v>287</v>
      </c>
      <c r="O437" s="215"/>
      <c r="P437" s="216" t="s">
        <v>121</v>
      </c>
      <c r="Q437" s="216"/>
      <c r="Y437" s="501"/>
      <c r="BI437" s="106"/>
      <c r="BJ437" s="106"/>
      <c r="BK437" s="106"/>
      <c r="BL437" s="106"/>
      <c r="BM437" s="106"/>
      <c r="BN437" s="106"/>
      <c r="BO437" s="106"/>
    </row>
    <row r="438" spans="2:67" ht="47.25" customHeight="1" x14ac:dyDescent="0.25">
      <c r="B438" s="23" t="s">
        <v>429</v>
      </c>
      <c r="C438" s="218"/>
      <c r="D438" s="215"/>
      <c r="E438" s="218"/>
      <c r="F438" s="255"/>
      <c r="J438" s="219" t="s">
        <v>289</v>
      </c>
      <c r="K438" s="219"/>
      <c r="L438" s="220" t="s">
        <v>290</v>
      </c>
      <c r="M438" s="23"/>
      <c r="N438" s="220" t="s">
        <v>291</v>
      </c>
      <c r="O438" s="23"/>
      <c r="P438" s="220"/>
      <c r="Q438" s="220"/>
      <c r="Y438" s="501"/>
      <c r="BI438" s="106"/>
      <c r="BJ438" s="106"/>
      <c r="BK438" s="106"/>
      <c r="BL438" s="106"/>
      <c r="BM438" s="106"/>
      <c r="BN438" s="106"/>
      <c r="BO438" s="106"/>
    </row>
    <row r="439" spans="2:67" ht="3" customHeight="1" x14ac:dyDescent="0.25">
      <c r="B439" s="215"/>
      <c r="C439" s="218"/>
      <c r="D439" s="215"/>
      <c r="E439" s="218"/>
      <c r="F439" s="244"/>
      <c r="G439" s="215"/>
      <c r="J439" s="245"/>
      <c r="K439" s="245"/>
      <c r="L439" s="215"/>
      <c r="M439" s="215"/>
      <c r="N439" s="246"/>
      <c r="O439" s="218"/>
      <c r="P439" s="246"/>
      <c r="Q439" s="246"/>
      <c r="Y439" s="501"/>
      <c r="BI439" s="106"/>
      <c r="BJ439" s="106"/>
      <c r="BK439" s="106"/>
      <c r="BL439" s="106"/>
      <c r="BM439" s="106"/>
      <c r="BN439" s="106"/>
      <c r="BO439" s="106"/>
    </row>
    <row r="440" spans="2:67" x14ac:dyDescent="0.25">
      <c r="B440" s="221"/>
      <c r="C440" s="221"/>
      <c r="D440" s="221"/>
      <c r="E440" s="221"/>
      <c r="F440" s="212"/>
      <c r="G440" s="221"/>
      <c r="H440" s="212" t="s">
        <v>430</v>
      </c>
      <c r="J440" s="223"/>
      <c r="K440" s="215"/>
      <c r="L440" s="224">
        <f>IF(Ene03_13=AIS_statement32,AIS_NA,1)</f>
        <v>1</v>
      </c>
      <c r="M440" s="215"/>
      <c r="N440" s="224">
        <f>IF(Ene03_13=AIS_statement32,AIS_NA,IF(Ene02_02=AIS_Yes,Ene02_04,0))</f>
        <v>0</v>
      </c>
      <c r="O440" s="215"/>
      <c r="P440" s="400"/>
      <c r="Q440" s="400"/>
      <c r="Y440" s="501"/>
      <c r="BI440" s="106"/>
      <c r="BJ440" s="106"/>
      <c r="BK440" s="106"/>
      <c r="BL440" s="106"/>
      <c r="BM440" s="106"/>
      <c r="BN440" s="106"/>
      <c r="BO440" s="106"/>
    </row>
    <row r="441" spans="2:67" x14ac:dyDescent="0.25">
      <c r="B441" s="221"/>
      <c r="C441" s="221"/>
      <c r="D441" s="221"/>
      <c r="E441" s="221"/>
      <c r="F441" s="212"/>
      <c r="G441" s="221"/>
      <c r="H441" s="212" t="s">
        <v>431</v>
      </c>
      <c r="J441" s="223"/>
      <c r="K441" s="215"/>
      <c r="L441" s="224">
        <f>IF(OR(Ene03_13=AIS_statement32, ADBT_sub01=ADBT_sub11, ADBT_sub01=ADBT_sub12, ADBT_sub01=ADBT_sub53),AIS_NA,1)</f>
        <v>1</v>
      </c>
      <c r="M441" s="215"/>
      <c r="N441" s="270">
        <f>IF(Ene02_05=AIS_NA,AIS_NA,IF(Ene02_03=AIS_Yes,Ene02_05,0))</f>
        <v>0</v>
      </c>
      <c r="O441" s="215"/>
      <c r="P441" s="252"/>
      <c r="Q441" s="252"/>
      <c r="Y441" s="501"/>
      <c r="BI441" s="106"/>
      <c r="BJ441" s="106"/>
      <c r="BK441" s="106"/>
      <c r="BL441" s="106"/>
      <c r="BM441" s="106"/>
      <c r="BN441" s="106"/>
      <c r="BO441" s="106"/>
    </row>
    <row r="442" spans="2:67" x14ac:dyDescent="0.25">
      <c r="Y442" s="501"/>
      <c r="BI442" s="106"/>
      <c r="BJ442" s="106"/>
      <c r="BK442" s="106"/>
      <c r="BL442" s="106"/>
      <c r="BM442" s="106"/>
      <c r="BN442" s="106"/>
      <c r="BO442" s="106"/>
    </row>
    <row r="443" spans="2:67" x14ac:dyDescent="0.25">
      <c r="B443" s="221"/>
      <c r="C443" s="222"/>
      <c r="D443" s="222"/>
      <c r="E443" s="221"/>
      <c r="F443" s="212" t="s">
        <v>296</v>
      </c>
      <c r="G443" s="215"/>
      <c r="H443" s="216">
        <f>IF(Ene03_13=AIS_statement32,AIS_NA,IF(ISERROR(Ene02_Tot_Err),0,Ene02_Tot_Err))</f>
        <v>0</v>
      </c>
      <c r="J443" s="203"/>
      <c r="K443" s="215"/>
      <c r="M443" s="215"/>
      <c r="N443" s="215"/>
      <c r="O443" s="215"/>
      <c r="P443" s="215"/>
      <c r="Q443" s="215"/>
      <c r="Y443" s="501"/>
      <c r="BI443" s="106"/>
      <c r="BJ443" s="106"/>
      <c r="BK443" s="106"/>
      <c r="BL443" s="106"/>
      <c r="BM443" s="106"/>
      <c r="BN443" s="106"/>
      <c r="BO443" s="106"/>
    </row>
    <row r="444" spans="2:67" ht="3" customHeight="1" x14ac:dyDescent="0.25">
      <c r="B444" s="215"/>
      <c r="E444" s="215"/>
      <c r="F444" s="225"/>
      <c r="G444" s="215"/>
      <c r="H444" s="252"/>
      <c r="J444" s="203"/>
      <c r="K444" s="215"/>
      <c r="M444" s="215"/>
      <c r="N444" s="215"/>
      <c r="O444" s="215"/>
      <c r="P444" s="215"/>
      <c r="Q444" s="215"/>
      <c r="Y444" s="501"/>
      <c r="BI444" s="106"/>
      <c r="BJ444" s="106"/>
      <c r="BK444" s="106"/>
      <c r="BL444" s="106"/>
      <c r="BM444" s="106"/>
      <c r="BN444" s="106"/>
      <c r="BO444" s="106"/>
    </row>
    <row r="445" spans="2:67" x14ac:dyDescent="0.25">
      <c r="B445" s="221"/>
      <c r="C445" s="222"/>
      <c r="D445" s="222"/>
      <c r="E445" s="221"/>
      <c r="F445" s="212" t="s">
        <v>297</v>
      </c>
      <c r="G445" s="215"/>
      <c r="H445" s="217" t="e">
        <f>IF(Ene03_13=AIS_statement32,AIS_NA,(Ene02_10/Ene02_credits)*Ene02_tot)</f>
        <v>#N/A</v>
      </c>
      <c r="J445" s="203"/>
      <c r="K445" s="215"/>
      <c r="M445" s="215"/>
      <c r="N445" s="215"/>
      <c r="O445" s="215"/>
      <c r="P445" s="215"/>
      <c r="Q445" s="215"/>
      <c r="Y445" s="501"/>
      <c r="BI445" s="106"/>
      <c r="BJ445" s="106"/>
      <c r="BK445" s="106"/>
      <c r="BL445" s="106"/>
      <c r="BM445" s="106"/>
      <c r="BN445" s="106"/>
      <c r="BO445" s="106"/>
    </row>
    <row r="446" spans="2:67" ht="3" customHeight="1" x14ac:dyDescent="0.25">
      <c r="K446" s="215"/>
      <c r="M446" s="215"/>
      <c r="N446" s="215"/>
      <c r="O446" s="215"/>
      <c r="P446" s="215"/>
      <c r="Q446" s="215"/>
      <c r="Y446" s="501"/>
      <c r="BI446" s="106"/>
      <c r="BJ446" s="106"/>
      <c r="BK446" s="106"/>
      <c r="BL446" s="106"/>
      <c r="BM446" s="106"/>
      <c r="BN446" s="106"/>
      <c r="BO446" s="106"/>
    </row>
    <row r="447" spans="2:67" x14ac:dyDescent="0.25">
      <c r="B447" s="221"/>
      <c r="C447" s="222"/>
      <c r="D447" s="222"/>
      <c r="E447" s="221"/>
      <c r="F447" s="212" t="s">
        <v>298</v>
      </c>
      <c r="H447" s="216" t="s">
        <v>300</v>
      </c>
      <c r="K447" s="215"/>
      <c r="M447" s="215"/>
      <c r="N447" s="215"/>
      <c r="O447" s="215"/>
      <c r="P447" s="215"/>
      <c r="Q447" s="215"/>
      <c r="Y447" s="501"/>
      <c r="BI447" s="106"/>
      <c r="BJ447" s="106"/>
      <c r="BK447" s="106"/>
      <c r="BL447" s="106"/>
      <c r="BM447" s="106"/>
      <c r="BN447" s="106"/>
      <c r="BO447" s="106"/>
    </row>
    <row r="448" spans="2:67" ht="3" customHeight="1" x14ac:dyDescent="0.25">
      <c r="K448" s="215"/>
      <c r="M448" s="215"/>
      <c r="N448" s="215"/>
      <c r="O448" s="215"/>
      <c r="P448" s="215"/>
      <c r="Q448" s="215"/>
      <c r="Y448" s="501"/>
      <c r="BI448" s="106"/>
      <c r="BJ448" s="106"/>
      <c r="BK448" s="106"/>
      <c r="BL448" s="106"/>
      <c r="BM448" s="106"/>
      <c r="BN448" s="106"/>
      <c r="BO448" s="106"/>
    </row>
    <row r="449" spans="2:67" x14ac:dyDescent="0.25">
      <c r="B449" s="221"/>
      <c r="C449" s="222"/>
      <c r="D449" s="221"/>
      <c r="E449" s="221"/>
      <c r="F449" s="212" t="s">
        <v>299</v>
      </c>
      <c r="H449" s="768" t="str">
        <f>IF(Ene03_13=AIS_statement32,AIS_NA,VLOOKUP(MinSt_07,AIS_MinSt_benchmarks,2,FALSE))</f>
        <v>Good level</v>
      </c>
      <c r="I449" s="768"/>
      <c r="J449" s="768"/>
      <c r="K449" s="768"/>
      <c r="L449" s="768"/>
      <c r="M449" s="768"/>
      <c r="N449" s="768"/>
      <c r="O449" s="215"/>
      <c r="P449" s="215"/>
      <c r="Q449" s="215"/>
      <c r="Y449" s="501"/>
      <c r="BI449" s="106"/>
      <c r="BJ449" s="106"/>
      <c r="BK449" s="106"/>
      <c r="BL449" s="106"/>
      <c r="BM449" s="106"/>
      <c r="BN449" s="106"/>
      <c r="BO449" s="106"/>
    </row>
    <row r="450" spans="2:67" x14ac:dyDescent="0.25">
      <c r="B450" s="23"/>
      <c r="M450" s="215"/>
      <c r="N450" s="215"/>
      <c r="O450" s="215"/>
      <c r="P450" s="215"/>
      <c r="Q450" s="215"/>
      <c r="Y450" s="501"/>
      <c r="BI450" s="106"/>
      <c r="BJ450" s="106"/>
      <c r="BK450" s="106"/>
      <c r="BL450" s="106"/>
      <c r="BM450" s="106"/>
      <c r="BN450" s="106"/>
      <c r="BO450" s="106"/>
    </row>
    <row r="451" spans="2:67" x14ac:dyDescent="0.25">
      <c r="B451" s="257" t="s">
        <v>301</v>
      </c>
      <c r="C451" s="215"/>
      <c r="D451" s="215"/>
      <c r="E451" s="215"/>
      <c r="F451" s="225"/>
      <c r="G451" s="215"/>
      <c r="H451" s="215"/>
      <c r="I451" s="215"/>
      <c r="J451" s="215"/>
      <c r="K451" s="215"/>
      <c r="L451" s="215"/>
      <c r="M451" s="215"/>
      <c r="N451" s="215"/>
      <c r="O451" s="215"/>
      <c r="P451" s="215"/>
      <c r="Q451" s="215"/>
      <c r="Y451" s="501"/>
      <c r="BI451" s="106"/>
      <c r="BJ451" s="106"/>
      <c r="BK451" s="106"/>
      <c r="BL451" s="106"/>
      <c r="BM451" s="106"/>
      <c r="BN451" s="106"/>
      <c r="BO451" s="106"/>
    </row>
    <row r="452" spans="2:67" ht="159.94999999999999" customHeight="1" x14ac:dyDescent="0.25">
      <c r="B452" s="736"/>
      <c r="C452" s="737"/>
      <c r="D452" s="737"/>
      <c r="E452" s="737"/>
      <c r="F452" s="737"/>
      <c r="G452" s="737"/>
      <c r="H452" s="737"/>
      <c r="I452" s="737"/>
      <c r="J452" s="737"/>
      <c r="K452" s="737"/>
      <c r="L452" s="737"/>
      <c r="M452" s="737"/>
      <c r="N452" s="737"/>
      <c r="O452" s="737"/>
      <c r="P452" s="738"/>
      <c r="Q452" s="209"/>
      <c r="Y452" s="501"/>
      <c r="BI452" s="106"/>
      <c r="BJ452" s="106"/>
      <c r="BK452" s="106"/>
      <c r="BL452" s="106"/>
      <c r="BM452" s="106"/>
      <c r="BN452" s="106"/>
      <c r="BO452" s="106"/>
    </row>
    <row r="453" spans="2:67" ht="36" customHeight="1" x14ac:dyDescent="0.25">
      <c r="B453" s="24" t="s">
        <v>432</v>
      </c>
      <c r="C453" s="13"/>
      <c r="D453" s="236"/>
      <c r="E453" s="237"/>
      <c r="F453" s="237"/>
      <c r="G453" s="237"/>
      <c r="H453" s="237"/>
      <c r="I453" s="237"/>
      <c r="J453" s="237"/>
      <c r="K453" s="237"/>
      <c r="L453" s="237"/>
      <c r="M453" s="237"/>
      <c r="N453" s="237"/>
      <c r="O453" s="237"/>
      <c r="P453" s="330" t="str">
        <f>IF(OR(ADPT=ADPT02,ADBT0=ADBT8),"",AIS_statement32)</f>
        <v>Assessment issue not applicable</v>
      </c>
      <c r="Q453" s="258"/>
      <c r="Y453" s="501"/>
      <c r="BI453" s="106"/>
      <c r="BJ453" s="106"/>
      <c r="BK453" s="106"/>
      <c r="BL453" s="106"/>
      <c r="BM453" s="106"/>
      <c r="BN453" s="106"/>
      <c r="BO453" s="106"/>
    </row>
    <row r="454" spans="2:67" x14ac:dyDescent="0.25">
      <c r="B454" s="215"/>
      <c r="C454" s="215"/>
      <c r="D454" s="215"/>
      <c r="E454" s="215"/>
      <c r="F454" s="215"/>
      <c r="G454" s="215"/>
      <c r="H454" s="215"/>
      <c r="I454" s="215"/>
      <c r="J454" s="215"/>
      <c r="K454" s="215"/>
      <c r="L454" s="215"/>
      <c r="M454" s="215"/>
      <c r="N454" s="215"/>
      <c r="O454" s="215"/>
      <c r="P454" s="215"/>
      <c r="Q454" s="215"/>
      <c r="Y454" s="501"/>
      <c r="BI454" s="106"/>
      <c r="BJ454" s="106"/>
      <c r="BK454" s="106"/>
      <c r="BL454" s="106"/>
      <c r="BM454" s="106"/>
      <c r="BN454" s="106"/>
      <c r="BO454" s="106"/>
    </row>
    <row r="455" spans="2:67" x14ac:dyDescent="0.25">
      <c r="B455" s="222"/>
      <c r="C455" s="222"/>
      <c r="D455" s="221"/>
      <c r="E455" s="221"/>
      <c r="F455" s="212" t="s">
        <v>284</v>
      </c>
      <c r="G455" s="215"/>
      <c r="H455" s="216" t="str">
        <f>IF(P453=AIS_statement32,AIS_NA,IF(OR(ADBT_sub01=ADBT_sub11,ADBT_sub01=ADBT_sub12,ADBT0=ADBT6,ADBT0=ADBT7,ADBT0=ADBT8,ADBT0=ADBT9),1,2))</f>
        <v>N/A</v>
      </c>
      <c r="J455" s="222"/>
      <c r="K455" s="222"/>
      <c r="L455" s="222"/>
      <c r="M455" s="222"/>
      <c r="N455" s="212" t="s">
        <v>285</v>
      </c>
      <c r="P455" s="217" t="str">
        <f>IF(P453=AIS_statement32,AIS_NA,(BP_34/BP_03)*Ene02b_credits)</f>
        <v>N/A</v>
      </c>
      <c r="Q455" s="217"/>
      <c r="Y455" s="501"/>
      <c r="BI455" s="106"/>
      <c r="BJ455" s="106"/>
      <c r="BK455" s="106"/>
      <c r="BL455" s="106"/>
      <c r="BM455" s="106"/>
      <c r="BN455" s="106"/>
      <c r="BO455" s="106"/>
    </row>
    <row r="456" spans="2:67" ht="3.75" customHeight="1" x14ac:dyDescent="0.25">
      <c r="Y456" s="501"/>
      <c r="BI456" s="106"/>
      <c r="BJ456" s="106"/>
      <c r="BK456" s="106"/>
      <c r="BL456" s="106"/>
      <c r="BM456" s="106"/>
      <c r="BN456" s="106"/>
      <c r="BO456" s="106"/>
    </row>
    <row r="457" spans="2:67" x14ac:dyDescent="0.25">
      <c r="B457" s="222"/>
      <c r="C457" s="222"/>
      <c r="D457" s="221"/>
      <c r="E457" s="221"/>
      <c r="F457" s="212" t="s">
        <v>286</v>
      </c>
      <c r="G457" s="215"/>
      <c r="H457" s="216">
        <v>0</v>
      </c>
      <c r="J457" s="221"/>
      <c r="K457" s="221"/>
      <c r="L457" s="221"/>
      <c r="M457" s="221"/>
      <c r="N457" s="212" t="s">
        <v>287</v>
      </c>
      <c r="O457" s="215"/>
      <c r="P457" s="216" t="s">
        <v>121</v>
      </c>
      <c r="Q457" s="216"/>
      <c r="Y457" s="501"/>
      <c r="BI457" s="106"/>
      <c r="BJ457" s="106"/>
      <c r="BK457" s="106"/>
      <c r="BL457" s="106"/>
      <c r="BM457" s="106"/>
      <c r="BN457" s="106"/>
      <c r="BO457" s="106"/>
    </row>
    <row r="458" spans="2:67" ht="47.25" customHeight="1" x14ac:dyDescent="0.25">
      <c r="B458" s="23" t="s">
        <v>429</v>
      </c>
      <c r="C458" s="218"/>
      <c r="D458" s="215"/>
      <c r="E458" s="218"/>
      <c r="F458" s="255"/>
      <c r="J458" s="219" t="s">
        <v>289</v>
      </c>
      <c r="K458" s="219"/>
      <c r="L458" s="220" t="s">
        <v>290</v>
      </c>
      <c r="M458" s="23"/>
      <c r="N458" s="220" t="s">
        <v>291</v>
      </c>
      <c r="O458" s="23"/>
      <c r="P458" s="220"/>
      <c r="Q458" s="220"/>
      <c r="Y458" s="501"/>
      <c r="BI458" s="106"/>
      <c r="BJ458" s="106"/>
      <c r="BK458" s="106"/>
      <c r="BL458" s="106"/>
      <c r="BM458" s="106"/>
      <c r="BN458" s="106"/>
      <c r="BO458" s="106"/>
    </row>
    <row r="459" spans="2:67" ht="3" customHeight="1" x14ac:dyDescent="0.25">
      <c r="B459" s="215"/>
      <c r="C459" s="218"/>
      <c r="D459" s="215"/>
      <c r="E459" s="218"/>
      <c r="F459" s="244"/>
      <c r="G459" s="215"/>
      <c r="J459" s="245"/>
      <c r="K459" s="245"/>
      <c r="L459" s="215"/>
      <c r="M459" s="215"/>
      <c r="N459" s="246"/>
      <c r="O459" s="218"/>
      <c r="P459" s="246"/>
      <c r="Q459" s="246"/>
      <c r="Y459" s="501"/>
      <c r="BI459" s="106"/>
      <c r="BJ459" s="106"/>
      <c r="BK459" s="106"/>
      <c r="BL459" s="106"/>
      <c r="BM459" s="106"/>
      <c r="BN459" s="106"/>
      <c r="BO459" s="106"/>
    </row>
    <row r="460" spans="2:67" x14ac:dyDescent="0.25">
      <c r="B460" s="221"/>
      <c r="C460" s="221"/>
      <c r="D460" s="221"/>
      <c r="E460" s="221"/>
      <c r="F460" s="212"/>
      <c r="G460" s="221"/>
      <c r="H460" s="212" t="s">
        <v>430</v>
      </c>
      <c r="J460" s="223"/>
      <c r="K460" s="215"/>
      <c r="L460" s="224" t="str">
        <f>IF(P453=AIS_statement32,AIS_NA,1)</f>
        <v>N/A</v>
      </c>
      <c r="M460" s="215"/>
      <c r="N460" s="224" t="str">
        <f>IF(P453=AIS_statement32,AIS_NA,IF(Ene02b_01=AIS_Yes,Ene02b_03,0))</f>
        <v>N/A</v>
      </c>
      <c r="O460" s="215"/>
      <c r="P460" s="400"/>
      <c r="Q460" s="400"/>
      <c r="Y460" s="501"/>
      <c r="BI460" s="106"/>
      <c r="BJ460" s="106"/>
      <c r="BK460" s="106"/>
      <c r="BL460" s="106"/>
      <c r="BM460" s="106"/>
      <c r="BN460" s="106"/>
      <c r="BO460" s="106"/>
    </row>
    <row r="461" spans="2:67" x14ac:dyDescent="0.25">
      <c r="B461" s="221"/>
      <c r="C461" s="221"/>
      <c r="D461" s="221"/>
      <c r="E461" s="221"/>
      <c r="F461" s="212"/>
      <c r="G461" s="221"/>
      <c r="H461" s="212" t="s">
        <v>431</v>
      </c>
      <c r="J461" s="223"/>
      <c r="K461" s="215"/>
      <c r="L461" s="224" t="str">
        <f>IF(P453=AIS_statement32,AIS_NA,1)</f>
        <v>N/A</v>
      </c>
      <c r="M461" s="215"/>
      <c r="N461" s="270">
        <f>IF(P453=AIS_NA,AIS_NA,IF(Ene02b_02=AIS_Yes,Ene02b_04,0))</f>
        <v>0</v>
      </c>
      <c r="O461" s="215"/>
      <c r="P461" s="252"/>
      <c r="Q461" s="252"/>
      <c r="Y461" s="501"/>
      <c r="BI461" s="106"/>
      <c r="BJ461" s="106"/>
      <c r="BK461" s="106"/>
      <c r="BL461" s="106"/>
      <c r="BM461" s="106"/>
      <c r="BN461" s="106"/>
      <c r="BO461" s="106"/>
    </row>
    <row r="462" spans="2:67" x14ac:dyDescent="0.25">
      <c r="Y462" s="501"/>
      <c r="BI462" s="106"/>
      <c r="BJ462" s="106"/>
      <c r="BK462" s="106"/>
      <c r="BL462" s="106"/>
      <c r="BM462" s="106"/>
      <c r="BN462" s="106"/>
      <c r="BO462" s="106"/>
    </row>
    <row r="463" spans="2:67" x14ac:dyDescent="0.25">
      <c r="B463" s="221"/>
      <c r="C463" s="222"/>
      <c r="D463" s="222"/>
      <c r="E463" s="221"/>
      <c r="F463" s="212" t="s">
        <v>296</v>
      </c>
      <c r="G463" s="215"/>
      <c r="H463" s="216" t="str">
        <f>IF(P453=AIS_statement32,AIS_NA,SUM(N460:N461))</f>
        <v>N/A</v>
      </c>
      <c r="J463" s="203"/>
      <c r="K463" s="215"/>
      <c r="M463" s="215"/>
      <c r="N463" s="215"/>
      <c r="O463" s="215"/>
      <c r="P463" s="215"/>
      <c r="Q463" s="215"/>
      <c r="Y463" s="501"/>
      <c r="BI463" s="106"/>
      <c r="BJ463" s="106"/>
      <c r="BK463" s="106"/>
      <c r="BL463" s="106"/>
      <c r="BM463" s="106"/>
      <c r="BN463" s="106"/>
      <c r="BO463" s="106"/>
    </row>
    <row r="464" spans="2:67" ht="3" customHeight="1" x14ac:dyDescent="0.25">
      <c r="B464" s="215"/>
      <c r="E464" s="215"/>
      <c r="F464" s="225"/>
      <c r="G464" s="215"/>
      <c r="H464" s="252"/>
      <c r="J464" s="203"/>
      <c r="K464" s="215"/>
      <c r="M464" s="215"/>
      <c r="N464" s="215"/>
      <c r="O464" s="215"/>
      <c r="P464" s="215"/>
      <c r="Q464" s="215"/>
      <c r="Y464" s="501"/>
      <c r="BI464" s="106"/>
      <c r="BJ464" s="106"/>
      <c r="BK464" s="106"/>
      <c r="BL464" s="106"/>
      <c r="BM464" s="106"/>
      <c r="BN464" s="106"/>
      <c r="BO464" s="106"/>
    </row>
    <row r="465" spans="2:67" x14ac:dyDescent="0.25">
      <c r="B465" s="221"/>
      <c r="C465" s="222"/>
      <c r="D465" s="222"/>
      <c r="E465" s="221"/>
      <c r="F465" s="212" t="s">
        <v>297</v>
      </c>
      <c r="G465" s="215"/>
      <c r="H465" s="217" t="str">
        <f>IF(Ene02b_07=AIS_statement32,AIS_NA,(P455/Ene02b_credits)*Ene02b_tot)</f>
        <v>N/A</v>
      </c>
      <c r="J465" s="203"/>
      <c r="K465" s="215"/>
      <c r="M465" s="215"/>
      <c r="N465" s="215"/>
      <c r="O465" s="215"/>
      <c r="P465" s="215"/>
      <c r="Q465" s="215"/>
      <c r="Y465" s="501"/>
      <c r="BI465" s="106"/>
      <c r="BJ465" s="106"/>
      <c r="BK465" s="106"/>
      <c r="BL465" s="106"/>
      <c r="BM465" s="106"/>
      <c r="BN465" s="106"/>
      <c r="BO465" s="106"/>
    </row>
    <row r="466" spans="2:67" ht="3" customHeight="1" x14ac:dyDescent="0.25">
      <c r="K466" s="215"/>
      <c r="M466" s="215"/>
      <c r="N466" s="215"/>
      <c r="O466" s="215"/>
      <c r="P466" s="215"/>
      <c r="Q466" s="215"/>
      <c r="Y466" s="501"/>
      <c r="BI466" s="106"/>
      <c r="BJ466" s="106"/>
      <c r="BK466" s="106"/>
      <c r="BL466" s="106"/>
      <c r="BM466" s="106"/>
      <c r="BN466" s="106"/>
      <c r="BO466" s="106"/>
    </row>
    <row r="467" spans="2:67" x14ac:dyDescent="0.25">
      <c r="B467" s="221"/>
      <c r="C467" s="222"/>
      <c r="D467" s="222"/>
      <c r="E467" s="221"/>
      <c r="F467" s="212" t="s">
        <v>298</v>
      </c>
      <c r="H467" s="216" t="s">
        <v>300</v>
      </c>
      <c r="K467" s="215"/>
      <c r="M467" s="215"/>
      <c r="N467" s="215"/>
      <c r="O467" s="215"/>
      <c r="P467" s="215"/>
      <c r="Q467" s="215"/>
      <c r="Y467" s="501"/>
      <c r="BI467" s="106"/>
      <c r="BJ467" s="106"/>
      <c r="BK467" s="106"/>
      <c r="BL467" s="106"/>
      <c r="BM467" s="106"/>
      <c r="BN467" s="106"/>
      <c r="BO467" s="106"/>
    </row>
    <row r="468" spans="2:67" ht="3" customHeight="1" x14ac:dyDescent="0.25">
      <c r="K468" s="215"/>
      <c r="M468" s="215"/>
      <c r="N468" s="215"/>
      <c r="O468" s="215"/>
      <c r="P468" s="215"/>
      <c r="Q468" s="215"/>
      <c r="Y468" s="501"/>
      <c r="BI468" s="106"/>
      <c r="BJ468" s="106"/>
      <c r="BK468" s="106"/>
      <c r="BL468" s="106"/>
      <c r="BM468" s="106"/>
      <c r="BN468" s="106"/>
      <c r="BO468" s="106"/>
    </row>
    <row r="469" spans="2:67" x14ac:dyDescent="0.25">
      <c r="B469" s="221"/>
      <c r="C469" s="222"/>
      <c r="D469" s="221"/>
      <c r="E469" s="221"/>
      <c r="F469" s="212" t="s">
        <v>299</v>
      </c>
      <c r="H469" s="768" t="str">
        <f>AIS_NA</f>
        <v>N/A</v>
      </c>
      <c r="I469" s="768"/>
      <c r="J469" s="768"/>
      <c r="K469" s="768"/>
      <c r="L469" s="768"/>
      <c r="M469" s="768"/>
      <c r="N469" s="768"/>
      <c r="O469" s="215"/>
      <c r="P469" s="215"/>
      <c r="Q469" s="215"/>
      <c r="Y469" s="501"/>
      <c r="BI469" s="106"/>
      <c r="BJ469" s="106"/>
      <c r="BK469" s="106"/>
      <c r="BL469" s="106"/>
      <c r="BM469" s="106"/>
      <c r="BN469" s="106"/>
      <c r="BO469" s="106"/>
    </row>
    <row r="470" spans="2:67" x14ac:dyDescent="0.25">
      <c r="B470" s="23"/>
      <c r="M470" s="215"/>
      <c r="N470" s="215"/>
      <c r="O470" s="215"/>
      <c r="P470" s="215"/>
      <c r="Q470" s="215"/>
      <c r="Y470" s="501"/>
      <c r="BI470" s="106"/>
      <c r="BJ470" s="106"/>
      <c r="BK470" s="106"/>
      <c r="BL470" s="106"/>
      <c r="BM470" s="106"/>
      <c r="BN470" s="106"/>
      <c r="BO470" s="106"/>
    </row>
    <row r="471" spans="2:67" x14ac:dyDescent="0.25">
      <c r="B471" s="257" t="s">
        <v>301</v>
      </c>
      <c r="C471" s="215"/>
      <c r="D471" s="215"/>
      <c r="E471" s="215"/>
      <c r="F471" s="225"/>
      <c r="G471" s="215"/>
      <c r="H471" s="215"/>
      <c r="I471" s="215"/>
      <c r="J471" s="215"/>
      <c r="K471" s="215"/>
      <c r="L471" s="215"/>
      <c r="M471" s="215"/>
      <c r="N471" s="215"/>
      <c r="O471" s="215"/>
      <c r="P471" s="215"/>
      <c r="Q471" s="215"/>
      <c r="Y471" s="501"/>
      <c r="BI471" s="106"/>
      <c r="BJ471" s="106"/>
      <c r="BK471" s="106"/>
      <c r="BL471" s="106"/>
      <c r="BM471" s="106"/>
      <c r="BN471" s="106"/>
      <c r="BO471" s="106"/>
    </row>
    <row r="472" spans="2:67" ht="159.94999999999999" customHeight="1" x14ac:dyDescent="0.25">
      <c r="B472" s="736"/>
      <c r="C472" s="737"/>
      <c r="D472" s="737"/>
      <c r="E472" s="737"/>
      <c r="F472" s="737"/>
      <c r="G472" s="737"/>
      <c r="H472" s="737"/>
      <c r="I472" s="737"/>
      <c r="J472" s="737"/>
      <c r="K472" s="737"/>
      <c r="L472" s="737"/>
      <c r="M472" s="737"/>
      <c r="N472" s="737"/>
      <c r="O472" s="737"/>
      <c r="P472" s="738"/>
      <c r="Q472" s="209"/>
      <c r="Y472" s="501"/>
      <c r="BI472" s="106"/>
      <c r="BJ472" s="106"/>
      <c r="BK472" s="106"/>
      <c r="BL472" s="106"/>
      <c r="BM472" s="106"/>
      <c r="BN472" s="106"/>
      <c r="BO472" s="106"/>
    </row>
    <row r="473" spans="2:67" ht="36" customHeight="1" x14ac:dyDescent="0.25">
      <c r="B473" s="24" t="s">
        <v>433</v>
      </c>
      <c r="C473" s="13"/>
      <c r="D473" s="236"/>
      <c r="E473" s="237"/>
      <c r="F473" s="237"/>
      <c r="G473" s="237"/>
      <c r="H473" s="237"/>
      <c r="I473" s="237"/>
      <c r="J473" s="237"/>
      <c r="K473" s="237"/>
      <c r="L473" s="237"/>
      <c r="M473" s="237"/>
      <c r="N473" s="237"/>
      <c r="O473" s="237"/>
      <c r="P473" s="237"/>
      <c r="Q473" s="215"/>
      <c r="Y473" s="501"/>
      <c r="BI473" s="106"/>
      <c r="BJ473" s="106"/>
      <c r="BK473" s="106"/>
      <c r="BL473" s="106"/>
      <c r="BM473" s="106"/>
      <c r="BN473" s="106"/>
      <c r="BO473" s="106"/>
    </row>
    <row r="474" spans="2:67" x14ac:dyDescent="0.25">
      <c r="B474" s="215"/>
      <c r="C474" s="215"/>
      <c r="D474" s="215"/>
      <c r="E474" s="215"/>
      <c r="F474" s="215"/>
      <c r="G474" s="215"/>
      <c r="H474" s="313"/>
      <c r="I474" s="313"/>
      <c r="J474" s="313"/>
      <c r="K474" s="313"/>
      <c r="L474" s="313"/>
      <c r="M474" s="313"/>
      <c r="N474" s="313"/>
      <c r="O474" s="215"/>
      <c r="P474" s="215"/>
      <c r="Q474" s="215"/>
      <c r="Y474" s="501"/>
      <c r="BI474" s="106"/>
      <c r="BJ474" s="106"/>
      <c r="BK474" s="106"/>
      <c r="BL474" s="106"/>
      <c r="BM474" s="106"/>
      <c r="BN474" s="106"/>
      <c r="BO474" s="106"/>
    </row>
    <row r="475" spans="2:67" x14ac:dyDescent="0.25">
      <c r="B475" s="222"/>
      <c r="C475" s="222"/>
      <c r="D475" s="221"/>
      <c r="E475" s="221"/>
      <c r="F475" s="212" t="s">
        <v>284</v>
      </c>
      <c r="G475" s="215"/>
      <c r="H475" s="216">
        <f>SUM(L480:L481)</f>
        <v>2</v>
      </c>
      <c r="J475" s="222"/>
      <c r="K475" s="222"/>
      <c r="L475" s="222"/>
      <c r="M475" s="222"/>
      <c r="N475" s="212" t="s">
        <v>285</v>
      </c>
      <c r="P475" s="217" t="e">
        <f>(BP_34/BP_03)*Ene03_credits</f>
        <v>#N/A</v>
      </c>
      <c r="Q475" s="209"/>
      <c r="Y475" s="501"/>
      <c r="BI475" s="106"/>
      <c r="BJ475" s="106"/>
      <c r="BK475" s="106"/>
      <c r="BL475" s="106"/>
      <c r="BM475" s="106"/>
      <c r="BN475" s="106"/>
      <c r="BO475" s="106"/>
    </row>
    <row r="476" spans="2:67" ht="3.75" customHeight="1" x14ac:dyDescent="0.25">
      <c r="Y476" s="501"/>
      <c r="BI476" s="106"/>
      <c r="BJ476" s="106"/>
      <c r="BK476" s="106"/>
      <c r="BL476" s="106"/>
      <c r="BM476" s="106"/>
      <c r="BN476" s="106"/>
      <c r="BO476" s="106"/>
    </row>
    <row r="477" spans="2:67" x14ac:dyDescent="0.25">
      <c r="B477" s="222"/>
      <c r="C477" s="222"/>
      <c r="D477" s="221"/>
      <c r="E477" s="221"/>
      <c r="F477" s="212" t="s">
        <v>286</v>
      </c>
      <c r="G477" s="215"/>
      <c r="H477" s="216">
        <v>0</v>
      </c>
      <c r="J477" s="221"/>
      <c r="K477" s="221"/>
      <c r="L477" s="221"/>
      <c r="M477" s="221"/>
      <c r="N477" s="212" t="s">
        <v>287</v>
      </c>
      <c r="O477" s="215"/>
      <c r="P477" s="216" t="s">
        <v>125</v>
      </c>
      <c r="Q477" s="209"/>
      <c r="Y477" s="501"/>
      <c r="BI477" s="106"/>
      <c r="BJ477" s="106"/>
      <c r="BK477" s="106"/>
      <c r="BL477" s="106"/>
      <c r="BM477" s="106"/>
      <c r="BN477" s="106"/>
      <c r="BO477" s="106"/>
    </row>
    <row r="478" spans="2:67" ht="47.25" customHeight="1" x14ac:dyDescent="0.25">
      <c r="B478" s="23" t="s">
        <v>429</v>
      </c>
      <c r="C478" s="218"/>
      <c r="D478" s="215"/>
      <c r="E478" s="218"/>
      <c r="F478" s="255"/>
      <c r="J478" s="219" t="s">
        <v>289</v>
      </c>
      <c r="K478" s="219"/>
      <c r="L478" s="220" t="s">
        <v>290</v>
      </c>
      <c r="M478" s="23"/>
      <c r="N478" s="220" t="s">
        <v>291</v>
      </c>
      <c r="O478" s="23"/>
      <c r="P478" s="220"/>
      <c r="Q478" s="220"/>
      <c r="Y478" s="501"/>
      <c r="BI478" s="106"/>
      <c r="BJ478" s="106"/>
      <c r="BK478" s="106"/>
      <c r="BL478" s="106"/>
      <c r="BM478" s="106"/>
      <c r="BN478" s="106"/>
      <c r="BO478" s="106"/>
    </row>
    <row r="479" spans="2:67" ht="3" customHeight="1" x14ac:dyDescent="0.25">
      <c r="B479" s="215"/>
      <c r="C479" s="218"/>
      <c r="D479" s="215"/>
      <c r="E479" s="218"/>
      <c r="F479" s="244"/>
      <c r="G479" s="215"/>
      <c r="J479" s="245"/>
      <c r="K479" s="245"/>
      <c r="L479" s="215"/>
      <c r="M479" s="215"/>
      <c r="N479" s="246"/>
      <c r="O479" s="218"/>
      <c r="P479" s="246"/>
      <c r="Q479" s="246"/>
      <c r="Y479" s="501"/>
      <c r="BI479" s="106"/>
      <c r="BJ479" s="106"/>
      <c r="BK479" s="106"/>
      <c r="BL479" s="106"/>
      <c r="BM479" s="106"/>
      <c r="BN479" s="106"/>
      <c r="BO479" s="106"/>
    </row>
    <row r="480" spans="2:67" x14ac:dyDescent="0.25">
      <c r="B480" s="221"/>
      <c r="C480" s="221"/>
      <c r="D480" s="221"/>
      <c r="E480" s="221"/>
      <c r="F480" s="212"/>
      <c r="G480" s="221"/>
      <c r="H480" s="212" t="s">
        <v>434</v>
      </c>
      <c r="J480" s="223"/>
      <c r="K480" s="215"/>
      <c r="L480" s="224">
        <v>1</v>
      </c>
      <c r="M480" s="215"/>
      <c r="N480" s="224">
        <f>IF(Ene03_01=AIS_Yes,Ene03_02,0)</f>
        <v>0</v>
      </c>
      <c r="O480" s="215"/>
      <c r="P480" s="400"/>
      <c r="Q480" s="400"/>
      <c r="Y480" s="501"/>
      <c r="BI480" s="106"/>
      <c r="BJ480" s="106"/>
      <c r="BK480" s="106"/>
      <c r="BL480" s="106"/>
      <c r="BM480" s="106"/>
      <c r="BN480" s="106"/>
      <c r="BO480" s="106"/>
    </row>
    <row r="481" spans="2:67" x14ac:dyDescent="0.25">
      <c r="B481" s="221"/>
      <c r="C481" s="221"/>
      <c r="D481" s="221"/>
      <c r="E481" s="221"/>
      <c r="F481" s="212"/>
      <c r="G481" s="221"/>
      <c r="H481" s="212" t="s">
        <v>435</v>
      </c>
      <c r="J481" s="223"/>
      <c r="K481" s="215"/>
      <c r="L481" s="224">
        <f>IF(ADBT0=ADBT8,IF(AD_ene03_select=AD_no,0,1),IF(ADPT=ADPT02,0,1))</f>
        <v>1</v>
      </c>
      <c r="M481" s="215"/>
      <c r="N481" s="224">
        <f>IF(Ene03_07=AIS_Yes,Ene03_02,0)</f>
        <v>0</v>
      </c>
      <c r="O481" s="215"/>
      <c r="P481" s="400"/>
      <c r="Q481" s="400"/>
      <c r="Y481" s="501"/>
      <c r="BI481" s="106"/>
      <c r="BJ481" s="106"/>
      <c r="BK481" s="106"/>
      <c r="BL481" s="106"/>
      <c r="BM481" s="106"/>
      <c r="BN481" s="106"/>
      <c r="BO481" s="106"/>
    </row>
    <row r="482" spans="2:67" x14ac:dyDescent="0.25">
      <c r="Y482" s="501"/>
      <c r="BI482" s="106"/>
      <c r="BJ482" s="106"/>
      <c r="BK482" s="106"/>
      <c r="BL482" s="106"/>
      <c r="BM482" s="106"/>
      <c r="BN482" s="106"/>
      <c r="BO482" s="106"/>
    </row>
    <row r="483" spans="2:67" x14ac:dyDescent="0.25">
      <c r="B483" s="221"/>
      <c r="C483" s="222"/>
      <c r="D483" s="222"/>
      <c r="E483" s="221"/>
      <c r="F483" s="212" t="s">
        <v>296</v>
      </c>
      <c r="G483" s="215"/>
      <c r="H483" s="216">
        <f>IF(ISERROR(SUM(N480:N481)),0,SUM(N480:N481))</f>
        <v>0</v>
      </c>
      <c r="J483" s="203"/>
      <c r="K483" s="215"/>
      <c r="M483" s="215"/>
      <c r="N483" s="215"/>
      <c r="O483" s="215"/>
      <c r="P483" s="215"/>
      <c r="Q483" s="215"/>
      <c r="Y483" s="501"/>
      <c r="BI483" s="106"/>
      <c r="BJ483" s="106"/>
      <c r="BK483" s="106"/>
      <c r="BL483" s="106"/>
      <c r="BM483" s="106"/>
      <c r="BN483" s="106"/>
      <c r="BO483" s="106"/>
    </row>
    <row r="484" spans="2:67" ht="3" customHeight="1" x14ac:dyDescent="0.25">
      <c r="B484" s="215"/>
      <c r="E484" s="215"/>
      <c r="F484" s="225"/>
      <c r="G484" s="215"/>
      <c r="H484" s="252"/>
      <c r="J484" s="203"/>
      <c r="K484" s="215"/>
      <c r="M484" s="215"/>
      <c r="N484" s="215"/>
      <c r="O484" s="215"/>
      <c r="P484" s="215"/>
      <c r="Q484" s="215"/>
      <c r="Y484" s="501"/>
      <c r="BI484" s="106"/>
      <c r="BJ484" s="106"/>
      <c r="BK484" s="106"/>
      <c r="BL484" s="106"/>
      <c r="BM484" s="106"/>
      <c r="BN484" s="106"/>
      <c r="BO484" s="106"/>
    </row>
    <row r="485" spans="2:67" x14ac:dyDescent="0.25">
      <c r="B485" s="221"/>
      <c r="C485" s="222"/>
      <c r="D485" s="222"/>
      <c r="E485" s="221"/>
      <c r="F485" s="212" t="s">
        <v>297</v>
      </c>
      <c r="G485" s="215"/>
      <c r="H485" s="217" t="e">
        <f>(Ene03_05/Ene03_credits)*Ene03_tot</f>
        <v>#N/A</v>
      </c>
      <c r="J485" s="203"/>
      <c r="K485" s="215"/>
      <c r="M485" s="215"/>
      <c r="N485" s="215"/>
      <c r="O485" s="215"/>
      <c r="P485" s="215"/>
      <c r="Q485" s="215"/>
      <c r="Y485" s="501"/>
      <c r="BI485" s="106"/>
      <c r="BJ485" s="106"/>
      <c r="BK485" s="106"/>
      <c r="BL485" s="106"/>
      <c r="BM485" s="106"/>
      <c r="BN485" s="106"/>
      <c r="BO485" s="106"/>
    </row>
    <row r="486" spans="2:67" ht="3" customHeight="1" x14ac:dyDescent="0.25">
      <c r="K486" s="215"/>
      <c r="M486" s="215"/>
      <c r="N486" s="215"/>
      <c r="O486" s="215"/>
      <c r="P486" s="215"/>
      <c r="Q486" s="215"/>
      <c r="Y486" s="501"/>
      <c r="BI486" s="106"/>
      <c r="BJ486" s="106"/>
      <c r="BK486" s="106"/>
      <c r="BL486" s="106"/>
      <c r="BM486" s="106"/>
      <c r="BN486" s="106"/>
      <c r="BO486" s="106"/>
    </row>
    <row r="487" spans="2:67" x14ac:dyDescent="0.25">
      <c r="B487" s="221"/>
      <c r="C487" s="222"/>
      <c r="D487" s="222"/>
      <c r="E487" s="221"/>
      <c r="F487" s="212" t="s">
        <v>298</v>
      </c>
      <c r="H487" s="216" t="s">
        <v>300</v>
      </c>
      <c r="K487" s="215"/>
      <c r="M487" s="215"/>
      <c r="N487" s="215"/>
      <c r="O487" s="215"/>
      <c r="P487" s="215"/>
      <c r="Q487" s="215"/>
      <c r="Y487" s="501"/>
      <c r="BI487" s="106"/>
      <c r="BJ487" s="106"/>
      <c r="BK487" s="106"/>
      <c r="BL487" s="106"/>
      <c r="BM487" s="106"/>
      <c r="BN487" s="106"/>
      <c r="BO487" s="106"/>
    </row>
    <row r="488" spans="2:67" ht="3" customHeight="1" x14ac:dyDescent="0.25">
      <c r="K488" s="215"/>
      <c r="M488" s="215"/>
      <c r="N488" s="215"/>
      <c r="O488" s="215"/>
      <c r="P488" s="215"/>
      <c r="Q488" s="215"/>
      <c r="Y488" s="501"/>
      <c r="BI488" s="106"/>
      <c r="BJ488" s="106"/>
      <c r="BK488" s="106"/>
      <c r="BL488" s="106"/>
      <c r="BM488" s="106"/>
      <c r="BN488" s="106"/>
      <c r="BO488" s="106"/>
    </row>
    <row r="489" spans="2:67" x14ac:dyDescent="0.25">
      <c r="B489" s="221"/>
      <c r="C489" s="222"/>
      <c r="D489" s="221"/>
      <c r="E489" s="221"/>
      <c r="F489" s="212" t="s">
        <v>299</v>
      </c>
      <c r="H489" s="216" t="s">
        <v>300</v>
      </c>
      <c r="K489" s="215"/>
      <c r="M489" s="215"/>
      <c r="N489" s="215"/>
      <c r="O489" s="215"/>
      <c r="P489" s="215"/>
      <c r="Q489" s="215"/>
      <c r="Y489" s="501"/>
      <c r="BI489" s="106"/>
      <c r="BJ489" s="106"/>
      <c r="BK489" s="106"/>
      <c r="BL489" s="106"/>
      <c r="BM489" s="106"/>
      <c r="BN489" s="106"/>
      <c r="BO489" s="106"/>
    </row>
    <row r="490" spans="2:67" x14ac:dyDescent="0.25">
      <c r="M490" s="215"/>
      <c r="N490" s="215"/>
      <c r="O490" s="215"/>
      <c r="P490" s="215"/>
      <c r="Q490" s="215"/>
      <c r="Y490" s="501"/>
      <c r="BI490" s="106"/>
      <c r="BJ490" s="106"/>
      <c r="BK490" s="106"/>
      <c r="BL490" s="106"/>
      <c r="BM490" s="106"/>
      <c r="BN490" s="106"/>
      <c r="BO490" s="106"/>
    </row>
    <row r="491" spans="2:67" x14ac:dyDescent="0.25">
      <c r="B491" s="257" t="s">
        <v>301</v>
      </c>
      <c r="C491" s="215"/>
      <c r="D491" s="215"/>
      <c r="E491" s="215"/>
      <c r="F491" s="225"/>
      <c r="G491" s="215"/>
      <c r="H491" s="215"/>
      <c r="I491" s="215"/>
      <c r="J491" s="215"/>
      <c r="K491" s="215"/>
      <c r="L491" s="215"/>
      <c r="M491" s="215"/>
      <c r="N491" s="215"/>
      <c r="O491" s="215"/>
      <c r="P491" s="215"/>
      <c r="Q491" s="215"/>
      <c r="Y491" s="501"/>
      <c r="BI491" s="106"/>
      <c r="BJ491" s="106"/>
      <c r="BK491" s="106"/>
      <c r="BL491" s="106"/>
      <c r="BM491" s="106"/>
      <c r="BN491" s="106"/>
      <c r="BO491" s="106"/>
    </row>
    <row r="492" spans="2:67" ht="159.94999999999999" customHeight="1" x14ac:dyDescent="0.25">
      <c r="B492" s="736"/>
      <c r="C492" s="737"/>
      <c r="D492" s="737"/>
      <c r="E492" s="737"/>
      <c r="F492" s="737"/>
      <c r="G492" s="737"/>
      <c r="H492" s="737"/>
      <c r="I492" s="737"/>
      <c r="J492" s="737"/>
      <c r="K492" s="737"/>
      <c r="L492" s="737"/>
      <c r="M492" s="737"/>
      <c r="N492" s="737"/>
      <c r="O492" s="737"/>
      <c r="P492" s="738"/>
      <c r="Q492" s="416"/>
      <c r="Y492" s="501"/>
      <c r="BI492" s="106"/>
      <c r="BJ492" s="106"/>
      <c r="BK492" s="106"/>
      <c r="BL492" s="106"/>
      <c r="BM492" s="106"/>
      <c r="BN492" s="106"/>
      <c r="BO492" s="106"/>
    </row>
    <row r="493" spans="2:67" ht="36" customHeight="1" x14ac:dyDescent="0.25">
      <c r="B493" s="24" t="s">
        <v>436</v>
      </c>
      <c r="C493" s="13"/>
      <c r="D493" s="236"/>
      <c r="E493" s="237"/>
      <c r="F493" s="237"/>
      <c r="G493" s="237"/>
      <c r="H493" s="237"/>
      <c r="I493" s="237"/>
      <c r="J493" s="237"/>
      <c r="K493" s="237"/>
      <c r="L493" s="237"/>
      <c r="M493" s="237"/>
      <c r="N493" s="237"/>
      <c r="O493" s="237"/>
      <c r="P493" s="237"/>
      <c r="Q493" s="215"/>
      <c r="Y493" s="501"/>
      <c r="BI493" s="106"/>
      <c r="BJ493" s="106"/>
      <c r="BK493" s="106"/>
      <c r="BL493" s="106"/>
      <c r="BM493" s="106"/>
      <c r="BN493" s="106"/>
      <c r="BO493" s="106"/>
    </row>
    <row r="494" spans="2:67" x14ac:dyDescent="0.25">
      <c r="B494" s="215"/>
      <c r="C494" s="215"/>
      <c r="D494" s="215"/>
      <c r="E494" s="215"/>
      <c r="F494" s="215"/>
      <c r="G494" s="215"/>
      <c r="H494" s="215"/>
      <c r="I494" s="215"/>
      <c r="J494" s="215"/>
      <c r="K494" s="215"/>
      <c r="L494" s="215"/>
      <c r="M494" s="215"/>
      <c r="N494" s="215"/>
      <c r="O494" s="215"/>
      <c r="P494" s="215"/>
      <c r="Q494" s="215"/>
      <c r="Y494" s="501"/>
      <c r="BI494" s="106"/>
      <c r="BJ494" s="106"/>
      <c r="BK494" s="106"/>
      <c r="BL494" s="106"/>
      <c r="BM494" s="106"/>
      <c r="BN494" s="106"/>
      <c r="BO494" s="106"/>
    </row>
    <row r="495" spans="2:67" x14ac:dyDescent="0.25">
      <c r="B495" s="222"/>
      <c r="C495" s="222"/>
      <c r="D495" s="221"/>
      <c r="E495" s="221"/>
      <c r="F495" s="212" t="s">
        <v>284</v>
      </c>
      <c r="G495" s="215"/>
      <c r="H495" s="216">
        <v>3</v>
      </c>
      <c r="J495" s="222"/>
      <c r="K495" s="222"/>
      <c r="L495" s="222"/>
      <c r="M495" s="222"/>
      <c r="N495" s="212" t="s">
        <v>285</v>
      </c>
      <c r="P495" s="217" t="e">
        <f>(BP_34/BP_03)*Ene04_credits</f>
        <v>#N/A</v>
      </c>
      <c r="Q495" s="217"/>
      <c r="Y495" s="501"/>
      <c r="BI495" s="106"/>
      <c r="BJ495" s="106"/>
      <c r="BK495" s="106"/>
      <c r="BL495" s="106"/>
      <c r="BM495" s="106"/>
      <c r="BN495" s="106"/>
      <c r="BO495" s="106"/>
    </row>
    <row r="496" spans="2:67" ht="3.75" customHeight="1" x14ac:dyDescent="0.25">
      <c r="Y496" s="501"/>
      <c r="BI496" s="106"/>
      <c r="BJ496" s="106"/>
      <c r="BK496" s="106"/>
      <c r="BL496" s="106"/>
      <c r="BM496" s="106"/>
      <c r="BN496" s="106"/>
      <c r="BO496" s="106"/>
    </row>
    <row r="497" spans="2:67" x14ac:dyDescent="0.25">
      <c r="B497" s="222"/>
      <c r="C497" s="222"/>
      <c r="D497" s="221"/>
      <c r="E497" s="221"/>
      <c r="F497" s="212" t="s">
        <v>286</v>
      </c>
      <c r="G497" s="215"/>
      <c r="H497" s="216">
        <v>5</v>
      </c>
      <c r="J497" s="221"/>
      <c r="K497" s="221"/>
      <c r="L497" s="221"/>
      <c r="M497" s="221"/>
      <c r="N497" s="212" t="s">
        <v>287</v>
      </c>
      <c r="O497" s="215"/>
      <c r="P497" s="216" t="s">
        <v>125</v>
      </c>
      <c r="Q497" s="216"/>
      <c r="Y497" s="501"/>
      <c r="BI497" s="106"/>
      <c r="BJ497" s="106"/>
      <c r="BK497" s="106"/>
      <c r="BL497" s="106"/>
      <c r="BM497" s="106"/>
      <c r="BN497" s="106"/>
      <c r="BO497" s="106"/>
    </row>
    <row r="498" spans="2:67" ht="47.25" customHeight="1" x14ac:dyDescent="0.25">
      <c r="B498" s="23" t="s">
        <v>429</v>
      </c>
      <c r="C498" s="218"/>
      <c r="D498" s="215"/>
      <c r="E498" s="218"/>
      <c r="F498" s="255"/>
      <c r="J498" s="219" t="s">
        <v>289</v>
      </c>
      <c r="K498" s="219"/>
      <c r="L498" s="220" t="s">
        <v>290</v>
      </c>
      <c r="M498" s="23"/>
      <c r="N498" s="220" t="s">
        <v>291</v>
      </c>
      <c r="O498" s="23"/>
      <c r="P498" s="599"/>
      <c r="Q498" s="599"/>
      <c r="Y498" s="501"/>
      <c r="BI498" s="106"/>
      <c r="BJ498" s="106"/>
      <c r="BK498" s="106"/>
      <c r="BL498" s="106"/>
      <c r="BM498" s="106"/>
      <c r="BN498" s="106"/>
      <c r="BO498" s="106"/>
    </row>
    <row r="499" spans="2:67" ht="3" customHeight="1" x14ac:dyDescent="0.25">
      <c r="B499" s="215"/>
      <c r="C499" s="218"/>
      <c r="D499" s="215"/>
      <c r="E499" s="218"/>
      <c r="F499" s="244"/>
      <c r="G499" s="215"/>
      <c r="J499" s="245"/>
      <c r="K499" s="245"/>
      <c r="L499" s="215"/>
      <c r="M499" s="215"/>
      <c r="N499" s="246"/>
      <c r="O499" s="218"/>
      <c r="P499" s="600"/>
      <c r="Q499" s="600"/>
      <c r="Y499" s="501"/>
      <c r="BI499" s="106"/>
      <c r="BJ499" s="106"/>
      <c r="BK499" s="106"/>
      <c r="BL499" s="106"/>
      <c r="BM499" s="106"/>
      <c r="BN499" s="106"/>
      <c r="BO499" s="106"/>
    </row>
    <row r="500" spans="2:67" ht="30.75" customHeight="1" x14ac:dyDescent="0.25">
      <c r="B500" s="221"/>
      <c r="C500" s="221"/>
      <c r="D500" s="221"/>
      <c r="E500" s="221"/>
      <c r="F500" s="212"/>
      <c r="G500" s="221"/>
      <c r="H500" s="212" t="s">
        <v>437</v>
      </c>
      <c r="J500" s="223"/>
      <c r="K500" s="215"/>
      <c r="L500" s="224">
        <v>1</v>
      </c>
      <c r="M500" s="215"/>
      <c r="N500" s="224">
        <f>IF(AND(ADBT0=ADBT2,ADIND_option01=AD_no,ENE04_01=AIS_Yes),1,IF(AND(ADPT=ADPT02,ENE04_01=AIS_Yes),1,IF(AND(ENE04_01=AIS_Yes,Hea04_03=AIS_Yes),1,0)))</f>
        <v>0</v>
      </c>
      <c r="O500" s="215"/>
      <c r="P500" s="252"/>
      <c r="Q500" s="252"/>
      <c r="R500" s="744" t="str">
        <f>IF(AND(ADBT0&lt;&gt;ADBT8,ADPT=ADPT02),"Hea 04 is not applicable to Shell only assessments; however to acheive the first credit in Ene04, compliance with Hea 04 criteria 1-3 must be demonstrated.",IF(AND(ENE04_01=AIS_Yes,Hea04_03&lt;&gt;AIS_Yes),"Note: The first credit in issue Hea04 must be achieved to award the first credit in Ene04. This does not apply to Shell Only projects, Industrial buildings with no office areas, where Hea04 is not applicable.",""))</f>
        <v/>
      </c>
      <c r="S500" s="744"/>
      <c r="T500" s="744"/>
      <c r="U500" s="744"/>
      <c r="V500" s="744"/>
      <c r="W500" s="744"/>
      <c r="X500" s="744"/>
      <c r="Y500" s="501"/>
      <c r="BI500" s="106"/>
      <c r="BJ500" s="106"/>
      <c r="BK500" s="106"/>
      <c r="BL500" s="106"/>
      <c r="BM500" s="106"/>
      <c r="BN500" s="106"/>
      <c r="BO500" s="106"/>
    </row>
    <row r="501" spans="2:67" ht="15.6" customHeight="1" x14ac:dyDescent="0.25">
      <c r="B501" s="221"/>
      <c r="C501" s="221"/>
      <c r="D501" s="221"/>
      <c r="E501" s="221"/>
      <c r="F501" s="212"/>
      <c r="G501" s="221"/>
      <c r="H501" s="212" t="s">
        <v>438</v>
      </c>
      <c r="J501" s="223"/>
      <c r="K501" s="215"/>
      <c r="L501" s="224">
        <v>1</v>
      </c>
      <c r="M501" s="215"/>
      <c r="N501" s="224">
        <f>IF(AND(ENE04_02=AIS_Yes,ENE04_04=1),1,0)</f>
        <v>0</v>
      </c>
      <c r="O501" s="215"/>
      <c r="P501" s="252"/>
      <c r="Q501" s="252"/>
      <c r="R501" s="817" t="str">
        <f>IF(AND(ENE04_02=AIS_Yes,ENE04_04=0),"Note: The passive design analysis credit must be achieved before the free cooling credit can be awarded.","")</f>
        <v/>
      </c>
      <c r="S501" s="817"/>
      <c r="T501" s="817"/>
      <c r="U501" s="817"/>
      <c r="V501" s="817"/>
      <c r="W501" s="817"/>
      <c r="X501" s="817"/>
      <c r="Y501" s="501"/>
      <c r="BI501" s="106"/>
      <c r="BJ501" s="106"/>
      <c r="BK501" s="106"/>
      <c r="BL501" s="106"/>
      <c r="BM501" s="106"/>
      <c r="BN501" s="106"/>
      <c r="BO501" s="106"/>
    </row>
    <row r="502" spans="2:67" x14ac:dyDescent="0.25">
      <c r="B502" s="221"/>
      <c r="C502" s="221"/>
      <c r="D502" s="221"/>
      <c r="E502" s="221"/>
      <c r="F502" s="212"/>
      <c r="G502" s="221"/>
      <c r="H502" s="212" t="s">
        <v>439</v>
      </c>
      <c r="J502" s="223"/>
      <c r="K502" s="215"/>
      <c r="L502" s="224">
        <v>1</v>
      </c>
      <c r="M502" s="215"/>
      <c r="N502" s="224">
        <f>IF(ENE04_03=AIS_Yes,1,0)</f>
        <v>0</v>
      </c>
      <c r="O502" s="215"/>
      <c r="P502" s="252"/>
      <c r="Q502" s="252"/>
      <c r="R502" s="209" t="str">
        <f>IF(AND(Man05_03=AIS_Yes,OR(Man05_01=AIS_No,Man05_02=AIS_No)),AIS_Statement95,"")</f>
        <v/>
      </c>
      <c r="Y502" s="501"/>
      <c r="BI502" s="106"/>
      <c r="BJ502" s="106"/>
      <c r="BK502" s="106"/>
      <c r="BL502" s="106"/>
      <c r="BM502" s="106"/>
      <c r="BN502" s="106"/>
      <c r="BO502" s="106"/>
    </row>
    <row r="503" spans="2:67" s="18" customFormat="1" ht="3" customHeight="1" x14ac:dyDescent="0.25">
      <c r="B503" s="411"/>
      <c r="C503" s="411"/>
      <c r="D503" s="411"/>
      <c r="E503" s="411"/>
      <c r="F503" s="411"/>
      <c r="G503" s="411"/>
      <c r="H503" s="411"/>
      <c r="I503" s="411"/>
      <c r="J503" s="413"/>
      <c r="K503" s="413"/>
      <c r="L503" s="413"/>
      <c r="M503" s="413"/>
      <c r="N503" s="413"/>
      <c r="O503" s="413"/>
      <c r="P503" s="203"/>
      <c r="Q503" s="203"/>
      <c r="R503" s="209"/>
      <c r="S503" s="3"/>
      <c r="T503" s="3"/>
      <c r="U503" s="3"/>
      <c r="V503" s="3"/>
      <c r="W503" s="3"/>
      <c r="Y503" s="501"/>
      <c r="Z503" s="501"/>
      <c r="AA503" s="501"/>
      <c r="AB503" s="501"/>
      <c r="AC503" s="501"/>
      <c r="AD503" s="501"/>
      <c r="AE503" s="501"/>
      <c r="AF503" s="501"/>
      <c r="AG503" s="501"/>
      <c r="AH503" s="501"/>
      <c r="AI503" s="501"/>
      <c r="AJ503" s="501"/>
      <c r="AK503" s="501"/>
      <c r="AL503" s="501"/>
      <c r="AM503" s="501"/>
      <c r="AN503" s="501"/>
      <c r="AO503" s="501"/>
      <c r="AP503" s="501"/>
      <c r="AQ503" s="501"/>
      <c r="AR503" s="501"/>
      <c r="AS503" s="501"/>
      <c r="AT503" s="501"/>
      <c r="AU503" s="501"/>
      <c r="AV503" s="501"/>
      <c r="AW503" s="501"/>
      <c r="AX503" s="503"/>
      <c r="AY503" s="503"/>
      <c r="AZ503" s="503"/>
      <c r="BA503" s="503"/>
      <c r="BB503" s="503"/>
      <c r="BC503" s="503"/>
      <c r="BD503" s="503"/>
      <c r="BE503" s="503"/>
      <c r="BF503" s="503"/>
      <c r="BG503" s="503"/>
      <c r="BH503" s="503"/>
      <c r="BI503" s="106"/>
      <c r="BJ503" s="106"/>
      <c r="BK503" s="106"/>
      <c r="BL503" s="106"/>
      <c r="BM503" s="106"/>
      <c r="BN503" s="106"/>
      <c r="BO503" s="106"/>
    </row>
    <row r="504" spans="2:67" ht="3" customHeight="1" x14ac:dyDescent="0.25">
      <c r="Y504" s="163"/>
      <c r="Z504" s="163"/>
      <c r="AA504" s="163"/>
      <c r="AB504" s="163"/>
      <c r="AC504" s="163"/>
      <c r="AD504" s="163"/>
      <c r="AE504" s="163"/>
      <c r="AF504" s="163"/>
      <c r="AG504" s="163"/>
      <c r="AH504" s="163"/>
      <c r="AI504" s="163"/>
      <c r="AJ504" s="163"/>
      <c r="AK504" s="163"/>
      <c r="AL504" s="163"/>
      <c r="AM504" s="163"/>
      <c r="AN504" s="163"/>
      <c r="AO504" s="163"/>
      <c r="AP504" s="163"/>
      <c r="AQ504" s="163"/>
      <c r="AR504" s="163"/>
      <c r="AS504" s="163"/>
      <c r="AT504" s="163"/>
      <c r="AU504" s="163"/>
      <c r="AV504" s="163"/>
      <c r="AW504" s="163"/>
      <c r="AX504" s="20"/>
      <c r="AY504" s="20"/>
      <c r="AZ504" s="20"/>
      <c r="BA504" s="20"/>
      <c r="BB504" s="20"/>
      <c r="BC504" s="20"/>
      <c r="BD504" s="20"/>
      <c r="BE504" s="20"/>
      <c r="BF504" s="20"/>
      <c r="BG504" s="20"/>
      <c r="BH504" s="20"/>
      <c r="BI504" s="3"/>
    </row>
    <row r="505" spans="2:67" x14ac:dyDescent="0.25">
      <c r="B505" s="359"/>
      <c r="C505" s="359"/>
      <c r="D505" s="359"/>
      <c r="E505" s="359"/>
      <c r="F505" s="359"/>
      <c r="G505" s="359"/>
      <c r="H505" s="359" t="s">
        <v>440</v>
      </c>
      <c r="J505" s="638"/>
      <c r="K505" s="636"/>
      <c r="L505" s="636"/>
      <c r="M505" s="636"/>
      <c r="N505" s="636"/>
      <c r="O505" s="636"/>
      <c r="P505" s="636"/>
      <c r="Q505" s="597"/>
      <c r="Y505" s="163"/>
      <c r="Z505" s="163"/>
      <c r="AA505" s="163"/>
      <c r="AB505" s="163"/>
      <c r="AC505" s="163"/>
      <c r="AD505" s="163"/>
      <c r="AE505" s="163"/>
      <c r="AF505" s="163"/>
      <c r="AG505" s="163"/>
      <c r="AH505" s="163"/>
      <c r="AI505" s="163"/>
      <c r="AJ505" s="163"/>
      <c r="AK505" s="163"/>
      <c r="AL505" s="163"/>
      <c r="AM505" s="163"/>
      <c r="AN505" s="163"/>
      <c r="AO505" s="163"/>
      <c r="AP505" s="163"/>
      <c r="AQ505" s="163"/>
      <c r="AR505" s="163"/>
      <c r="AS505" s="163"/>
      <c r="AT505" s="163"/>
      <c r="AU505" s="163"/>
      <c r="AV505" s="163"/>
      <c r="AW505" s="163"/>
      <c r="AX505" s="20"/>
      <c r="AY505" s="20"/>
      <c r="AZ505" s="20"/>
      <c r="BA505" s="20"/>
      <c r="BB505" s="20"/>
      <c r="BC505" s="20"/>
      <c r="BD505" s="20"/>
      <c r="BE505" s="20"/>
      <c r="BF505" s="20"/>
      <c r="BG505" s="20"/>
      <c r="BH505" s="20"/>
      <c r="BI505" s="3"/>
    </row>
    <row r="506" spans="2:67" x14ac:dyDescent="0.25">
      <c r="B506" s="274"/>
      <c r="C506" s="274"/>
      <c r="D506" s="274"/>
      <c r="E506" s="274"/>
      <c r="F506" s="274"/>
      <c r="G506" s="274"/>
      <c r="H506" s="274" t="s">
        <v>441</v>
      </c>
      <c r="I506" s="192"/>
      <c r="J506" s="604"/>
      <c r="K506" s="636"/>
      <c r="L506" s="636"/>
      <c r="M506" s="636"/>
      <c r="N506" s="636"/>
      <c r="O506" s="636"/>
      <c r="P506" s="636"/>
      <c r="Q506" s="597"/>
      <c r="Y506" s="163"/>
      <c r="Z506" s="163"/>
      <c r="AA506" s="163"/>
      <c r="AB506" s="163"/>
      <c r="AC506" s="163"/>
      <c r="AD506" s="163"/>
      <c r="AE506" s="163"/>
      <c r="AF506" s="163"/>
      <c r="AG506" s="163"/>
      <c r="AH506" s="163"/>
      <c r="AI506" s="163"/>
      <c r="AJ506" s="163"/>
      <c r="AK506" s="163"/>
      <c r="AL506" s="163"/>
      <c r="AM506" s="163"/>
      <c r="AN506" s="163"/>
      <c r="AO506" s="163"/>
      <c r="AP506" s="163"/>
      <c r="AQ506" s="163"/>
      <c r="AR506" s="163"/>
      <c r="AS506" s="163"/>
      <c r="AT506" s="163"/>
      <c r="AU506" s="163"/>
      <c r="AV506" s="163"/>
      <c r="AW506" s="163"/>
      <c r="AX506" s="20"/>
      <c r="AY506" s="20"/>
      <c r="AZ506" s="20"/>
      <c r="BA506" s="20"/>
      <c r="BB506" s="20"/>
      <c r="BC506" s="20"/>
      <c r="BD506" s="20"/>
      <c r="BE506" s="20"/>
      <c r="BF506" s="20"/>
      <c r="BG506" s="20"/>
      <c r="BH506" s="20"/>
      <c r="BI506" s="3"/>
    </row>
    <row r="507" spans="2:67" ht="3" customHeight="1" x14ac:dyDescent="0.25">
      <c r="Y507" s="163"/>
      <c r="Z507" s="163"/>
      <c r="AA507" s="163"/>
      <c r="AB507" s="163"/>
      <c r="AC507" s="163"/>
      <c r="AD507" s="163"/>
      <c r="AE507" s="163"/>
      <c r="AF507" s="163"/>
      <c r="AG507" s="163"/>
      <c r="AH507" s="163"/>
      <c r="AI507" s="163"/>
      <c r="AJ507" s="163"/>
      <c r="AK507" s="163"/>
      <c r="AL507" s="163"/>
      <c r="AM507" s="163"/>
      <c r="AN507" s="163"/>
      <c r="AO507" s="163"/>
      <c r="AP507" s="163"/>
      <c r="AQ507" s="163"/>
      <c r="AR507" s="163"/>
      <c r="AS507" s="163"/>
      <c r="AT507" s="163"/>
      <c r="AU507" s="163"/>
      <c r="AV507" s="163"/>
      <c r="AW507" s="163"/>
      <c r="AX507" s="20"/>
      <c r="AY507" s="20"/>
      <c r="AZ507" s="20"/>
      <c r="BA507" s="20"/>
      <c r="BB507" s="20"/>
      <c r="BC507" s="20"/>
      <c r="BD507" s="20"/>
      <c r="BE507" s="20"/>
      <c r="BF507" s="20"/>
      <c r="BG507" s="20"/>
      <c r="BH507" s="20"/>
      <c r="BI507" s="3"/>
    </row>
    <row r="508" spans="2:67" x14ac:dyDescent="0.25">
      <c r="B508" s="774"/>
      <c r="C508" s="775"/>
      <c r="D508" s="775"/>
      <c r="E508" s="775"/>
      <c r="F508" s="775"/>
      <c r="G508" s="775"/>
      <c r="H508" s="775"/>
      <c r="I508" s="203"/>
      <c r="J508" s="252"/>
      <c r="K508" s="215"/>
      <c r="L508" s="198"/>
      <c r="M508" s="215"/>
      <c r="N508" s="252"/>
      <c r="O508" s="215"/>
      <c r="P508" s="598"/>
      <c r="Q508" s="598"/>
      <c r="Y508" s="163"/>
      <c r="Z508" s="163"/>
      <c r="AA508" s="163"/>
      <c r="AB508" s="163"/>
      <c r="AC508" s="163"/>
      <c r="AD508" s="163"/>
      <c r="AE508" s="163"/>
      <c r="AF508" s="163"/>
      <c r="AG508" s="163"/>
      <c r="AH508" s="163"/>
      <c r="AI508" s="163"/>
      <c r="AJ508" s="163"/>
      <c r="AK508" s="163"/>
      <c r="AL508" s="163"/>
      <c r="AM508" s="163"/>
      <c r="AN508" s="163"/>
      <c r="AO508" s="163"/>
      <c r="AP508" s="163"/>
      <c r="AQ508" s="163"/>
      <c r="AR508" s="163"/>
      <c r="AS508" s="163"/>
      <c r="AT508" s="163"/>
      <c r="AU508" s="163"/>
      <c r="AV508" s="163"/>
      <c r="AW508" s="163"/>
      <c r="AX508" s="20"/>
      <c r="AY508" s="20"/>
      <c r="AZ508" s="20"/>
      <c r="BA508" s="20"/>
      <c r="BB508" s="20"/>
      <c r="BC508" s="20"/>
      <c r="BD508" s="20"/>
      <c r="BE508" s="20"/>
      <c r="BF508" s="20"/>
      <c r="BG508" s="20"/>
      <c r="BH508" s="20"/>
      <c r="BI508" s="3"/>
    </row>
    <row r="509" spans="2:67" ht="24.95" customHeight="1" x14ac:dyDescent="0.25">
      <c r="B509" s="23" t="s">
        <v>442</v>
      </c>
      <c r="C509" s="203"/>
      <c r="D509" s="203"/>
      <c r="E509" s="203"/>
      <c r="F509" s="203"/>
      <c r="G509" s="203"/>
      <c r="H509" s="203"/>
      <c r="I509" s="203"/>
      <c r="J509" s="203"/>
      <c r="K509" s="203"/>
      <c r="L509" s="203"/>
      <c r="M509" s="203"/>
      <c r="N509" s="203"/>
      <c r="O509" s="203"/>
      <c r="P509" s="203"/>
      <c r="Q509" s="203"/>
      <c r="Y509" s="501"/>
      <c r="AW509" s="501"/>
      <c r="BI509" s="106"/>
      <c r="BJ509" s="106"/>
      <c r="BK509" s="106"/>
      <c r="BL509" s="106"/>
      <c r="BM509" s="106"/>
      <c r="BN509" s="106"/>
      <c r="BO509" s="106"/>
    </row>
    <row r="510" spans="2:67" ht="3" customHeight="1" x14ac:dyDescent="0.25">
      <c r="B510" s="23"/>
      <c r="C510" s="203"/>
      <c r="D510" s="203"/>
      <c r="E510" s="203"/>
      <c r="F510" s="203"/>
      <c r="G510" s="203"/>
      <c r="H510" s="203"/>
      <c r="I510" s="203"/>
      <c r="J510" s="203"/>
      <c r="K510" s="203"/>
      <c r="L510" s="203"/>
      <c r="M510" s="203"/>
      <c r="N510" s="203"/>
      <c r="O510" s="203"/>
      <c r="P510" s="203"/>
      <c r="Q510" s="203"/>
      <c r="Y510" s="501"/>
      <c r="BI510" s="106"/>
      <c r="BJ510" s="106"/>
      <c r="BK510" s="106"/>
      <c r="BL510" s="106"/>
      <c r="BM510" s="106"/>
      <c r="BN510" s="106"/>
      <c r="BO510" s="106"/>
    </row>
    <row r="511" spans="2:67" x14ac:dyDescent="0.25">
      <c r="B511" s="221"/>
      <c r="C511" s="221"/>
      <c r="D511" s="221"/>
      <c r="E511" s="221"/>
      <c r="F511" s="212"/>
      <c r="G511" s="221"/>
      <c r="H511" s="212" t="s">
        <v>443</v>
      </c>
      <c r="J511" s="223"/>
      <c r="K511" s="215"/>
      <c r="L511" s="314" t="str">
        <f>AIS_units15</f>
        <v>kWh/yr</v>
      </c>
      <c r="M511" s="203"/>
      <c r="N511" s="205"/>
      <c r="O511" s="203"/>
      <c r="P511" s="203"/>
      <c r="Q511" s="203"/>
      <c r="R511" s="314" t="str">
        <f>IF(AND(OR(ENE04_01=AIS_option15,ENE04_01=AIS_option14),OR(ENE04_05="",ENE04_05=0)),AIS_statement24,"")</f>
        <v/>
      </c>
      <c r="Y511" s="501"/>
      <c r="BI511" s="106"/>
      <c r="BJ511" s="106"/>
      <c r="BK511" s="106"/>
      <c r="BL511" s="106"/>
      <c r="BM511" s="106"/>
      <c r="BN511" s="106"/>
      <c r="BO511" s="106"/>
    </row>
    <row r="512" spans="2:67" x14ac:dyDescent="0.25">
      <c r="Y512" s="501"/>
      <c r="BI512" s="106"/>
      <c r="BJ512" s="106"/>
      <c r="BK512" s="106"/>
      <c r="BL512" s="106"/>
      <c r="BM512" s="106"/>
      <c r="BN512" s="106"/>
      <c r="BO512" s="106"/>
    </row>
    <row r="513" spans="2:67" x14ac:dyDescent="0.25">
      <c r="B513" s="221"/>
      <c r="C513" s="222"/>
      <c r="D513" s="222"/>
      <c r="E513" s="221"/>
      <c r="F513" s="212" t="s">
        <v>296</v>
      </c>
      <c r="G513" s="215"/>
      <c r="H513" s="216">
        <f>IF(ISERROR(Ene04_Tot_Err),AIS_Missing_data,Ene04_Tot_Err)</f>
        <v>0</v>
      </c>
      <c r="J513" s="203"/>
      <c r="K513" s="215"/>
      <c r="M513" s="215"/>
      <c r="N513" s="215"/>
      <c r="O513" s="215"/>
      <c r="P513" s="215"/>
      <c r="Q513" s="215"/>
      <c r="Y513" s="501"/>
      <c r="BI513" s="106"/>
      <c r="BJ513" s="106"/>
      <c r="BK513" s="106"/>
      <c r="BL513" s="106"/>
      <c r="BM513" s="106"/>
      <c r="BN513" s="106"/>
      <c r="BO513" s="106"/>
    </row>
    <row r="514" spans="2:67" ht="3" customHeight="1" x14ac:dyDescent="0.25">
      <c r="B514" s="215"/>
      <c r="E514" s="215"/>
      <c r="F514" s="225"/>
      <c r="G514" s="215"/>
      <c r="H514" s="252"/>
      <c r="J514" s="203"/>
      <c r="K514" s="215"/>
      <c r="M514" s="215"/>
      <c r="N514" s="215"/>
      <c r="O514" s="215"/>
      <c r="P514" s="215"/>
      <c r="Q514" s="215"/>
      <c r="Y514" s="501"/>
      <c r="BI514" s="106"/>
      <c r="BJ514" s="106"/>
      <c r="BK514" s="106"/>
      <c r="BL514" s="106"/>
      <c r="BM514" s="106"/>
      <c r="BN514" s="106"/>
      <c r="BO514" s="106"/>
    </row>
    <row r="515" spans="2:67" x14ac:dyDescent="0.25">
      <c r="B515" s="221"/>
      <c r="C515" s="222"/>
      <c r="D515" s="222"/>
      <c r="E515" s="221"/>
      <c r="F515" s="212" t="s">
        <v>297</v>
      </c>
      <c r="G515" s="215"/>
      <c r="H515" s="217">
        <f>IF(ISERROR(Ene04_20_Err),0,Ene04_20_Err)</f>
        <v>0</v>
      </c>
      <c r="J515" s="203"/>
      <c r="K515" s="215"/>
      <c r="M515" s="215"/>
      <c r="N515" s="215"/>
      <c r="O515" s="215"/>
      <c r="P515" s="215"/>
      <c r="Q515" s="215"/>
      <c r="Y515" s="501"/>
      <c r="BI515" s="106"/>
      <c r="BJ515" s="106"/>
      <c r="BK515" s="106"/>
      <c r="BL515" s="106"/>
      <c r="BM515" s="106"/>
      <c r="BN515" s="106"/>
      <c r="BO515" s="106"/>
    </row>
    <row r="516" spans="2:67" ht="3" customHeight="1" x14ac:dyDescent="0.25">
      <c r="K516" s="215"/>
      <c r="M516" s="215"/>
      <c r="N516" s="215"/>
      <c r="O516" s="215"/>
      <c r="P516" s="215"/>
      <c r="Q516" s="215"/>
      <c r="Y516" s="501"/>
      <c r="BI516" s="106"/>
      <c r="BJ516" s="106"/>
      <c r="BK516" s="106"/>
      <c r="BL516" s="106"/>
      <c r="BM516" s="106"/>
      <c r="BN516" s="106"/>
      <c r="BO516" s="106"/>
    </row>
    <row r="517" spans="2:67" ht="15" customHeight="1" x14ac:dyDescent="0.25">
      <c r="B517" s="221"/>
      <c r="C517" s="222"/>
      <c r="D517" s="222"/>
      <c r="E517" s="221"/>
      <c r="F517" s="212" t="s">
        <v>298</v>
      </c>
      <c r="H517" s="216">
        <f>Ene04_Inn</f>
        <v>0</v>
      </c>
      <c r="K517" s="215"/>
      <c r="M517" s="215"/>
      <c r="N517" s="215"/>
      <c r="O517" s="215"/>
      <c r="P517" s="215"/>
      <c r="Q517" s="215"/>
      <c r="Y517" s="501"/>
      <c r="BI517" s="106"/>
      <c r="BJ517" s="106"/>
      <c r="BK517" s="106"/>
      <c r="BL517" s="106"/>
      <c r="BM517" s="106"/>
      <c r="BN517" s="106"/>
      <c r="BO517" s="106"/>
    </row>
    <row r="518" spans="2:67" ht="3" customHeight="1" x14ac:dyDescent="0.25">
      <c r="K518" s="215"/>
      <c r="M518" s="215"/>
      <c r="N518" s="215"/>
      <c r="O518" s="215"/>
      <c r="P518" s="215"/>
      <c r="Q518" s="215"/>
      <c r="Y518" s="501"/>
      <c r="BI518" s="106"/>
      <c r="BJ518" s="106"/>
      <c r="BK518" s="106"/>
      <c r="BL518" s="106"/>
      <c r="BM518" s="106"/>
      <c r="BN518" s="106"/>
      <c r="BO518" s="106"/>
    </row>
    <row r="519" spans="2:67" x14ac:dyDescent="0.25">
      <c r="B519" s="221"/>
      <c r="C519" s="222"/>
      <c r="D519" s="221"/>
      <c r="E519" s="221"/>
      <c r="F519" s="212" t="s">
        <v>299</v>
      </c>
      <c r="H519" s="768" t="str">
        <f>VLOOKUP(MinSt_18,AIS_MinSt_benchmarks,2,FALSE)</f>
        <v>Excellent level</v>
      </c>
      <c r="I519" s="768"/>
      <c r="J519" s="768"/>
      <c r="K519" s="768"/>
      <c r="L519" s="768"/>
      <c r="M519" s="768"/>
      <c r="N519" s="768"/>
      <c r="O519" s="215"/>
      <c r="P519" s="215"/>
      <c r="Q519" s="215"/>
      <c r="Y519" s="501"/>
      <c r="BI519" s="106"/>
      <c r="BJ519" s="106"/>
      <c r="BK519" s="106"/>
      <c r="BL519" s="106"/>
      <c r="BM519" s="106"/>
      <c r="BN519" s="106"/>
      <c r="BO519" s="106"/>
    </row>
    <row r="520" spans="2:67" x14ac:dyDescent="0.25">
      <c r="M520" s="215"/>
      <c r="N520" s="215"/>
      <c r="O520" s="215"/>
      <c r="P520" s="215"/>
      <c r="Q520" s="215"/>
      <c r="Y520" s="501"/>
      <c r="BI520" s="106"/>
      <c r="BJ520" s="106"/>
      <c r="BK520" s="106"/>
      <c r="BL520" s="106"/>
      <c r="BM520" s="106"/>
      <c r="BN520" s="106"/>
      <c r="BO520" s="106"/>
    </row>
    <row r="521" spans="2:67" x14ac:dyDescent="0.25">
      <c r="B521" s="257" t="s">
        <v>301</v>
      </c>
      <c r="C521" s="215"/>
      <c r="D521" s="215"/>
      <c r="E521" s="215"/>
      <c r="F521" s="225"/>
      <c r="G521" s="215"/>
      <c r="H521" s="215"/>
      <c r="I521" s="215"/>
      <c r="J521" s="215"/>
      <c r="K521" s="215"/>
      <c r="L521" s="215"/>
      <c r="M521" s="215"/>
      <c r="N521" s="215"/>
      <c r="O521" s="215"/>
      <c r="P521" s="215"/>
      <c r="Q521" s="215"/>
      <c r="Y521" s="501"/>
      <c r="BI521" s="106"/>
      <c r="BJ521" s="106"/>
      <c r="BK521" s="106"/>
      <c r="BL521" s="106"/>
      <c r="BM521" s="106"/>
      <c r="BN521" s="106"/>
      <c r="BO521" s="106"/>
    </row>
    <row r="522" spans="2:67" ht="159.94999999999999" customHeight="1" x14ac:dyDescent="0.25">
      <c r="B522" s="771"/>
      <c r="C522" s="772"/>
      <c r="D522" s="772"/>
      <c r="E522" s="772"/>
      <c r="F522" s="772"/>
      <c r="G522" s="772"/>
      <c r="H522" s="772"/>
      <c r="I522" s="772"/>
      <c r="J522" s="772"/>
      <c r="K522" s="772"/>
      <c r="L522" s="772"/>
      <c r="M522" s="772"/>
      <c r="N522" s="772"/>
      <c r="O522" s="772"/>
      <c r="P522" s="773"/>
      <c r="Q522" s="416"/>
      <c r="Y522" s="501"/>
      <c r="BI522" s="106"/>
      <c r="BJ522" s="106"/>
      <c r="BK522" s="106"/>
      <c r="BL522" s="106"/>
      <c r="BM522" s="106"/>
      <c r="BN522" s="106"/>
      <c r="BO522" s="106"/>
    </row>
    <row r="523" spans="2:67" ht="16.5" customHeight="1" x14ac:dyDescent="0.25">
      <c r="B523" s="427"/>
      <c r="C523" s="427"/>
      <c r="D523" s="427"/>
      <c r="E523" s="427"/>
      <c r="F523" s="427"/>
      <c r="G523" s="427"/>
      <c r="H523" s="427"/>
      <c r="I523" s="427"/>
      <c r="J523" s="427"/>
      <c r="K523" s="427"/>
      <c r="L523" s="427"/>
      <c r="M523" s="427"/>
      <c r="N523" s="427"/>
      <c r="O523" s="427"/>
      <c r="P523" s="427"/>
      <c r="Q523" s="415"/>
      <c r="Y523" s="501"/>
      <c r="BI523" s="106"/>
      <c r="BJ523" s="106"/>
      <c r="BK523" s="106"/>
      <c r="BL523" s="106"/>
      <c r="BM523" s="106"/>
      <c r="BN523" s="106"/>
      <c r="BO523" s="106"/>
    </row>
    <row r="524" spans="2:67" ht="36" customHeight="1" x14ac:dyDescent="0.25">
      <c r="B524" s="24" t="s">
        <v>444</v>
      </c>
      <c r="C524" s="13"/>
      <c r="D524" s="236"/>
      <c r="E524" s="237"/>
      <c r="F524" s="237"/>
      <c r="G524" s="237"/>
      <c r="H524" s="237"/>
      <c r="I524" s="237"/>
      <c r="J524" s="237"/>
      <c r="K524" s="237"/>
      <c r="L524" s="237"/>
      <c r="M524" s="237"/>
      <c r="N524" s="237"/>
      <c r="O524" s="237"/>
      <c r="P524" s="330" t="str">
        <f>IF(OR(ADBT0=ADBT8,ADPT=ADPT02,AD_refrig=AD_no),AIS_statement32,"")</f>
        <v/>
      </c>
      <c r="Q524" s="258"/>
      <c r="Y524" s="501"/>
      <c r="BI524" s="106"/>
      <c r="BJ524" s="106"/>
      <c r="BK524" s="106"/>
      <c r="BL524" s="106"/>
      <c r="BM524" s="106"/>
      <c r="BN524" s="106"/>
      <c r="BO524" s="106"/>
    </row>
    <row r="525" spans="2:67" x14ac:dyDescent="0.25">
      <c r="B525" s="215"/>
      <c r="C525" s="215"/>
      <c r="D525" s="215"/>
      <c r="E525" s="215"/>
      <c r="F525" s="215"/>
      <c r="G525" s="215"/>
      <c r="H525" s="215"/>
      <c r="I525" s="215"/>
      <c r="J525" s="215"/>
      <c r="K525" s="215"/>
      <c r="L525" s="215"/>
      <c r="M525" s="215"/>
      <c r="N525" s="215"/>
      <c r="O525" s="215"/>
      <c r="P525" s="215"/>
      <c r="Q525" s="215"/>
      <c r="Y525" s="501"/>
      <c r="BI525" s="106"/>
      <c r="BJ525" s="106"/>
      <c r="BK525" s="106"/>
      <c r="BL525" s="106"/>
      <c r="BM525" s="106"/>
      <c r="BN525" s="106"/>
      <c r="BO525" s="106"/>
    </row>
    <row r="526" spans="2:67" x14ac:dyDescent="0.25">
      <c r="B526" s="222"/>
      <c r="C526" s="222"/>
      <c r="D526" s="221"/>
      <c r="E526" s="221"/>
      <c r="F526" s="212" t="s">
        <v>284</v>
      </c>
      <c r="G526" s="215"/>
      <c r="H526" s="216">
        <f>IF(ene05_19=AIS_statement32,AIS_NA,3)</f>
        <v>3</v>
      </c>
      <c r="J526" s="222"/>
      <c r="K526" s="222"/>
      <c r="L526" s="222"/>
      <c r="M526" s="222"/>
      <c r="N526" s="212" t="s">
        <v>285</v>
      </c>
      <c r="P526" s="217" t="e">
        <f>IF(ene05_19=AIS_statement32,AIS_NA,(BP_34/BP_03)*Ene05_credits)</f>
        <v>#N/A</v>
      </c>
      <c r="Q526" s="217"/>
      <c r="R526" s="709" t="str">
        <f>IF(AD_refrig=AD_no,AIS_statement30,"")</f>
        <v/>
      </c>
      <c r="S526" s="709"/>
      <c r="T526" s="709"/>
      <c r="U526" s="709"/>
      <c r="V526" s="709"/>
      <c r="W526" s="709"/>
      <c r="X526" s="35"/>
      <c r="Y526" s="501"/>
      <c r="BI526" s="106"/>
      <c r="BJ526" s="106"/>
      <c r="BK526" s="106"/>
      <c r="BL526" s="106"/>
      <c r="BM526" s="106"/>
      <c r="BN526" s="106"/>
      <c r="BO526" s="106"/>
    </row>
    <row r="527" spans="2:67" ht="3.75" customHeight="1" x14ac:dyDescent="0.25">
      <c r="R527" s="709"/>
      <c r="S527" s="709"/>
      <c r="T527" s="709"/>
      <c r="U527" s="709"/>
      <c r="V527" s="709"/>
      <c r="W527" s="709"/>
      <c r="X527" s="35"/>
      <c r="Y527" s="501"/>
      <c r="BI527" s="106"/>
      <c r="BJ527" s="106"/>
      <c r="BK527" s="106"/>
      <c r="BL527" s="106"/>
      <c r="BM527" s="106"/>
      <c r="BN527" s="106"/>
      <c r="BO527" s="106"/>
    </row>
    <row r="528" spans="2:67" x14ac:dyDescent="0.25">
      <c r="B528" s="222"/>
      <c r="C528" s="222"/>
      <c r="D528" s="221"/>
      <c r="E528" s="221"/>
      <c r="F528" s="212" t="s">
        <v>286</v>
      </c>
      <c r="G528" s="215"/>
      <c r="H528" s="216">
        <f>IF(ene05_19=AIS_statement32,AIS_NA,0)</f>
        <v>0</v>
      </c>
      <c r="J528" s="221"/>
      <c r="K528" s="221"/>
      <c r="L528" s="221"/>
      <c r="M528" s="221"/>
      <c r="N528" s="212" t="s">
        <v>287</v>
      </c>
      <c r="O528" s="215"/>
      <c r="P528" s="216" t="str">
        <f>IF(ene05_19=AIS_statement32,AIS_NA,IF(AD_refrig=AD_no,AIS_NA,"No"))</f>
        <v>No</v>
      </c>
      <c r="Q528" s="216"/>
      <c r="R528" s="709"/>
      <c r="S528" s="709"/>
      <c r="T528" s="709"/>
      <c r="U528" s="709"/>
      <c r="V528" s="709"/>
      <c r="W528" s="709"/>
      <c r="X528" s="35"/>
      <c r="Y528" s="501"/>
      <c r="BI528" s="106"/>
      <c r="BJ528" s="106"/>
      <c r="BK528" s="106"/>
      <c r="BL528" s="106"/>
      <c r="BM528" s="106"/>
      <c r="BN528" s="106"/>
      <c r="BO528" s="106"/>
    </row>
    <row r="529" spans="2:67" ht="47.25" customHeight="1" x14ac:dyDescent="0.25">
      <c r="B529" s="23" t="s">
        <v>429</v>
      </c>
      <c r="C529" s="218"/>
      <c r="D529" s="215"/>
      <c r="E529" s="218"/>
      <c r="F529" s="255"/>
      <c r="J529" s="219" t="s">
        <v>289</v>
      </c>
      <c r="K529" s="219"/>
      <c r="L529" s="220" t="s">
        <v>290</v>
      </c>
      <c r="M529" s="23"/>
      <c r="N529" s="220" t="s">
        <v>291</v>
      </c>
      <c r="O529" s="23"/>
      <c r="P529" s="220"/>
      <c r="Q529" s="408"/>
      <c r="R529" s="776"/>
      <c r="S529" s="776"/>
      <c r="T529" s="776"/>
      <c r="U529" s="776"/>
      <c r="V529" s="776"/>
      <c r="W529" s="776"/>
      <c r="Y529" s="501"/>
      <c r="BI529" s="106"/>
      <c r="BJ529" s="106"/>
      <c r="BK529" s="106"/>
      <c r="BL529" s="106"/>
      <c r="BM529" s="106"/>
      <c r="BN529" s="106"/>
      <c r="BO529" s="106"/>
    </row>
    <row r="530" spans="2:67" ht="3" customHeight="1" x14ac:dyDescent="0.25">
      <c r="B530" s="215"/>
      <c r="C530" s="218"/>
      <c r="D530" s="215"/>
      <c r="E530" s="218"/>
      <c r="F530" s="244"/>
      <c r="G530" s="215"/>
      <c r="J530" s="245"/>
      <c r="L530" s="215"/>
      <c r="N530" s="246"/>
      <c r="O530" s="218"/>
      <c r="P530" s="246"/>
      <c r="Q530" s="246"/>
      <c r="Y530" s="501"/>
      <c r="BI530" s="106"/>
      <c r="BJ530" s="106"/>
      <c r="BK530" s="106"/>
      <c r="BL530" s="106"/>
      <c r="BM530" s="106"/>
      <c r="BN530" s="106"/>
      <c r="BO530" s="106"/>
    </row>
    <row r="531" spans="2:67" x14ac:dyDescent="0.25">
      <c r="B531" s="221"/>
      <c r="C531" s="221"/>
      <c r="D531" s="221"/>
      <c r="E531" s="221"/>
      <c r="F531" s="212"/>
      <c r="G531" s="221"/>
      <c r="H531" s="212" t="s">
        <v>445</v>
      </c>
      <c r="J531" s="223"/>
      <c r="L531" s="224">
        <f>IF(ene05_19=AIS_statement32,AIS_NA,1)</f>
        <v>1</v>
      </c>
      <c r="N531" s="224">
        <f>IF(AD_refrig=AIS_No,AIS_NA,IF(Ene05_01=AIS_Yes,Ene05_04,0))</f>
        <v>0</v>
      </c>
      <c r="O531" s="215"/>
      <c r="P531" s="400"/>
      <c r="Q531" s="400"/>
      <c r="Y531" s="501"/>
      <c r="BI531" s="106"/>
      <c r="BJ531" s="106"/>
      <c r="BK531" s="106"/>
      <c r="BL531" s="106"/>
      <c r="BM531" s="106"/>
      <c r="BN531" s="106"/>
      <c r="BO531" s="106"/>
    </row>
    <row r="532" spans="2:67" x14ac:dyDescent="0.25">
      <c r="B532" s="221"/>
      <c r="C532" s="221"/>
      <c r="D532" s="221"/>
      <c r="E532" s="221"/>
      <c r="F532" s="212"/>
      <c r="G532" s="221"/>
      <c r="H532" s="212" t="s">
        <v>446</v>
      </c>
      <c r="J532" s="223"/>
      <c r="L532" s="224">
        <f>IF(ene05_19=AIS_statement32,AIS_NA,1)</f>
        <v>1</v>
      </c>
      <c r="N532" s="224">
        <f>IF(AD_refrig=AIS_No,AIS_NA,IF(Ene05_03=AIS_Yes,Ene05_06,0))</f>
        <v>0</v>
      </c>
      <c r="O532" s="215"/>
      <c r="P532" s="400"/>
      <c r="Q532" s="400"/>
      <c r="Y532" s="501"/>
      <c r="BI532" s="106"/>
      <c r="BJ532" s="106"/>
      <c r="BK532" s="106"/>
      <c r="BL532" s="106"/>
      <c r="BM532" s="106"/>
      <c r="BN532" s="106"/>
      <c r="BO532" s="106"/>
    </row>
    <row r="533" spans="2:67" x14ac:dyDescent="0.25">
      <c r="B533" s="221"/>
      <c r="C533" s="221"/>
      <c r="D533" s="221"/>
      <c r="E533" s="221"/>
      <c r="F533" s="212"/>
      <c r="G533" s="221"/>
      <c r="H533" s="212" t="s">
        <v>447</v>
      </c>
      <c r="J533" s="223"/>
      <c r="L533" s="224">
        <f>IF(ene05_19=AIS_statement32,AIS_NA,1)</f>
        <v>1</v>
      </c>
      <c r="N533" s="224">
        <f>IF(AD_refrig=AIS_No,AIS_NA,IF(AND(Ene05_01=AIS_Yes,Ene05_02=AIS_Yes),Ene05_05,0))</f>
        <v>0</v>
      </c>
      <c r="O533" s="215"/>
      <c r="P533" s="400"/>
      <c r="Q533" s="400"/>
      <c r="R533" s="744" t="str">
        <f>IF(AD_refrig=AIS_No,"",IF(AND(Ene05_01&lt;&gt;AIS_Yes,Ene05_02=AIS_Yes),AIS_statement28,""))</f>
        <v/>
      </c>
      <c r="S533" s="744"/>
      <c r="T533" s="744"/>
      <c r="U533" s="744"/>
      <c r="V533" s="744"/>
      <c r="W533" s="744"/>
      <c r="Y533" s="501"/>
      <c r="BI533" s="106"/>
      <c r="BJ533" s="106"/>
      <c r="BK533" s="106"/>
      <c r="BL533" s="106"/>
      <c r="BM533" s="106"/>
      <c r="BN533" s="106"/>
      <c r="BO533" s="106"/>
    </row>
    <row r="534" spans="2:67" x14ac:dyDescent="0.25">
      <c r="N534" s="209"/>
      <c r="Y534" s="501"/>
      <c r="BI534" s="106"/>
      <c r="BJ534" s="106"/>
      <c r="BK534" s="106"/>
      <c r="BL534" s="106"/>
      <c r="BM534" s="106"/>
      <c r="BN534" s="106"/>
      <c r="BO534" s="106"/>
    </row>
    <row r="535" spans="2:67" x14ac:dyDescent="0.25">
      <c r="B535" s="221"/>
      <c r="C535" s="222"/>
      <c r="D535" s="222"/>
      <c r="E535" s="221"/>
      <c r="F535" s="212" t="s">
        <v>296</v>
      </c>
      <c r="G535" s="215"/>
      <c r="H535" s="216">
        <f>IF(ISERROR(Ene05_Tot_Err),0,Ene05_Tot_Err)</f>
        <v>0</v>
      </c>
      <c r="J535" s="203"/>
      <c r="K535" s="215"/>
      <c r="M535" s="215"/>
      <c r="N535" s="215"/>
      <c r="O535" s="215"/>
      <c r="P535" s="215"/>
      <c r="Q535" s="215"/>
      <c r="Y535" s="501"/>
      <c r="BI535" s="106"/>
      <c r="BJ535" s="106"/>
      <c r="BK535" s="106"/>
      <c r="BL535" s="106"/>
      <c r="BM535" s="106"/>
      <c r="BN535" s="106"/>
      <c r="BO535" s="106"/>
    </row>
    <row r="536" spans="2:67" ht="3" customHeight="1" x14ac:dyDescent="0.25">
      <c r="B536" s="215"/>
      <c r="E536" s="215"/>
      <c r="F536" s="225"/>
      <c r="G536" s="215"/>
      <c r="H536" s="252"/>
      <c r="J536" s="203"/>
      <c r="K536" s="215"/>
      <c r="M536" s="215"/>
      <c r="N536" s="215"/>
      <c r="O536" s="215"/>
      <c r="P536" s="215"/>
      <c r="Q536" s="215"/>
      <c r="Y536" s="501"/>
      <c r="BI536" s="106"/>
      <c r="BJ536" s="106"/>
      <c r="BK536" s="106"/>
      <c r="BL536" s="106"/>
      <c r="BM536" s="106"/>
      <c r="BN536" s="106"/>
      <c r="BO536" s="106"/>
    </row>
    <row r="537" spans="2:67" x14ac:dyDescent="0.25">
      <c r="B537" s="221"/>
      <c r="C537" s="222"/>
      <c r="D537" s="222"/>
      <c r="E537" s="221"/>
      <c r="F537" s="212" t="s">
        <v>297</v>
      </c>
      <c r="G537" s="215"/>
      <c r="H537" s="217" t="e">
        <f>IF(ene05_19=AIS_statement32,AIS_NA,(Ene05_20/Ene05_credits)*Ene05_tot)</f>
        <v>#N/A</v>
      </c>
      <c r="J537" s="203"/>
      <c r="K537" s="215"/>
      <c r="M537" s="215"/>
      <c r="N537" s="215"/>
      <c r="O537" s="215"/>
      <c r="P537" s="215"/>
      <c r="Q537" s="215"/>
      <c r="Y537" s="501"/>
      <c r="BI537" s="106"/>
      <c r="BJ537" s="106"/>
      <c r="BK537" s="106"/>
      <c r="BL537" s="106"/>
      <c r="BM537" s="106"/>
      <c r="BN537" s="106"/>
      <c r="BO537" s="106"/>
    </row>
    <row r="538" spans="2:67" ht="3" customHeight="1" x14ac:dyDescent="0.25">
      <c r="K538" s="215"/>
      <c r="M538" s="215"/>
      <c r="N538" s="215"/>
      <c r="O538" s="215"/>
      <c r="P538" s="215"/>
      <c r="Q538" s="215"/>
      <c r="Y538" s="501"/>
      <c r="BI538" s="106"/>
      <c r="BJ538" s="106"/>
      <c r="BK538" s="106"/>
      <c r="BL538" s="106"/>
      <c r="BM538" s="106"/>
      <c r="BN538" s="106"/>
      <c r="BO538" s="106"/>
    </row>
    <row r="539" spans="2:67" x14ac:dyDescent="0.25">
      <c r="B539" s="221"/>
      <c r="C539" s="222"/>
      <c r="D539" s="222"/>
      <c r="E539" s="221"/>
      <c r="F539" s="212" t="s">
        <v>298</v>
      </c>
      <c r="H539" s="216" t="s">
        <v>300</v>
      </c>
      <c r="K539" s="215"/>
      <c r="M539" s="215"/>
      <c r="N539" s="264"/>
      <c r="O539" s="215"/>
      <c r="P539" s="215"/>
      <c r="Q539" s="215"/>
      <c r="Y539" s="501"/>
      <c r="BI539" s="106"/>
      <c r="BJ539" s="106"/>
      <c r="BK539" s="106"/>
      <c r="BL539" s="106"/>
      <c r="BM539" s="106"/>
      <c r="BN539" s="106"/>
      <c r="BO539" s="106"/>
    </row>
    <row r="540" spans="2:67" ht="3" customHeight="1" x14ac:dyDescent="0.25">
      <c r="K540" s="215"/>
      <c r="M540" s="215"/>
      <c r="N540" s="215"/>
      <c r="O540" s="215"/>
      <c r="P540" s="215"/>
      <c r="Q540" s="215"/>
      <c r="Y540" s="501"/>
      <c r="BI540" s="106"/>
      <c r="BJ540" s="106"/>
      <c r="BK540" s="106"/>
      <c r="BL540" s="106"/>
      <c r="BM540" s="106"/>
      <c r="BN540" s="106"/>
      <c r="BO540" s="106"/>
    </row>
    <row r="541" spans="2:67" x14ac:dyDescent="0.25">
      <c r="B541" s="221"/>
      <c r="C541" s="222"/>
      <c r="D541" s="221"/>
      <c r="E541" s="221"/>
      <c r="F541" s="212" t="s">
        <v>299</v>
      </c>
      <c r="H541" s="216" t="s">
        <v>300</v>
      </c>
      <c r="K541" s="215"/>
      <c r="M541" s="215"/>
      <c r="N541" s="215"/>
      <c r="O541" s="215"/>
      <c r="P541" s="215"/>
      <c r="Q541" s="215"/>
      <c r="Y541" s="501"/>
      <c r="BI541" s="106"/>
      <c r="BJ541" s="106"/>
      <c r="BK541" s="106"/>
      <c r="BL541" s="106"/>
      <c r="BM541" s="106"/>
      <c r="BN541" s="106"/>
      <c r="BO541" s="106"/>
    </row>
    <row r="542" spans="2:67" x14ac:dyDescent="0.25">
      <c r="M542" s="215"/>
      <c r="N542" s="215"/>
      <c r="O542" s="215"/>
      <c r="P542" s="215"/>
      <c r="Q542" s="215"/>
      <c r="Y542" s="501"/>
      <c r="BI542" s="106"/>
      <c r="BJ542" s="106"/>
      <c r="BK542" s="106"/>
      <c r="BL542" s="106"/>
      <c r="BM542" s="106"/>
      <c r="BN542" s="106"/>
      <c r="BO542" s="106"/>
    </row>
    <row r="543" spans="2:67" x14ac:dyDescent="0.25">
      <c r="B543" s="257" t="s">
        <v>301</v>
      </c>
      <c r="C543" s="215"/>
      <c r="D543" s="215"/>
      <c r="E543" s="215"/>
      <c r="F543" s="225"/>
      <c r="G543" s="215"/>
      <c r="H543" s="215"/>
      <c r="I543" s="215"/>
      <c r="J543" s="215"/>
      <c r="K543" s="215"/>
      <c r="L543" s="215"/>
      <c r="M543" s="215"/>
      <c r="N543" s="215"/>
      <c r="O543" s="215"/>
      <c r="P543" s="215"/>
      <c r="Q543" s="215"/>
      <c r="Y543" s="501"/>
      <c r="BI543" s="106"/>
      <c r="BJ543" s="106"/>
      <c r="BK543" s="106"/>
      <c r="BL543" s="106"/>
      <c r="BM543" s="106"/>
      <c r="BN543" s="106"/>
      <c r="BO543" s="106"/>
    </row>
    <row r="544" spans="2:67" ht="159.94999999999999" customHeight="1" x14ac:dyDescent="0.25">
      <c r="B544" s="736"/>
      <c r="C544" s="737"/>
      <c r="D544" s="737"/>
      <c r="E544" s="737"/>
      <c r="F544" s="737"/>
      <c r="G544" s="737"/>
      <c r="H544" s="737"/>
      <c r="I544" s="737"/>
      <c r="J544" s="737"/>
      <c r="K544" s="737"/>
      <c r="L544" s="737"/>
      <c r="M544" s="737"/>
      <c r="N544" s="737"/>
      <c r="O544" s="737"/>
      <c r="P544" s="738"/>
      <c r="Q544" s="209"/>
      <c r="Y544" s="501"/>
      <c r="BI544" s="106"/>
      <c r="BJ544" s="106"/>
      <c r="BK544" s="106"/>
      <c r="BL544" s="106"/>
      <c r="BM544" s="106"/>
      <c r="BN544" s="106"/>
      <c r="BO544" s="106"/>
    </row>
    <row r="545" spans="2:67" ht="36" customHeight="1" x14ac:dyDescent="0.25">
      <c r="B545" s="24" t="s">
        <v>448</v>
      </c>
      <c r="C545" s="13"/>
      <c r="D545" s="236"/>
      <c r="E545" s="237"/>
      <c r="F545" s="237"/>
      <c r="G545" s="237"/>
      <c r="H545" s="237"/>
      <c r="I545" s="237"/>
      <c r="J545" s="237"/>
      <c r="K545" s="237"/>
      <c r="L545" s="237"/>
      <c r="M545" s="237"/>
      <c r="N545" s="237"/>
      <c r="O545" s="237"/>
      <c r="P545" s="330" t="str">
        <f>IF(OR(ADPT=ADPT02,AD_Trans=AD_no),AIS_statement32,"")</f>
        <v/>
      </c>
      <c r="Q545" s="258"/>
      <c r="Y545" s="501"/>
      <c r="BI545" s="106"/>
      <c r="BJ545" s="106"/>
      <c r="BK545" s="106"/>
      <c r="BL545" s="106"/>
      <c r="BM545" s="106"/>
      <c r="BN545" s="106"/>
      <c r="BO545" s="106"/>
    </row>
    <row r="546" spans="2:67" x14ac:dyDescent="0.25">
      <c r="B546" s="215"/>
      <c r="C546" s="215"/>
      <c r="D546" s="215"/>
      <c r="E546" s="215"/>
      <c r="F546" s="215"/>
      <c r="G546" s="215"/>
      <c r="H546" s="215"/>
      <c r="I546" s="215"/>
      <c r="J546" s="215"/>
      <c r="K546" s="215"/>
      <c r="L546" s="215"/>
      <c r="M546" s="215"/>
      <c r="N546" s="215"/>
      <c r="O546" s="215"/>
      <c r="P546" s="215"/>
      <c r="Q546" s="215"/>
      <c r="Y546" s="501"/>
      <c r="BI546" s="106"/>
      <c r="BJ546" s="106"/>
      <c r="BK546" s="106"/>
      <c r="BL546" s="106"/>
      <c r="BM546" s="106"/>
      <c r="BN546" s="106"/>
      <c r="BO546" s="106"/>
    </row>
    <row r="547" spans="2:67" x14ac:dyDescent="0.25">
      <c r="B547" s="222"/>
      <c r="C547" s="222"/>
      <c r="D547" s="221"/>
      <c r="E547" s="221"/>
      <c r="F547" s="212" t="s">
        <v>284</v>
      </c>
      <c r="G547" s="215"/>
      <c r="H547" s="216">
        <f>IF(Ene06_10=AIS_statement32,AIS_NA,IF(AD_Trans=AD_no,AIS_NA,3))</f>
        <v>3</v>
      </c>
      <c r="J547" s="222"/>
      <c r="K547" s="222"/>
      <c r="L547" s="222"/>
      <c r="M547" s="222"/>
      <c r="N547" s="212" t="s">
        <v>285</v>
      </c>
      <c r="P547" s="217" t="e">
        <f>IF(Ene06_10=AIS_statement32,AIS_NA,(BP_34/BP_03)*Ene06_credits)</f>
        <v>#N/A</v>
      </c>
      <c r="Q547" s="217"/>
      <c r="R547" s="709" t="str">
        <f>IF(AD_Trans=AD_no,AIS_statement31,"")</f>
        <v/>
      </c>
      <c r="S547" s="709"/>
      <c r="T547" s="709"/>
      <c r="U547" s="709"/>
      <c r="V547" s="709"/>
      <c r="W547" s="709"/>
      <c r="X547" s="35"/>
      <c r="Y547" s="501"/>
      <c r="BI547" s="106"/>
      <c r="BJ547" s="106"/>
      <c r="BK547" s="106"/>
      <c r="BL547" s="106"/>
      <c r="BM547" s="106"/>
      <c r="BN547" s="106"/>
      <c r="BO547" s="106"/>
    </row>
    <row r="548" spans="2:67" ht="3.75" customHeight="1" x14ac:dyDescent="0.25">
      <c r="R548" s="709"/>
      <c r="S548" s="709"/>
      <c r="T548" s="709"/>
      <c r="U548" s="709"/>
      <c r="V548" s="709"/>
      <c r="W548" s="709"/>
      <c r="X548" s="35"/>
      <c r="Y548" s="501"/>
      <c r="BI548" s="106"/>
      <c r="BJ548" s="106"/>
      <c r="BK548" s="106"/>
      <c r="BL548" s="106"/>
      <c r="BM548" s="106"/>
      <c r="BN548" s="106"/>
      <c r="BO548" s="106"/>
    </row>
    <row r="549" spans="2:67" x14ac:dyDescent="0.25">
      <c r="B549" s="222"/>
      <c r="C549" s="222"/>
      <c r="D549" s="221"/>
      <c r="E549" s="221"/>
      <c r="F549" s="212" t="s">
        <v>286</v>
      </c>
      <c r="G549" s="215"/>
      <c r="H549" s="216">
        <f>IF(Ene06_10=AIS_statement32,AIS_NA,IF(AD_Trans=AD_no,AIS_NA,0))</f>
        <v>0</v>
      </c>
      <c r="J549" s="221"/>
      <c r="K549" s="221"/>
      <c r="L549" s="221"/>
      <c r="M549" s="221"/>
      <c r="N549" s="212" t="s">
        <v>287</v>
      </c>
      <c r="O549" s="215"/>
      <c r="P549" s="216" t="s">
        <v>300</v>
      </c>
      <c r="Q549" s="216"/>
      <c r="R549" s="709"/>
      <c r="S549" s="709"/>
      <c r="T549" s="709"/>
      <c r="U549" s="709"/>
      <c r="V549" s="709"/>
      <c r="W549" s="709"/>
      <c r="X549" s="35"/>
      <c r="Y549" s="501"/>
      <c r="BI549" s="106"/>
      <c r="BJ549" s="106"/>
      <c r="BK549" s="106"/>
      <c r="BL549" s="106"/>
      <c r="BM549" s="106"/>
      <c r="BN549" s="106"/>
      <c r="BO549" s="106"/>
    </row>
    <row r="550" spans="2:67" ht="47.25" customHeight="1" x14ac:dyDescent="0.25">
      <c r="B550" s="23" t="s">
        <v>429</v>
      </c>
      <c r="C550" s="218"/>
      <c r="D550" s="215"/>
      <c r="E550" s="218"/>
      <c r="F550" s="255"/>
      <c r="J550" s="219" t="s">
        <v>289</v>
      </c>
      <c r="K550" s="219"/>
      <c r="L550" s="220" t="s">
        <v>290</v>
      </c>
      <c r="M550" s="23"/>
      <c r="N550" s="220" t="s">
        <v>291</v>
      </c>
      <c r="O550" s="23"/>
      <c r="P550" s="220"/>
      <c r="Q550" s="408"/>
      <c r="R550" s="709"/>
      <c r="S550" s="709"/>
      <c r="T550" s="709"/>
      <c r="U550" s="709"/>
      <c r="V550" s="709"/>
      <c r="W550" s="709"/>
      <c r="Y550" s="501"/>
      <c r="BI550" s="106"/>
      <c r="BJ550" s="106"/>
      <c r="BK550" s="106"/>
      <c r="BL550" s="106"/>
      <c r="BM550" s="106"/>
      <c r="BN550" s="106"/>
      <c r="BO550" s="106"/>
    </row>
    <row r="551" spans="2:67" ht="3" customHeight="1" x14ac:dyDescent="0.25">
      <c r="B551" s="215"/>
      <c r="C551" s="218"/>
      <c r="D551" s="215"/>
      <c r="E551" s="218"/>
      <c r="F551" s="244"/>
      <c r="G551" s="215"/>
      <c r="J551" s="245"/>
      <c r="K551" s="245"/>
      <c r="L551" s="215"/>
      <c r="M551" s="215"/>
      <c r="N551" s="246"/>
      <c r="O551" s="218"/>
      <c r="P551" s="407"/>
      <c r="Q551" s="246"/>
      <c r="Y551" s="501"/>
      <c r="BI551" s="106"/>
      <c r="BJ551" s="106"/>
      <c r="BK551" s="106"/>
      <c r="BL551" s="106"/>
      <c r="BM551" s="106"/>
      <c r="BN551" s="106"/>
      <c r="BO551" s="106"/>
    </row>
    <row r="552" spans="2:67" x14ac:dyDescent="0.25">
      <c r="B552" s="221"/>
      <c r="C552" s="221"/>
      <c r="D552" s="221"/>
      <c r="E552" s="221"/>
      <c r="F552" s="212"/>
      <c r="G552" s="221"/>
      <c r="H552" s="212" t="s">
        <v>449</v>
      </c>
      <c r="J552" s="223"/>
      <c r="K552" s="215"/>
      <c r="L552" s="224">
        <v>1</v>
      </c>
      <c r="M552" s="215"/>
      <c r="N552" s="224">
        <f>IF(AND(Ene06_01=AIS_Yes,OR(Ene06_07=AIS_option00,Ene06_07=AIS_option01,Ene06_07=AIS_option03,Ene06_07=AIS_option05)),Ene06_03,IF(AND(Ene06_01=AIS_Yes,Ene06_07=AIS_option02),Ene06_03*0.5,0))</f>
        <v>0</v>
      </c>
      <c r="O552" s="215"/>
      <c r="P552" s="215"/>
      <c r="Q552" s="215"/>
      <c r="Y552" s="501"/>
      <c r="BI552" s="106"/>
      <c r="BJ552" s="106"/>
      <c r="BK552" s="106"/>
      <c r="BL552" s="106"/>
      <c r="BM552" s="106"/>
      <c r="BN552" s="106"/>
      <c r="BO552" s="106"/>
    </row>
    <row r="553" spans="2:67" x14ac:dyDescent="0.25">
      <c r="B553" s="221"/>
      <c r="C553" s="221"/>
      <c r="D553" s="221"/>
      <c r="E553" s="221"/>
      <c r="F553" s="212"/>
      <c r="G553" s="221"/>
      <c r="H553" s="212" t="s">
        <v>450</v>
      </c>
      <c r="J553" s="223"/>
      <c r="K553" s="215"/>
      <c r="L553" s="224">
        <v>2</v>
      </c>
      <c r="M553" s="215"/>
      <c r="N553" s="224">
        <f>IF(AND(Ene06_01=AIS_Yes,Ene06_02=AIS_Yes),Ene06_04,0)</f>
        <v>0</v>
      </c>
      <c r="O553" s="215"/>
      <c r="P553" s="215"/>
      <c r="Q553" s="215"/>
      <c r="R553" s="314" t="str">
        <f>IF(AD_Trans=AD_no,"",IF(AND(Ene06_01&lt;&gt;AIS_Yes,Ene06_02=AIS_Yes),AIS_statement33,""))</f>
        <v/>
      </c>
      <c r="Y553" s="501"/>
      <c r="BI553" s="106"/>
      <c r="BJ553" s="106"/>
      <c r="BK553" s="106"/>
      <c r="BL553" s="106"/>
      <c r="BM553" s="106"/>
      <c r="BN553" s="106"/>
      <c r="BO553" s="106"/>
    </row>
    <row r="554" spans="2:67" x14ac:dyDescent="0.25">
      <c r="Y554" s="501"/>
      <c r="BI554" s="106"/>
      <c r="BJ554" s="106"/>
      <c r="BK554" s="106"/>
      <c r="BL554" s="106"/>
      <c r="BM554" s="106"/>
      <c r="BN554" s="106"/>
      <c r="BO554" s="106"/>
    </row>
    <row r="555" spans="2:67" x14ac:dyDescent="0.25">
      <c r="B555" s="221"/>
      <c r="C555" s="222"/>
      <c r="D555" s="222"/>
      <c r="E555" s="221"/>
      <c r="F555" s="212" t="s">
        <v>296</v>
      </c>
      <c r="G555" s="215"/>
      <c r="H555" s="216">
        <f>IF(ISERROR(Ene06_Tot_Err),0,Ene06_Tot_Err)</f>
        <v>0</v>
      </c>
      <c r="J555" s="203"/>
      <c r="K555" s="215"/>
      <c r="M555" s="215"/>
      <c r="N555" s="215"/>
      <c r="O555" s="215"/>
      <c r="P555" s="215"/>
      <c r="Q555" s="215"/>
      <c r="Y555" s="501"/>
      <c r="BI555" s="106"/>
      <c r="BJ555" s="106"/>
      <c r="BK555" s="106"/>
      <c r="BL555" s="106"/>
      <c r="BM555" s="106"/>
      <c r="BN555" s="106"/>
      <c r="BO555" s="106"/>
    </row>
    <row r="556" spans="2:67" ht="3" customHeight="1" x14ac:dyDescent="0.25">
      <c r="B556" s="215"/>
      <c r="E556" s="215"/>
      <c r="F556" s="225"/>
      <c r="G556" s="215"/>
      <c r="H556" s="252"/>
      <c r="J556" s="203"/>
      <c r="K556" s="215"/>
      <c r="M556" s="215"/>
      <c r="N556" s="215"/>
      <c r="O556" s="215"/>
      <c r="P556" s="215"/>
      <c r="Q556" s="215"/>
      <c r="Y556" s="501"/>
      <c r="BI556" s="106"/>
      <c r="BJ556" s="106"/>
      <c r="BK556" s="106"/>
      <c r="BL556" s="106"/>
      <c r="BM556" s="106"/>
      <c r="BN556" s="106"/>
      <c r="BO556" s="106"/>
    </row>
    <row r="557" spans="2:67" x14ac:dyDescent="0.25">
      <c r="B557" s="221"/>
      <c r="C557" s="222"/>
      <c r="D557" s="222"/>
      <c r="E557" s="221"/>
      <c r="F557" s="212" t="s">
        <v>297</v>
      </c>
      <c r="G557" s="215"/>
      <c r="H557" s="217" t="e">
        <f>IF(Ene06_10=AIS_statement32,AIS_NA,(Ene06_11/Ene06_credits)*Ene06_tot)</f>
        <v>#N/A</v>
      </c>
      <c r="J557" s="203"/>
      <c r="K557" s="215"/>
      <c r="M557" s="215"/>
      <c r="N557" s="215"/>
      <c r="O557" s="215"/>
      <c r="P557" s="215"/>
      <c r="Q557" s="215"/>
      <c r="Y557" s="501"/>
      <c r="BI557" s="106"/>
      <c r="BJ557" s="106"/>
      <c r="BK557" s="106"/>
      <c r="BL557" s="106"/>
      <c r="BM557" s="106"/>
      <c r="BN557" s="106"/>
      <c r="BO557" s="106"/>
    </row>
    <row r="558" spans="2:67" ht="3" customHeight="1" x14ac:dyDescent="0.25">
      <c r="K558" s="215"/>
      <c r="M558" s="215"/>
      <c r="N558" s="215"/>
      <c r="O558" s="215"/>
      <c r="P558" s="215"/>
      <c r="Q558" s="215"/>
      <c r="Y558" s="501"/>
      <c r="BI558" s="106"/>
      <c r="BJ558" s="106"/>
      <c r="BK558" s="106"/>
      <c r="BL558" s="106"/>
      <c r="BM558" s="106"/>
      <c r="BN558" s="106"/>
      <c r="BO558" s="106"/>
    </row>
    <row r="559" spans="2:67" x14ac:dyDescent="0.25">
      <c r="B559" s="221"/>
      <c r="C559" s="222"/>
      <c r="D559" s="222"/>
      <c r="E559" s="221"/>
      <c r="F559" s="212" t="s">
        <v>298</v>
      </c>
      <c r="H559" s="216" t="s">
        <v>300</v>
      </c>
      <c r="K559" s="215"/>
      <c r="M559" s="215"/>
      <c r="N559" s="215"/>
      <c r="O559" s="215"/>
      <c r="P559" s="215"/>
      <c r="Q559" s="215"/>
      <c r="Y559" s="501"/>
      <c r="BI559" s="106"/>
      <c r="BJ559" s="106"/>
      <c r="BK559" s="106"/>
      <c r="BL559" s="106"/>
      <c r="BM559" s="106"/>
      <c r="BN559" s="106"/>
      <c r="BO559" s="106"/>
    </row>
    <row r="560" spans="2:67" ht="3" customHeight="1" x14ac:dyDescent="0.25">
      <c r="K560" s="215"/>
      <c r="M560" s="215"/>
      <c r="N560" s="215"/>
      <c r="O560" s="215"/>
      <c r="P560" s="215"/>
      <c r="Q560" s="215"/>
      <c r="Y560" s="501"/>
      <c r="BI560" s="106"/>
      <c r="BJ560" s="106"/>
      <c r="BK560" s="106"/>
      <c r="BL560" s="106"/>
      <c r="BM560" s="106"/>
      <c r="BN560" s="106"/>
      <c r="BO560" s="106"/>
    </row>
    <row r="561" spans="2:67" x14ac:dyDescent="0.25">
      <c r="B561" s="221"/>
      <c r="C561" s="222"/>
      <c r="D561" s="221"/>
      <c r="E561" s="221"/>
      <c r="F561" s="212" t="s">
        <v>299</v>
      </c>
      <c r="H561" s="216" t="s">
        <v>300</v>
      </c>
      <c r="K561" s="215"/>
      <c r="M561" s="215"/>
      <c r="N561" s="215"/>
      <c r="O561" s="215"/>
      <c r="P561" s="215"/>
      <c r="Q561" s="215"/>
      <c r="Y561" s="501"/>
      <c r="BI561" s="106"/>
      <c r="BJ561" s="106"/>
      <c r="BK561" s="106"/>
      <c r="BL561" s="106"/>
      <c r="BM561" s="106"/>
      <c r="BN561" s="106"/>
      <c r="BO561" s="106"/>
    </row>
    <row r="562" spans="2:67" x14ac:dyDescent="0.25">
      <c r="M562" s="215"/>
      <c r="N562" s="215"/>
      <c r="O562" s="215"/>
      <c r="P562" s="215"/>
      <c r="Q562" s="215"/>
      <c r="Y562" s="501"/>
      <c r="BI562" s="106"/>
      <c r="BJ562" s="106"/>
      <c r="BK562" s="106"/>
      <c r="BL562" s="106"/>
      <c r="BM562" s="106"/>
      <c r="BN562" s="106"/>
      <c r="BO562" s="106"/>
    </row>
    <row r="563" spans="2:67" x14ac:dyDescent="0.25">
      <c r="B563" s="257" t="s">
        <v>301</v>
      </c>
      <c r="C563" s="215"/>
      <c r="D563" s="215"/>
      <c r="E563" s="215"/>
      <c r="F563" s="225"/>
      <c r="G563" s="215"/>
      <c r="H563" s="215"/>
      <c r="I563" s="215"/>
      <c r="J563" s="215"/>
      <c r="K563" s="215"/>
      <c r="L563" s="215"/>
      <c r="M563" s="215"/>
      <c r="N563" s="215"/>
      <c r="O563" s="215"/>
      <c r="P563" s="215"/>
      <c r="Q563" s="215"/>
      <c r="Y563" s="501"/>
      <c r="BI563" s="106"/>
      <c r="BJ563" s="106"/>
      <c r="BK563" s="106"/>
      <c r="BL563" s="106"/>
      <c r="BM563" s="106"/>
      <c r="BN563" s="106"/>
      <c r="BO563" s="106"/>
    </row>
    <row r="564" spans="2:67" ht="159.94999999999999" customHeight="1" x14ac:dyDescent="0.25">
      <c r="B564" s="736"/>
      <c r="C564" s="749"/>
      <c r="D564" s="749"/>
      <c r="E564" s="749"/>
      <c r="F564" s="749"/>
      <c r="G564" s="749"/>
      <c r="H564" s="749"/>
      <c r="I564" s="749"/>
      <c r="J564" s="749"/>
      <c r="K564" s="749"/>
      <c r="L564" s="749"/>
      <c r="M564" s="749"/>
      <c r="N564" s="749"/>
      <c r="O564" s="749"/>
      <c r="P564" s="750"/>
      <c r="Q564" s="415"/>
      <c r="Y564" s="501"/>
      <c r="BI564" s="106"/>
      <c r="BJ564" s="106"/>
      <c r="BK564" s="106"/>
      <c r="BL564" s="106"/>
      <c r="BM564" s="106"/>
      <c r="BN564" s="106"/>
      <c r="BO564" s="106"/>
    </row>
    <row r="565" spans="2:67" ht="36" customHeight="1" x14ac:dyDescent="0.25">
      <c r="B565" s="27" t="s">
        <v>451</v>
      </c>
      <c r="C565" s="13"/>
      <c r="D565" s="236"/>
      <c r="E565" s="237"/>
      <c r="F565" s="237"/>
      <c r="G565" s="237"/>
      <c r="H565" s="237"/>
      <c r="I565" s="237"/>
      <c r="J565" s="237" t="str">
        <f>IF(AND(ADPT&lt;&gt;ADPT01,ADBT_sub01&lt;&gt;ADBT_sub08,,ADBT_sub01&lt;&gt;ADBT_sub09,,ADBT_sub01&lt;&gt;ADBT_sub44,ADBT_sub01&lt;&gt;ADBT_sub46,AD_Labsize&lt;&gt;AD_Labsize03),AIS_statement32,"")</f>
        <v/>
      </c>
      <c r="K565" s="237"/>
      <c r="L565" s="237"/>
      <c r="M565" s="237"/>
      <c r="N565" s="237"/>
      <c r="O565" s="237"/>
      <c r="P565" s="639" t="str">
        <f>IF(ADBT0=ADBT8,AIS_statement32,IF(AND(ADBT0=ADBT4,Ene07_ADBT=AIS_No),AIS_statement32,IF(OR(Ene07_Labsize=AIS_No,Ene07_Cat=AIS_No),AIS_statement32,"")))</f>
        <v>Assessment issue not applicable</v>
      </c>
      <c r="Q565" s="615"/>
      <c r="S565" s="29" t="str">
        <f>IF(OR(ADBT_sub01=ADBT_sub08,ADBT_sub01=ADBT_sub09),AIS_Yes,AIS_No)</f>
        <v>No</v>
      </c>
      <c r="T565" s="29" t="str">
        <f>IF(OR(AD_Labsize=AD_Labsize03,AD_Labsize=""),AIS_No,AIS_Yes)</f>
        <v>No</v>
      </c>
      <c r="U565" s="481" t="str">
        <f>IF(OR(AD_catlevel=AD_catlevel02,AD_catlevel=AD_catlevel03),AIS_Yes,IF(AD_catlevel=AD_nolab,AIS_No,IF(Ene07_FC=AIS_No,IF(OR(AD_catlevel=AD_catlevel01,AD_catlevel=""),AIS_No,AIS_Yes),AIS_Yes)))</f>
        <v>Yes</v>
      </c>
      <c r="V565" s="29"/>
      <c r="Y565" s="501"/>
      <c r="BI565" s="106"/>
      <c r="BJ565" s="106"/>
      <c r="BK565" s="106"/>
      <c r="BL565" s="106"/>
      <c r="BM565" s="106"/>
      <c r="BN565" s="106"/>
      <c r="BO565" s="106"/>
    </row>
    <row r="566" spans="2:67" x14ac:dyDescent="0.25">
      <c r="B566" s="215"/>
      <c r="C566" s="215"/>
      <c r="D566" s="215"/>
      <c r="E566" s="215"/>
      <c r="F566" s="225"/>
      <c r="G566" s="215"/>
      <c r="H566" s="215"/>
      <c r="I566" s="215"/>
      <c r="J566" s="215"/>
      <c r="K566" s="215"/>
      <c r="L566" s="215"/>
      <c r="M566" s="215"/>
      <c r="N566" s="215"/>
      <c r="O566" s="215"/>
      <c r="P566" s="215"/>
      <c r="Q566" s="215"/>
      <c r="Y566" s="501"/>
      <c r="BI566" s="106"/>
      <c r="BJ566" s="106"/>
      <c r="BK566" s="106"/>
      <c r="BL566" s="106"/>
      <c r="BM566" s="106"/>
      <c r="BN566" s="106"/>
      <c r="BO566" s="106"/>
    </row>
    <row r="567" spans="2:67" ht="15.75" customHeight="1" x14ac:dyDescent="0.25">
      <c r="B567" s="222"/>
      <c r="C567" s="222"/>
      <c r="D567" s="221"/>
      <c r="E567" s="221"/>
      <c r="F567" s="212" t="s">
        <v>284</v>
      </c>
      <c r="G567" s="215"/>
      <c r="H567" s="216" t="str">
        <f>IF(Ene07_01=AIS_statement32,AIS_NA,Ene07_04+Ene07_08)</f>
        <v>N/A</v>
      </c>
      <c r="J567" s="222"/>
      <c r="K567" s="222"/>
      <c r="L567" s="222"/>
      <c r="M567" s="222"/>
      <c r="N567" s="212" t="s">
        <v>285</v>
      </c>
      <c r="P567" s="217" t="str">
        <f>IF(Ene07_01=AIS_statement32,AIS_NA,(BP_34/BP_03)*Ene07_credits)</f>
        <v>N/A</v>
      </c>
      <c r="Q567" s="217"/>
      <c r="R567" s="709" t="str">
        <f>IF(AND(ADPT=ADPT01,Ene07_ADBT=AIS_Yes,Ene07_01=AIS_statement32),AIS_statement38,"")</f>
        <v/>
      </c>
      <c r="S567" s="709"/>
      <c r="T567" s="709"/>
      <c r="U567" s="709"/>
      <c r="V567" s="709"/>
      <c r="W567" s="709"/>
      <c r="X567" s="340"/>
      <c r="Y567" s="501"/>
      <c r="BI567" s="106"/>
      <c r="BJ567" s="106"/>
      <c r="BK567" s="106"/>
      <c r="BL567" s="106"/>
      <c r="BM567" s="106"/>
      <c r="BN567" s="106"/>
      <c r="BO567" s="106"/>
    </row>
    <row r="568" spans="2:67" ht="3.75" customHeight="1" x14ac:dyDescent="0.25">
      <c r="R568" s="709"/>
      <c r="S568" s="709"/>
      <c r="T568" s="709"/>
      <c r="U568" s="709"/>
      <c r="V568" s="709"/>
      <c r="W568" s="709"/>
      <c r="X568" s="340"/>
      <c r="Y568" s="501"/>
      <c r="BI568" s="106"/>
      <c r="BJ568" s="106"/>
      <c r="BK568" s="106"/>
      <c r="BL568" s="106"/>
      <c r="BM568" s="106"/>
      <c r="BN568" s="106"/>
      <c r="BO568" s="106"/>
    </row>
    <row r="569" spans="2:67" x14ac:dyDescent="0.25">
      <c r="B569" s="222"/>
      <c r="C569" s="222"/>
      <c r="D569" s="221"/>
      <c r="E569" s="221"/>
      <c r="F569" s="212" t="s">
        <v>286</v>
      </c>
      <c r="G569" s="215"/>
      <c r="H569" s="216" t="str">
        <f>IF(Ene07_01=AIS_statement32,AIS_NA,0)</f>
        <v>N/A</v>
      </c>
      <c r="J569" s="221"/>
      <c r="K569" s="221"/>
      <c r="L569" s="221"/>
      <c r="M569" s="221"/>
      <c r="N569" s="212" t="s">
        <v>287</v>
      </c>
      <c r="O569" s="215"/>
      <c r="P569" s="216" t="str">
        <f>IF(Ene07_01=AIS_statement32,AIS_NA,AIS_No)</f>
        <v>N/A</v>
      </c>
      <c r="Q569" s="216"/>
      <c r="R569" s="709"/>
      <c r="S569" s="709"/>
      <c r="T569" s="709"/>
      <c r="U569" s="709"/>
      <c r="V569" s="709"/>
      <c r="W569" s="709"/>
      <c r="X569" s="340"/>
      <c r="Y569" s="501"/>
      <c r="BI569" s="106"/>
      <c r="BJ569" s="106"/>
      <c r="BK569" s="106"/>
      <c r="BL569" s="106"/>
      <c r="BM569" s="106"/>
      <c r="BN569" s="106"/>
      <c r="BO569" s="106"/>
    </row>
    <row r="570" spans="2:67" ht="47.25" customHeight="1" x14ac:dyDescent="0.25">
      <c r="B570" s="238" t="s">
        <v>429</v>
      </c>
      <c r="C570" s="239"/>
      <c r="D570" s="235"/>
      <c r="E570" s="239"/>
      <c r="F570" s="240"/>
      <c r="G570" s="238"/>
      <c r="H570" s="238"/>
      <c r="I570" s="238"/>
      <c r="J570" s="241" t="s">
        <v>289</v>
      </c>
      <c r="K570" s="241"/>
      <c r="L570" s="242" t="s">
        <v>290</v>
      </c>
      <c r="N570" s="242" t="s">
        <v>291</v>
      </c>
      <c r="P570" s="242"/>
      <c r="Q570" s="406"/>
      <c r="R570" s="709"/>
      <c r="S570" s="709"/>
      <c r="T570" s="709"/>
      <c r="U570" s="709"/>
      <c r="V570" s="709"/>
      <c r="W570" s="709"/>
      <c r="X570" s="21"/>
      <c r="Y570" s="501"/>
      <c r="BI570" s="106"/>
      <c r="BJ570" s="106"/>
      <c r="BK570" s="106"/>
      <c r="BL570" s="106"/>
      <c r="BM570" s="106"/>
      <c r="BN570" s="106"/>
      <c r="BO570" s="106"/>
    </row>
    <row r="571" spans="2:67" ht="3" customHeight="1" x14ac:dyDescent="0.25">
      <c r="B571" s="238"/>
      <c r="C571" s="239"/>
      <c r="D571" s="235"/>
      <c r="E571" s="239"/>
      <c r="F571" s="240"/>
      <c r="G571" s="238"/>
      <c r="H571" s="238"/>
      <c r="I571" s="238"/>
      <c r="J571" s="241"/>
      <c r="K571" s="241"/>
      <c r="L571" s="242"/>
      <c r="N571" s="242"/>
      <c r="P571" s="242"/>
      <c r="Q571" s="406"/>
      <c r="S571" s="21"/>
      <c r="T571" s="21"/>
      <c r="U571" s="21"/>
      <c r="V571" s="21"/>
      <c r="W571" s="21"/>
      <c r="X571" s="21"/>
      <c r="Y571" s="501"/>
      <c r="BI571" s="106"/>
      <c r="BJ571" s="106"/>
      <c r="BK571" s="106"/>
      <c r="BL571" s="106"/>
      <c r="BM571" s="106"/>
      <c r="BN571" s="106"/>
      <c r="BO571" s="106"/>
    </row>
    <row r="572" spans="2:67" ht="17.25" customHeight="1" x14ac:dyDescent="0.25">
      <c r="B572" s="221"/>
      <c r="C572" s="221"/>
      <c r="D572" s="221"/>
      <c r="E572" s="221"/>
      <c r="F572" s="212"/>
      <c r="G572" s="221"/>
      <c r="H572" s="212" t="s">
        <v>452</v>
      </c>
      <c r="J572" s="282" t="str">
        <f>IF(Hea03_AC1=AIS_Yes,AIS_Yes,AIS_No)</f>
        <v>No</v>
      </c>
      <c r="K572" s="215"/>
      <c r="L572" s="242"/>
      <c r="M572" s="242"/>
      <c r="N572" s="242"/>
      <c r="O572" s="406"/>
      <c r="P572" s="242"/>
      <c r="Q572" s="406"/>
      <c r="S572" s="21"/>
      <c r="T572" s="21"/>
      <c r="U572" s="21"/>
      <c r="V572" s="21"/>
      <c r="W572" s="21"/>
      <c r="X572" s="21"/>
      <c r="Y572" s="501"/>
      <c r="BI572" s="106"/>
      <c r="BJ572" s="106"/>
      <c r="BK572" s="106"/>
      <c r="BL572" s="106"/>
      <c r="BM572" s="106"/>
      <c r="BN572" s="106"/>
      <c r="BO572" s="106"/>
    </row>
    <row r="573" spans="2:67" x14ac:dyDescent="0.25">
      <c r="B573" s="221"/>
      <c r="C573" s="221"/>
      <c r="D573" s="221"/>
      <c r="E573" s="221"/>
      <c r="F573" s="212"/>
      <c r="G573" s="221"/>
      <c r="H573" s="212" t="s">
        <v>453</v>
      </c>
      <c r="J573" s="281"/>
      <c r="K573" s="215"/>
      <c r="L573" s="224">
        <f>IF(Ene07_01=AIS_statement32,0,1)</f>
        <v>0</v>
      </c>
      <c r="M573" s="215"/>
      <c r="N573" s="224">
        <f>IF(Ene01_07=AIS_statement32,AIS_NA,IF(Ene07_03=AIS_No,0,IF(Hea03_AC1&lt;&gt;AIS_Yes,0,IF(AND(ADFume_option01=AIS_Yes,OR(J574=AIS_No,J574="")),0,IF(Ene07_03=AIS_Yes,Ene07_04,0)))))</f>
        <v>0</v>
      </c>
      <c r="O573" s="215"/>
      <c r="P573" s="252"/>
      <c r="Q573" s="419"/>
      <c r="R573" s="709"/>
      <c r="S573" s="746"/>
      <c r="T573" s="746"/>
      <c r="U573" s="746"/>
      <c r="V573" s="746"/>
      <c r="W573" s="746"/>
      <c r="X573" s="746"/>
      <c r="Y573" s="501"/>
      <c r="BI573" s="106"/>
      <c r="BJ573" s="106"/>
      <c r="BK573" s="106"/>
      <c r="BL573" s="106"/>
      <c r="BM573" s="106"/>
      <c r="BN573" s="106"/>
      <c r="BO573" s="106"/>
    </row>
    <row r="574" spans="2:67" x14ac:dyDescent="0.25">
      <c r="B574" s="812" t="s">
        <v>454</v>
      </c>
      <c r="C574" s="812"/>
      <c r="D574" s="812"/>
      <c r="E574" s="812"/>
      <c r="F574" s="812"/>
      <c r="G574" s="812"/>
      <c r="H574" s="812"/>
      <c r="I574" s="280"/>
      <c r="J574" s="281"/>
      <c r="K574" s="280"/>
      <c r="L574" s="280"/>
      <c r="M574" s="280"/>
      <c r="N574" s="280"/>
      <c r="O574" s="280"/>
      <c r="P574" s="280"/>
      <c r="Q574" s="414"/>
      <c r="R574" s="746"/>
      <c r="S574" s="746"/>
      <c r="T574" s="746"/>
      <c r="U574" s="746"/>
      <c r="V574" s="746"/>
      <c r="W574" s="746"/>
      <c r="X574" s="746"/>
      <c r="Y574" s="501"/>
      <c r="BI574" s="106"/>
      <c r="BJ574" s="106"/>
      <c r="BK574" s="106"/>
      <c r="BL574" s="106"/>
      <c r="BM574" s="106"/>
      <c r="BN574" s="106"/>
      <c r="BO574" s="106"/>
    </row>
    <row r="575" spans="2:67" ht="15.75" customHeight="1" x14ac:dyDescent="0.25">
      <c r="B575" s="344"/>
      <c r="C575" s="344"/>
      <c r="D575" s="344"/>
      <c r="E575" s="344"/>
      <c r="F575" s="344"/>
      <c r="G575" s="344"/>
      <c r="H575" s="212" t="s">
        <v>455</v>
      </c>
      <c r="I575" s="280"/>
      <c r="J575" s="282"/>
      <c r="K575" s="280"/>
      <c r="L575" s="224">
        <f>IF(OR(Ene07_01=AIS_statement32,AD_Labsize=AD_labsize04,AD_Labsize=AD_Labsize03),0,IF(AD_Labsize=AD_Labsize01,2,4))</f>
        <v>0</v>
      </c>
      <c r="M575" s="215"/>
      <c r="N575" s="224" t="str">
        <f>IF(Ene07_08=0,AIS_NA,IF(J572=AIS_No,0,Ene07_22))</f>
        <v>N/A</v>
      </c>
      <c r="O575" s="215"/>
      <c r="P575" s="252"/>
      <c r="Q575" s="252"/>
      <c r="R575" s="709" t="str">
        <f>IF(AND(Ene07_03=AIS_No,ADFume_option01=AD_Yes,OR(AD_Labsize=AD_Labsize01,AD_Labsize=AD_Labsize02)),AIS_statement42,"")</f>
        <v/>
      </c>
      <c r="S575" s="709"/>
      <c r="T575" s="709"/>
      <c r="U575" s="709"/>
      <c r="V575" s="709"/>
      <c r="W575" s="709"/>
      <c r="X575" s="709"/>
      <c r="Y575" s="501"/>
      <c r="BI575" s="106"/>
      <c r="BJ575" s="106"/>
      <c r="BK575" s="106"/>
      <c r="BL575" s="106"/>
      <c r="BM575" s="106"/>
      <c r="BN575" s="106"/>
      <c r="BO575" s="106"/>
    </row>
    <row r="576" spans="2:67" x14ac:dyDescent="0.25">
      <c r="B576" s="344"/>
      <c r="C576" s="344"/>
      <c r="D576" s="344"/>
      <c r="E576" s="344"/>
      <c r="F576" s="344"/>
      <c r="G576" s="344"/>
      <c r="H576" s="212" t="s">
        <v>456</v>
      </c>
      <c r="I576" s="280"/>
      <c r="J576" s="283"/>
      <c r="K576" s="280"/>
      <c r="M576" s="280"/>
      <c r="N576" s="280"/>
      <c r="O576" s="280"/>
      <c r="P576" s="280"/>
      <c r="Q576" s="280"/>
      <c r="R576" s="709"/>
      <c r="S576" s="709"/>
      <c r="T576" s="709"/>
      <c r="U576" s="709"/>
      <c r="V576" s="709"/>
      <c r="W576" s="709"/>
      <c r="X576" s="709"/>
      <c r="Y576" s="501"/>
      <c r="BI576" s="106"/>
      <c r="BJ576" s="106"/>
      <c r="BK576" s="106"/>
      <c r="BL576" s="106"/>
      <c r="BM576" s="106"/>
      <c r="BN576" s="106"/>
      <c r="BO576" s="106"/>
    </row>
    <row r="577" spans="2:67" x14ac:dyDescent="0.25">
      <c r="B577" s="344"/>
      <c r="C577" s="344"/>
      <c r="D577" s="344"/>
      <c r="E577" s="344"/>
      <c r="F577" s="344"/>
      <c r="G577" s="344"/>
      <c r="H577" s="212" t="s">
        <v>457</v>
      </c>
      <c r="I577" s="280"/>
      <c r="J577" s="283"/>
      <c r="K577" s="280"/>
      <c r="M577" s="280"/>
      <c r="N577" s="280"/>
      <c r="O577" s="280"/>
      <c r="P577" s="280"/>
      <c r="Q577" s="280"/>
      <c r="S577" s="21"/>
      <c r="T577" s="21"/>
      <c r="U577" s="21"/>
      <c r="V577" s="21"/>
      <c r="W577" s="21"/>
      <c r="X577" s="21"/>
      <c r="Y577" s="501"/>
      <c r="AJ577" s="507"/>
      <c r="AK577" s="507"/>
      <c r="AL577" s="507"/>
      <c r="AM577" s="507"/>
      <c r="AN577" s="507"/>
      <c r="AO577" s="507"/>
      <c r="AP577" s="507"/>
      <c r="AQ577" s="507"/>
      <c r="AR577" s="507"/>
      <c r="AS577" s="507"/>
      <c r="BI577" s="106"/>
      <c r="BJ577" s="106"/>
      <c r="BK577" s="106"/>
      <c r="BL577" s="106"/>
      <c r="BM577" s="106"/>
      <c r="BN577" s="106"/>
      <c r="BO577" s="106"/>
    </row>
    <row r="578" spans="2:67" x14ac:dyDescent="0.25">
      <c r="B578" s="344"/>
      <c r="C578" s="344"/>
      <c r="D578" s="344"/>
      <c r="E578" s="344"/>
      <c r="F578" s="344"/>
      <c r="G578" s="344"/>
      <c r="H578" s="212" t="s">
        <v>458</v>
      </c>
      <c r="I578" s="280"/>
      <c r="J578" s="283"/>
      <c r="K578" s="280"/>
      <c r="L578" s="280"/>
      <c r="M578" s="280"/>
      <c r="N578" s="343"/>
      <c r="O578" s="280"/>
      <c r="P578" s="280"/>
      <c r="Q578" s="280"/>
      <c r="S578" s="21"/>
      <c r="T578" s="21"/>
      <c r="U578" s="21"/>
      <c r="V578" s="21"/>
      <c r="W578" s="21"/>
      <c r="X578" s="21"/>
      <c r="Y578" s="501"/>
      <c r="AJ578" s="507"/>
      <c r="AK578" s="507"/>
      <c r="AL578" s="507"/>
      <c r="AM578" s="507"/>
      <c r="AN578" s="507"/>
      <c r="AO578" s="507"/>
      <c r="AP578" s="507"/>
      <c r="AQ578" s="507"/>
      <c r="AR578" s="507"/>
      <c r="AS578" s="507"/>
      <c r="BI578" s="106"/>
      <c r="BJ578" s="106"/>
      <c r="BK578" s="106"/>
      <c r="BL578" s="106"/>
      <c r="BM578" s="106"/>
      <c r="BN578" s="106"/>
      <c r="BO578" s="106"/>
    </row>
    <row r="579" spans="2:67" x14ac:dyDescent="0.25">
      <c r="B579" s="344"/>
      <c r="C579" s="344"/>
      <c r="D579" s="344"/>
      <c r="E579" s="344"/>
      <c r="F579" s="344"/>
      <c r="G579" s="344"/>
      <c r="H579" s="212" t="s">
        <v>459</v>
      </c>
      <c r="I579" s="280"/>
      <c r="J579" s="283"/>
      <c r="K579" s="280"/>
      <c r="L579" s="280"/>
      <c r="M579" s="280"/>
      <c r="N579" s="280"/>
      <c r="O579" s="280"/>
      <c r="P579" s="280"/>
      <c r="Q579" s="280"/>
      <c r="R579" s="314"/>
      <c r="S579" s="21"/>
      <c r="T579" s="21"/>
      <c r="U579" s="21"/>
      <c r="V579" s="21"/>
      <c r="W579" s="21"/>
      <c r="X579" s="21"/>
      <c r="Y579" s="501"/>
      <c r="AJ579" s="507"/>
      <c r="AK579" s="507"/>
      <c r="AL579" s="507"/>
      <c r="AM579" s="507"/>
      <c r="AN579" s="507"/>
      <c r="AO579" s="507"/>
      <c r="AP579" s="507"/>
      <c r="AQ579" s="507"/>
      <c r="AR579" s="507"/>
      <c r="AS579" s="507"/>
      <c r="BI579" s="106"/>
      <c r="BJ579" s="106"/>
      <c r="BK579" s="106"/>
      <c r="BL579" s="106"/>
      <c r="BM579" s="106"/>
      <c r="BN579" s="106"/>
      <c r="BO579" s="106"/>
    </row>
    <row r="580" spans="2:67" x14ac:dyDescent="0.25">
      <c r="B580" s="221"/>
      <c r="C580" s="221"/>
      <c r="D580" s="221"/>
      <c r="E580" s="221"/>
      <c r="F580" s="212"/>
      <c r="G580" s="221"/>
      <c r="H580" s="212" t="s">
        <v>460</v>
      </c>
      <c r="J580" s="283"/>
      <c r="K580" s="215"/>
      <c r="M580" s="215"/>
      <c r="N580" s="205"/>
      <c r="R580" s="314"/>
      <c r="S580" s="21"/>
      <c r="T580" s="21"/>
      <c r="U580" s="21"/>
      <c r="V580" s="21"/>
      <c r="W580" s="21"/>
      <c r="X580" s="21"/>
      <c r="Y580" s="501"/>
      <c r="AJ580" s="507"/>
      <c r="AK580" s="507"/>
      <c r="AL580" s="507"/>
      <c r="AM580" s="507"/>
      <c r="AN580" s="507"/>
      <c r="AO580" s="507"/>
      <c r="AP580" s="507"/>
      <c r="AQ580" s="507"/>
      <c r="AR580" s="507"/>
      <c r="AS580" s="507"/>
      <c r="BI580" s="106"/>
      <c r="BJ580" s="106"/>
      <c r="BK580" s="106"/>
      <c r="BL580" s="106"/>
      <c r="BM580" s="106"/>
      <c r="BN580" s="106"/>
      <c r="BO580" s="106"/>
    </row>
    <row r="581" spans="2:67" x14ac:dyDescent="0.25">
      <c r="B581" s="221"/>
      <c r="C581" s="221"/>
      <c r="D581" s="221"/>
      <c r="E581" s="221"/>
      <c r="F581" s="212"/>
      <c r="G581" s="221"/>
      <c r="H581" s="212" t="s">
        <v>461</v>
      </c>
      <c r="J581" s="283"/>
      <c r="K581" s="215"/>
      <c r="M581" s="215"/>
      <c r="R581" s="314"/>
      <c r="S581" s="21"/>
      <c r="T581" s="21"/>
      <c r="U581" s="21"/>
      <c r="V581" s="21"/>
      <c r="W581" s="21"/>
      <c r="X581" s="21"/>
      <c r="Y581" s="501"/>
      <c r="AJ581" s="507"/>
      <c r="AK581" s="507"/>
      <c r="AL581" s="507"/>
      <c r="AM581" s="507"/>
      <c r="AN581" s="507"/>
      <c r="AO581" s="507"/>
      <c r="AP581" s="507"/>
      <c r="AQ581" s="507"/>
      <c r="AR581" s="507"/>
      <c r="AS581" s="507"/>
      <c r="BI581" s="106"/>
      <c r="BJ581" s="106"/>
      <c r="BK581" s="106"/>
      <c r="BL581" s="106"/>
      <c r="BM581" s="106"/>
      <c r="BN581" s="106"/>
      <c r="BO581" s="106"/>
    </row>
    <row r="582" spans="2:67" x14ac:dyDescent="0.25">
      <c r="B582" s="221"/>
      <c r="C582" s="221"/>
      <c r="D582" s="221"/>
      <c r="E582" s="221"/>
      <c r="F582" s="212"/>
      <c r="G582" s="221"/>
      <c r="H582" s="212" t="s">
        <v>462</v>
      </c>
      <c r="J582" s="283"/>
      <c r="K582" s="215"/>
      <c r="M582" s="215"/>
      <c r="R582" s="314"/>
      <c r="S582" s="21"/>
      <c r="T582" s="21"/>
      <c r="U582" s="21"/>
      <c r="V582" s="21"/>
      <c r="W582" s="21"/>
      <c r="X582" s="21"/>
      <c r="Y582" s="501"/>
      <c r="AJ582" s="507"/>
      <c r="AK582" s="507"/>
      <c r="AL582" s="507"/>
      <c r="AM582" s="507"/>
      <c r="AN582" s="507"/>
      <c r="AO582" s="507"/>
      <c r="AP582" s="507"/>
      <c r="AQ582" s="507"/>
      <c r="AR582" s="507"/>
      <c r="AS582" s="507"/>
      <c r="BI582" s="106"/>
      <c r="BJ582" s="106"/>
      <c r="BK582" s="106"/>
      <c r="BL582" s="106"/>
      <c r="BM582" s="106"/>
      <c r="BN582" s="106"/>
      <c r="BO582" s="106"/>
    </row>
    <row r="583" spans="2:67" x14ac:dyDescent="0.25">
      <c r="B583" s="221"/>
      <c r="C583" s="221"/>
      <c r="D583" s="221"/>
      <c r="E583" s="221"/>
      <c r="F583" s="212"/>
      <c r="G583" s="221"/>
      <c r="H583" s="212" t="s">
        <v>463</v>
      </c>
      <c r="J583" s="283"/>
      <c r="K583" s="215"/>
      <c r="M583" s="215"/>
      <c r="R583" s="314"/>
      <c r="S583" s="21"/>
      <c r="T583" s="21"/>
      <c r="U583" s="21"/>
      <c r="V583" s="21"/>
      <c r="W583" s="21"/>
      <c r="X583" s="21"/>
      <c r="Y583" s="501"/>
      <c r="AJ583" s="507"/>
      <c r="AK583" s="507"/>
      <c r="AL583" s="507"/>
      <c r="AM583" s="507"/>
      <c r="AN583" s="507"/>
      <c r="AO583" s="507"/>
      <c r="AP583" s="507"/>
      <c r="AQ583" s="507"/>
      <c r="AR583" s="507"/>
      <c r="AS583" s="507"/>
      <c r="BI583" s="106"/>
      <c r="BJ583" s="106"/>
      <c r="BK583" s="106"/>
      <c r="BL583" s="106"/>
      <c r="BM583" s="106"/>
      <c r="BN583" s="106"/>
      <c r="BO583" s="106"/>
    </row>
    <row r="584" spans="2:67" x14ac:dyDescent="0.25">
      <c r="B584" s="221"/>
      <c r="C584" s="221"/>
      <c r="D584" s="221"/>
      <c r="E584" s="221"/>
      <c r="F584" s="212"/>
      <c r="G584" s="221"/>
      <c r="H584" s="212" t="s">
        <v>464</v>
      </c>
      <c r="J584" s="283"/>
      <c r="K584" s="215"/>
      <c r="M584" s="215"/>
      <c r="R584" s="314"/>
      <c r="S584" s="21"/>
      <c r="T584" s="21"/>
      <c r="U584" s="21"/>
      <c r="V584" s="21"/>
      <c r="W584" s="21"/>
      <c r="X584" s="21"/>
      <c r="Y584" s="501"/>
      <c r="BI584" s="106"/>
      <c r="BJ584" s="106"/>
      <c r="BK584" s="106"/>
      <c r="BL584" s="106"/>
      <c r="BM584" s="106"/>
      <c r="BN584" s="106"/>
      <c r="BO584" s="106"/>
    </row>
    <row r="585" spans="2:67" x14ac:dyDescent="0.25">
      <c r="B585" s="221"/>
      <c r="C585" s="221"/>
      <c r="D585" s="221"/>
      <c r="E585" s="221"/>
      <c r="F585" s="212"/>
      <c r="G585" s="221"/>
      <c r="H585" s="212" t="s">
        <v>465</v>
      </c>
      <c r="J585" s="283"/>
      <c r="K585" s="215"/>
      <c r="M585" s="215"/>
      <c r="R585" s="314"/>
      <c r="S585" s="21"/>
      <c r="T585" s="21"/>
      <c r="U585" s="21"/>
      <c r="V585" s="21"/>
      <c r="W585" s="21"/>
      <c r="X585" s="21"/>
      <c r="Y585" s="501"/>
      <c r="BI585" s="106"/>
      <c r="BJ585" s="106"/>
      <c r="BK585" s="106"/>
      <c r="BL585" s="106"/>
      <c r="BM585" s="106"/>
      <c r="BN585" s="106"/>
      <c r="BO585" s="106"/>
    </row>
    <row r="586" spans="2:67" x14ac:dyDescent="0.25">
      <c r="B586" s="221"/>
      <c r="C586" s="221"/>
      <c r="D586" s="221"/>
      <c r="E586" s="221"/>
      <c r="F586" s="212"/>
      <c r="G586" s="221"/>
      <c r="H586" s="212" t="s">
        <v>466</v>
      </c>
      <c r="J586" s="283"/>
      <c r="K586" s="215"/>
      <c r="M586" s="215"/>
      <c r="R586" s="314"/>
      <c r="S586" s="21"/>
      <c r="T586" s="21"/>
      <c r="U586" s="21"/>
      <c r="V586" s="21"/>
      <c r="W586" s="21"/>
      <c r="X586" s="21"/>
      <c r="Y586" s="501"/>
      <c r="BI586" s="106"/>
      <c r="BJ586" s="106"/>
      <c r="BK586" s="106"/>
      <c r="BL586" s="106"/>
      <c r="BM586" s="106"/>
      <c r="BN586" s="106"/>
      <c r="BO586" s="106"/>
    </row>
    <row r="587" spans="2:67" x14ac:dyDescent="0.25">
      <c r="S587" s="21"/>
      <c r="T587" s="21"/>
      <c r="U587" s="21"/>
      <c r="V587" s="21"/>
      <c r="W587" s="21"/>
      <c r="X587" s="21"/>
      <c r="Y587" s="501"/>
      <c r="BI587" s="106"/>
      <c r="BJ587" s="106"/>
      <c r="BK587" s="106"/>
      <c r="BL587" s="106"/>
      <c r="BM587" s="106"/>
      <c r="BN587" s="106"/>
      <c r="BO587" s="106"/>
    </row>
    <row r="588" spans="2:67" x14ac:dyDescent="0.25">
      <c r="B588" s="221"/>
      <c r="C588" s="222"/>
      <c r="D588" s="222"/>
      <c r="E588" s="221"/>
      <c r="F588" s="212" t="s">
        <v>296</v>
      </c>
      <c r="G588" s="215"/>
      <c r="H588" s="216" t="str">
        <f>IF(ISERROR(Ene07_Tot_Err),0,Ene07_Tot_Err)</f>
        <v>N/A</v>
      </c>
      <c r="J588" s="203"/>
      <c r="K588" s="215"/>
      <c r="M588" s="215"/>
      <c r="N588" s="215"/>
      <c r="O588" s="215"/>
      <c r="P588" s="215"/>
      <c r="Q588" s="215"/>
      <c r="S588" s="21"/>
      <c r="T588" s="21"/>
      <c r="U588" s="21"/>
      <c r="V588" s="21"/>
      <c r="W588" s="21"/>
      <c r="X588" s="21"/>
      <c r="Y588" s="501"/>
      <c r="BI588" s="106"/>
      <c r="BJ588" s="106"/>
      <c r="BK588" s="106"/>
      <c r="BL588" s="106"/>
      <c r="BM588" s="106"/>
      <c r="BN588" s="106"/>
      <c r="BO588" s="106"/>
    </row>
    <row r="589" spans="2:67" ht="3" customHeight="1" x14ac:dyDescent="0.25">
      <c r="B589" s="215"/>
      <c r="E589" s="215"/>
      <c r="F589" s="225"/>
      <c r="G589" s="215"/>
      <c r="H589" s="252"/>
      <c r="J589" s="203"/>
      <c r="K589" s="215"/>
      <c r="M589" s="215"/>
      <c r="N589" s="215"/>
      <c r="O589" s="215"/>
      <c r="P589" s="215"/>
      <c r="Q589" s="215"/>
      <c r="S589" s="21"/>
      <c r="T589" s="21"/>
      <c r="U589" s="21"/>
      <c r="V589" s="21"/>
      <c r="W589" s="21"/>
      <c r="X589" s="21"/>
      <c r="Y589" s="501"/>
      <c r="BI589" s="106"/>
      <c r="BJ589" s="106"/>
      <c r="BK589" s="106"/>
      <c r="BL589" s="106"/>
      <c r="BM589" s="106"/>
      <c r="BN589" s="106"/>
      <c r="BO589" s="106"/>
    </row>
    <row r="590" spans="2:67" x14ac:dyDescent="0.25">
      <c r="B590" s="221"/>
      <c r="C590" s="222"/>
      <c r="D590" s="222"/>
      <c r="E590" s="221"/>
      <c r="F590" s="212" t="s">
        <v>297</v>
      </c>
      <c r="G590" s="215"/>
      <c r="H590" s="217" t="str">
        <f>IF(Ene07_01=AIS_statement32,AIS_NA,(Ene07_24/Ene07_credits)*Ene07_tot)</f>
        <v>N/A</v>
      </c>
      <c r="J590" s="203"/>
      <c r="K590" s="215"/>
      <c r="M590" s="215"/>
      <c r="N590" s="215"/>
      <c r="O590" s="215"/>
      <c r="P590" s="215"/>
      <c r="Q590" s="215"/>
      <c r="S590" s="21"/>
      <c r="T590" s="21"/>
      <c r="U590" s="21"/>
      <c r="V590" s="21"/>
      <c r="W590" s="21"/>
      <c r="X590" s="21"/>
      <c r="Y590" s="501"/>
      <c r="BI590" s="106"/>
      <c r="BJ590" s="106"/>
      <c r="BK590" s="106"/>
      <c r="BL590" s="106"/>
      <c r="BM590" s="106"/>
      <c r="BN590" s="106"/>
      <c r="BO590" s="106"/>
    </row>
    <row r="591" spans="2:67" ht="3" customHeight="1" x14ac:dyDescent="0.25">
      <c r="K591" s="215"/>
      <c r="M591" s="215"/>
      <c r="N591" s="215"/>
      <c r="O591" s="215"/>
      <c r="P591" s="215"/>
      <c r="Q591" s="215"/>
      <c r="S591" s="21"/>
      <c r="T591" s="21"/>
      <c r="U591" s="21"/>
      <c r="V591" s="21"/>
      <c r="W591" s="21"/>
      <c r="X591" s="21"/>
      <c r="Y591" s="501"/>
      <c r="BI591" s="106"/>
      <c r="BJ591" s="106"/>
      <c r="BK591" s="106"/>
      <c r="BL591" s="106"/>
      <c r="BM591" s="106"/>
      <c r="BN591" s="106"/>
      <c r="BO591" s="106"/>
    </row>
    <row r="592" spans="2:67" x14ac:dyDescent="0.25">
      <c r="B592" s="221"/>
      <c r="C592" s="222"/>
      <c r="D592" s="222"/>
      <c r="E592" s="221"/>
      <c r="F592" s="212" t="s">
        <v>298</v>
      </c>
      <c r="H592" s="216" t="s">
        <v>300</v>
      </c>
      <c r="K592" s="215"/>
      <c r="L592" s="202"/>
      <c r="M592" s="215"/>
      <c r="N592" s="215"/>
      <c r="O592" s="215"/>
      <c r="P592" s="215"/>
      <c r="Q592" s="215"/>
      <c r="S592" s="21"/>
      <c r="T592" s="21"/>
      <c r="U592" s="21"/>
      <c r="V592" s="21"/>
      <c r="W592" s="21"/>
      <c r="X592" s="21"/>
      <c r="Y592" s="501"/>
      <c r="BI592" s="106"/>
      <c r="BJ592" s="106"/>
      <c r="BK592" s="106"/>
      <c r="BL592" s="106"/>
      <c r="BM592" s="106"/>
      <c r="BN592" s="106"/>
      <c r="BO592" s="106"/>
    </row>
    <row r="593" spans="2:67" ht="3" customHeight="1" x14ac:dyDescent="0.25">
      <c r="K593" s="215"/>
      <c r="M593" s="215"/>
      <c r="N593" s="215"/>
      <c r="O593" s="215"/>
      <c r="P593" s="215"/>
      <c r="Q593" s="215"/>
      <c r="S593" s="21"/>
      <c r="T593" s="21"/>
      <c r="U593" s="21"/>
      <c r="V593" s="21"/>
      <c r="W593" s="21"/>
      <c r="X593" s="21"/>
      <c r="Y593" s="501"/>
      <c r="BI593" s="106"/>
      <c r="BJ593" s="106"/>
      <c r="BK593" s="106"/>
      <c r="BL593" s="106"/>
      <c r="BM593" s="106"/>
      <c r="BN593" s="106"/>
      <c r="BO593" s="106"/>
    </row>
    <row r="594" spans="2:67" x14ac:dyDescent="0.25">
      <c r="B594" s="221"/>
      <c r="C594" s="222"/>
      <c r="D594" s="221"/>
      <c r="E594" s="221"/>
      <c r="F594" s="212" t="s">
        <v>299</v>
      </c>
      <c r="H594" s="216" t="s">
        <v>300</v>
      </c>
      <c r="K594" s="215"/>
      <c r="M594" s="215"/>
      <c r="N594" s="215"/>
      <c r="O594" s="215"/>
      <c r="P594" s="215"/>
      <c r="Q594" s="215"/>
      <c r="S594" s="21"/>
      <c r="T594" s="21"/>
      <c r="U594" s="21"/>
      <c r="V594" s="21"/>
      <c r="W594" s="21"/>
      <c r="X594" s="21"/>
      <c r="Y594" s="501"/>
      <c r="BI594" s="106"/>
      <c r="BJ594" s="106"/>
      <c r="BK594" s="106"/>
      <c r="BL594" s="106"/>
      <c r="BM594" s="106"/>
      <c r="BN594" s="106"/>
      <c r="BO594" s="106"/>
    </row>
    <row r="595" spans="2:67" x14ac:dyDescent="0.25">
      <c r="M595" s="215"/>
      <c r="N595" s="215"/>
      <c r="O595" s="215"/>
      <c r="P595" s="215"/>
      <c r="Q595" s="215"/>
      <c r="S595" s="21"/>
      <c r="T595" s="21"/>
      <c r="U595" s="21"/>
      <c r="V595" s="21"/>
      <c r="W595" s="21"/>
      <c r="X595" s="21"/>
      <c r="Y595" s="501"/>
      <c r="BI595" s="106"/>
      <c r="BJ595" s="106"/>
      <c r="BK595" s="106"/>
      <c r="BL595" s="106"/>
      <c r="BM595" s="106"/>
      <c r="BN595" s="106"/>
      <c r="BO595" s="106"/>
    </row>
    <row r="596" spans="2:67" x14ac:dyDescent="0.25">
      <c r="B596" s="235" t="s">
        <v>301</v>
      </c>
      <c r="C596" s="215"/>
      <c r="D596" s="215"/>
      <c r="E596" s="215"/>
      <c r="F596" s="225"/>
      <c r="G596" s="215"/>
      <c r="H596" s="215"/>
      <c r="I596" s="215"/>
      <c r="J596" s="215"/>
      <c r="K596" s="215"/>
      <c r="L596" s="215"/>
      <c r="M596" s="215"/>
      <c r="N596" s="215"/>
      <c r="O596" s="215"/>
      <c r="P596" s="215"/>
      <c r="Q596" s="215"/>
      <c r="Y596" s="501"/>
      <c r="BI596" s="106"/>
      <c r="BJ596" s="106"/>
      <c r="BK596" s="106"/>
      <c r="BL596" s="106"/>
      <c r="BM596" s="106"/>
      <c r="BN596" s="106"/>
      <c r="BO596" s="106"/>
    </row>
    <row r="597" spans="2:67" ht="159.94999999999999" customHeight="1" x14ac:dyDescent="0.25">
      <c r="B597" s="736"/>
      <c r="C597" s="737"/>
      <c r="D597" s="737"/>
      <c r="E597" s="737"/>
      <c r="F597" s="737"/>
      <c r="G597" s="737"/>
      <c r="H597" s="737"/>
      <c r="I597" s="737"/>
      <c r="J597" s="737"/>
      <c r="K597" s="737"/>
      <c r="L597" s="737"/>
      <c r="M597" s="737"/>
      <c r="N597" s="737"/>
      <c r="O597" s="737"/>
      <c r="P597" s="738"/>
      <c r="Q597" s="415"/>
      <c r="Y597" s="501"/>
      <c r="BI597" s="106"/>
      <c r="BJ597" s="106"/>
      <c r="BK597" s="106"/>
      <c r="BL597" s="106"/>
      <c r="BM597" s="106"/>
      <c r="BN597" s="106"/>
      <c r="BO597" s="106"/>
    </row>
    <row r="598" spans="2:67" ht="14.25" customHeight="1" x14ac:dyDescent="0.25">
      <c r="B598" s="3"/>
      <c r="C598" s="3"/>
      <c r="D598" s="3"/>
      <c r="E598" s="3"/>
      <c r="F598" s="3"/>
      <c r="G598" s="3"/>
      <c r="H598" s="3"/>
      <c r="I598" s="3"/>
      <c r="J598" s="3"/>
      <c r="K598" s="3"/>
      <c r="L598" s="3"/>
      <c r="M598" s="3"/>
      <c r="N598" s="3"/>
      <c r="O598" s="3"/>
      <c r="P598" s="3"/>
      <c r="Q598" s="3"/>
      <c r="Y598" s="501"/>
      <c r="BI598" s="106"/>
      <c r="BJ598" s="106"/>
      <c r="BK598" s="106"/>
      <c r="BL598" s="106"/>
      <c r="BM598" s="106"/>
      <c r="BN598" s="106"/>
      <c r="BO598" s="106"/>
    </row>
    <row r="599" spans="2:67" ht="36" customHeight="1" x14ac:dyDescent="0.25">
      <c r="B599" s="24" t="s">
        <v>467</v>
      </c>
      <c r="C599" s="13"/>
      <c r="D599" s="236"/>
      <c r="E599" s="237"/>
      <c r="F599" s="237"/>
      <c r="G599" s="237"/>
      <c r="H599" s="237"/>
      <c r="I599" s="237"/>
      <c r="J599" s="237"/>
      <c r="K599" s="237"/>
      <c r="L599" s="237"/>
      <c r="M599" s="237"/>
      <c r="N599" s="237"/>
      <c r="O599" s="237"/>
      <c r="P599" s="330" t="str">
        <f>IF(ADPT&lt;&gt;ADPT01,AIS_statement32,"")</f>
        <v>Assessment issue not applicable</v>
      </c>
      <c r="Q599" s="258"/>
      <c r="Y599" s="501"/>
      <c r="BI599" s="106"/>
      <c r="BJ599" s="106"/>
      <c r="BK599" s="106"/>
      <c r="BL599" s="106"/>
      <c r="BM599" s="106"/>
      <c r="BN599" s="106"/>
      <c r="BO599" s="106"/>
    </row>
    <row r="600" spans="2:67" x14ac:dyDescent="0.25">
      <c r="B600" s="215"/>
      <c r="C600" s="215"/>
      <c r="D600" s="215"/>
      <c r="E600" s="215"/>
      <c r="F600" s="215"/>
      <c r="G600" s="215"/>
      <c r="H600" s="215"/>
      <c r="I600" s="215"/>
      <c r="J600" s="215"/>
      <c r="K600" s="215"/>
      <c r="L600" s="215"/>
      <c r="M600" s="215"/>
      <c r="N600" s="215"/>
      <c r="O600" s="215"/>
      <c r="P600" s="215"/>
      <c r="Q600" s="215"/>
      <c r="Y600" s="501"/>
      <c r="BI600" s="106"/>
      <c r="BJ600" s="106"/>
      <c r="BK600" s="106"/>
      <c r="BL600" s="106"/>
      <c r="BM600" s="106"/>
      <c r="BN600" s="106"/>
      <c r="BO600" s="106"/>
    </row>
    <row r="601" spans="2:67" x14ac:dyDescent="0.25">
      <c r="B601" s="222"/>
      <c r="C601" s="222"/>
      <c r="D601" s="221"/>
      <c r="E601" s="221"/>
      <c r="F601" s="212" t="s">
        <v>284</v>
      </c>
      <c r="G601" s="215"/>
      <c r="H601" s="216" t="str">
        <f>IF(Ene08_30=AIS_statement32,AIS_NA,2)</f>
        <v>N/A</v>
      </c>
      <c r="J601" s="222"/>
      <c r="K601" s="222"/>
      <c r="L601" s="222"/>
      <c r="M601" s="222"/>
      <c r="N601" s="212" t="s">
        <v>285</v>
      </c>
      <c r="P601" s="217" t="str">
        <f>IF(Ene08_30=AIS_statement32,AIS_NA,(BP_34/BP_03)*Ene08_credits)</f>
        <v>N/A</v>
      </c>
      <c r="Q601" s="217"/>
      <c r="Y601" s="501"/>
      <c r="BI601" s="106"/>
      <c r="BJ601" s="106"/>
      <c r="BK601" s="106"/>
      <c r="BL601" s="106"/>
      <c r="BM601" s="106"/>
      <c r="BN601" s="106"/>
      <c r="BO601" s="106"/>
    </row>
    <row r="602" spans="2:67" ht="3.75" customHeight="1" x14ac:dyDescent="0.25">
      <c r="Y602" s="501"/>
      <c r="BI602" s="106"/>
      <c r="BJ602" s="106"/>
      <c r="BK602" s="106"/>
      <c r="BL602" s="106"/>
      <c r="BM602" s="106"/>
      <c r="BN602" s="106"/>
      <c r="BO602" s="106"/>
    </row>
    <row r="603" spans="2:67" x14ac:dyDescent="0.25">
      <c r="B603" s="222"/>
      <c r="C603" s="222"/>
      <c r="D603" s="221"/>
      <c r="E603" s="221"/>
      <c r="F603" s="212" t="s">
        <v>286</v>
      </c>
      <c r="G603" s="215"/>
      <c r="H603" s="216" t="str">
        <f>IF(Ene08_30=AIS_statement32,AIS_NA,0)</f>
        <v>N/A</v>
      </c>
      <c r="J603" s="221"/>
      <c r="K603" s="221"/>
      <c r="L603" s="221"/>
      <c r="M603" s="221"/>
      <c r="N603" s="212" t="s">
        <v>287</v>
      </c>
      <c r="O603" s="215"/>
      <c r="P603" s="216" t="str">
        <f>IF(Ene08_30=AIS_statement32,AIS_NA,AIS_No)</f>
        <v>N/A</v>
      </c>
      <c r="Q603" s="216"/>
      <c r="Y603" s="501"/>
      <c r="BI603" s="106"/>
      <c r="BJ603" s="106"/>
      <c r="BK603" s="106"/>
      <c r="BL603" s="106"/>
      <c r="BM603" s="106"/>
      <c r="BN603" s="106"/>
      <c r="BO603" s="106"/>
    </row>
    <row r="604" spans="2:67" ht="47.25" customHeight="1" x14ac:dyDescent="0.25">
      <c r="B604" s="23" t="s">
        <v>429</v>
      </c>
      <c r="C604" s="256"/>
      <c r="D604" s="257"/>
      <c r="E604" s="256"/>
      <c r="F604" s="258"/>
      <c r="G604" s="23"/>
      <c r="H604" s="23"/>
      <c r="I604" s="23"/>
      <c r="J604" s="219" t="s">
        <v>468</v>
      </c>
      <c r="K604" s="219"/>
      <c r="L604" s="220" t="s">
        <v>469</v>
      </c>
      <c r="R604" s="744" t="s">
        <v>470</v>
      </c>
      <c r="S604" s="744"/>
      <c r="T604" s="744"/>
      <c r="U604" s="744"/>
      <c r="V604" s="744"/>
      <c r="W604" s="744"/>
      <c r="Y604" s="501"/>
      <c r="BI604" s="106"/>
      <c r="BJ604" s="106"/>
      <c r="BK604" s="106"/>
      <c r="BL604" s="106"/>
      <c r="BM604" s="106"/>
      <c r="BN604" s="106"/>
      <c r="BO604" s="106"/>
    </row>
    <row r="605" spans="2:67" ht="3" customHeight="1" x14ac:dyDescent="0.25">
      <c r="B605" s="215"/>
      <c r="C605" s="218"/>
      <c r="D605" s="215"/>
      <c r="E605" s="218"/>
      <c r="F605" s="244"/>
      <c r="G605" s="215"/>
      <c r="J605" s="245"/>
      <c r="K605" s="245"/>
      <c r="L605" s="215"/>
      <c r="M605" s="215"/>
      <c r="N605" s="246"/>
      <c r="O605" s="218"/>
      <c r="R605" s="744"/>
      <c r="S605" s="744"/>
      <c r="T605" s="744"/>
      <c r="U605" s="744"/>
      <c r="V605" s="744"/>
      <c r="W605" s="744"/>
      <c r="Y605" s="501"/>
      <c r="BI605" s="106"/>
      <c r="BJ605" s="106"/>
      <c r="BK605" s="106"/>
      <c r="BL605" s="106"/>
      <c r="BM605" s="106"/>
      <c r="BN605" s="106"/>
      <c r="BO605" s="106"/>
    </row>
    <row r="606" spans="2:67" x14ac:dyDescent="0.25">
      <c r="B606" s="212"/>
      <c r="C606" s="221"/>
      <c r="D606" s="221"/>
      <c r="E606" s="221"/>
      <c r="F606" s="221"/>
      <c r="G606" s="221"/>
      <c r="H606" s="212" t="s">
        <v>471</v>
      </c>
      <c r="J606" s="223"/>
      <c r="K606" s="215"/>
      <c r="L606" s="223"/>
      <c r="M606" s="215"/>
      <c r="O606" s="215"/>
      <c r="R606" s="209" t="str">
        <f>IF(OR(AND(Ene08_01=AIS_No,Ene08_09=AIS_Yes),AND(Ene08_02=AIS_No,Ene08_10=AIS_Yes),AND(Ene08_03=AIS_No,Ene08_11=AIS_Yes),AND(Ene08_04=AIS_No,Ene08_12=AIS_Yes),AND(Ene08_05=AIS_No,Ene08_13=AIS_Yes),AND(Ene08_06=AIS_No,Ene08_14=AIS_Yes),AND(Ene08_07=AIS_No,Ene08_15=AIS_Yes),AND(Ene08_08=AIS_No,Ene08_16=AIS_Yes)),AIS_statement35,"")</f>
        <v/>
      </c>
      <c r="Y606" s="501"/>
      <c r="BI606" s="106"/>
      <c r="BJ606" s="106"/>
      <c r="BK606" s="106"/>
      <c r="BL606" s="106"/>
      <c r="BM606" s="106"/>
      <c r="BN606" s="106"/>
      <c r="BO606" s="106"/>
    </row>
    <row r="607" spans="2:67" x14ac:dyDescent="0.25">
      <c r="B607" s="212"/>
      <c r="C607" s="221"/>
      <c r="D607" s="221"/>
      <c r="E607" s="221"/>
      <c r="F607" s="221"/>
      <c r="G607" s="221"/>
      <c r="H607" s="212" t="s">
        <v>472</v>
      </c>
      <c r="J607" s="223"/>
      <c r="K607" s="215"/>
      <c r="L607" s="223"/>
      <c r="M607" s="215"/>
      <c r="N607" s="202"/>
      <c r="O607" s="215"/>
      <c r="Y607" s="501"/>
      <c r="BI607" s="106"/>
      <c r="BJ607" s="106"/>
      <c r="BK607" s="106"/>
      <c r="BL607" s="106"/>
      <c r="BM607" s="106"/>
      <c r="BN607" s="106"/>
      <c r="BO607" s="106"/>
    </row>
    <row r="608" spans="2:67" x14ac:dyDescent="0.25">
      <c r="B608" s="212"/>
      <c r="C608" s="221"/>
      <c r="D608" s="221"/>
      <c r="E608" s="221"/>
      <c r="F608" s="221"/>
      <c r="G608" s="221"/>
      <c r="H608" s="212" t="s">
        <v>473</v>
      </c>
      <c r="J608" s="223"/>
      <c r="K608" s="215"/>
      <c r="L608" s="223"/>
      <c r="M608" s="215"/>
      <c r="N608" s="202"/>
      <c r="O608" s="215"/>
      <c r="Y608" s="501"/>
      <c r="BI608" s="106"/>
      <c r="BJ608" s="106"/>
      <c r="BK608" s="106"/>
      <c r="BL608" s="106"/>
      <c r="BM608" s="106"/>
      <c r="BN608" s="106"/>
      <c r="BO608" s="106"/>
    </row>
    <row r="609" spans="2:67" x14ac:dyDescent="0.25">
      <c r="B609" s="212"/>
      <c r="C609" s="221"/>
      <c r="D609" s="221"/>
      <c r="E609" s="221"/>
      <c r="F609" s="221"/>
      <c r="G609" s="221"/>
      <c r="H609" s="212" t="s">
        <v>474</v>
      </c>
      <c r="J609" s="223"/>
      <c r="K609" s="215"/>
      <c r="L609" s="223"/>
      <c r="M609" s="215"/>
      <c r="N609" s="202"/>
      <c r="O609" s="215"/>
      <c r="Y609" s="501"/>
      <c r="BI609" s="106"/>
      <c r="BJ609" s="106"/>
      <c r="BK609" s="106"/>
      <c r="BL609" s="106"/>
      <c r="BM609" s="106"/>
      <c r="BN609" s="106"/>
      <c r="BO609" s="106"/>
    </row>
    <row r="610" spans="2:67" x14ac:dyDescent="0.25">
      <c r="B610" s="212"/>
      <c r="C610" s="221"/>
      <c r="D610" s="221"/>
      <c r="E610" s="221"/>
      <c r="F610" s="221"/>
      <c r="G610" s="221"/>
      <c r="H610" s="212" t="s">
        <v>475</v>
      </c>
      <c r="J610" s="223"/>
      <c r="K610" s="215"/>
      <c r="L610" s="223"/>
      <c r="M610" s="215"/>
      <c r="N610" s="284" t="s">
        <v>476</v>
      </c>
      <c r="O610" s="215"/>
      <c r="Y610" s="501"/>
      <c r="BI610" s="106"/>
      <c r="BJ610" s="106"/>
      <c r="BK610" s="106"/>
      <c r="BL610" s="106"/>
      <c r="BM610" s="106"/>
      <c r="BN610" s="106"/>
      <c r="BO610" s="106"/>
    </row>
    <row r="611" spans="2:67" x14ac:dyDescent="0.25">
      <c r="B611" s="212"/>
      <c r="C611" s="221"/>
      <c r="D611" s="221"/>
      <c r="E611" s="221"/>
      <c r="F611" s="221"/>
      <c r="G611" s="221"/>
      <c r="H611" s="212" t="s">
        <v>477</v>
      </c>
      <c r="J611" s="223"/>
      <c r="K611" s="215"/>
      <c r="L611" s="223"/>
      <c r="M611" s="215"/>
      <c r="N611" s="285"/>
      <c r="O611" s="215"/>
      <c r="P611" s="202"/>
      <c r="Q611" s="202"/>
      <c r="R611" s="709" t="str">
        <f>IF(AND(Ene08_14=AIS_Yes,Ene08_09&lt;&gt;AIS_Yes,Ene08_10&lt;&gt;AIS_Yes,Ene08_11&lt;&gt;AIS_Yes,Ene08_12&lt;&gt;AIS_Yes,Ene08_13&lt;&gt;AIS_Yes,Ene08_15&lt;&gt;AIS_Yes,Ene08_16&lt;&gt;AIS_Yes),AIS_statement34,"")</f>
        <v/>
      </c>
      <c r="S611" s="709"/>
      <c r="T611" s="709"/>
      <c r="U611" s="709"/>
      <c r="V611" s="709"/>
      <c r="W611" s="709"/>
      <c r="X611" s="709"/>
      <c r="Y611" s="501"/>
      <c r="BI611" s="106"/>
      <c r="BJ611" s="106"/>
      <c r="BK611" s="106"/>
      <c r="BL611" s="106"/>
      <c r="BM611" s="106"/>
      <c r="BN611" s="106"/>
      <c r="BO611" s="106"/>
    </row>
    <row r="612" spans="2:67" hidden="1" x14ac:dyDescent="0.25">
      <c r="B612" s="212"/>
      <c r="C612" s="221"/>
      <c r="D612" s="221"/>
      <c r="E612" s="221"/>
      <c r="F612" s="221"/>
      <c r="G612" s="221"/>
      <c r="H612" s="212" t="s">
        <v>478</v>
      </c>
      <c r="J612" s="223"/>
      <c r="K612" s="215"/>
      <c r="L612" s="223"/>
      <c r="M612" s="215"/>
      <c r="N612" s="202"/>
      <c r="O612" s="215"/>
      <c r="R612" s="709"/>
      <c r="S612" s="709"/>
      <c r="T612" s="709"/>
      <c r="U612" s="709"/>
      <c r="V612" s="709"/>
      <c r="W612" s="709"/>
      <c r="X612" s="709"/>
      <c r="Y612" s="501"/>
      <c r="BI612" s="106"/>
      <c r="BJ612" s="106"/>
      <c r="BK612" s="106"/>
      <c r="BL612" s="106"/>
      <c r="BM612" s="106"/>
      <c r="BN612" s="106"/>
      <c r="BO612" s="106"/>
    </row>
    <row r="613" spans="2:67" x14ac:dyDescent="0.25">
      <c r="B613" s="212"/>
      <c r="C613" s="221"/>
      <c r="D613" s="221"/>
      <c r="E613" s="221"/>
      <c r="F613" s="221"/>
      <c r="G613" s="221"/>
      <c r="H613" s="212" t="s">
        <v>479</v>
      </c>
      <c r="J613" s="223"/>
      <c r="K613" s="215"/>
      <c r="L613" s="223"/>
      <c r="M613" s="215"/>
      <c r="N613" s="202"/>
      <c r="O613" s="215"/>
      <c r="Y613" s="501"/>
      <c r="BI613" s="106"/>
      <c r="BJ613" s="106"/>
      <c r="BK613" s="106"/>
      <c r="BL613" s="106"/>
      <c r="BM613" s="106"/>
      <c r="BN613" s="106"/>
      <c r="BO613" s="106"/>
    </row>
    <row r="614" spans="2:67" ht="37.5" customHeight="1" x14ac:dyDescent="0.25">
      <c r="J614" s="219" t="s">
        <v>480</v>
      </c>
      <c r="K614" s="23"/>
      <c r="L614" s="220" t="s">
        <v>290</v>
      </c>
      <c r="M614" s="23"/>
      <c r="N614" s="220" t="s">
        <v>291</v>
      </c>
      <c r="O614" s="257"/>
      <c r="P614" s="220"/>
      <c r="Q614" s="220"/>
      <c r="Y614" s="501"/>
      <c r="BI614" s="106"/>
      <c r="BJ614" s="106"/>
      <c r="BK614" s="106"/>
      <c r="BL614" s="106"/>
      <c r="BM614" s="106"/>
      <c r="BN614" s="106"/>
      <c r="BO614" s="106"/>
    </row>
    <row r="615" spans="2:67" ht="3" customHeight="1" x14ac:dyDescent="0.25">
      <c r="J615" s="273"/>
      <c r="L615" s="286"/>
      <c r="N615" s="286"/>
      <c r="O615" s="215"/>
      <c r="P615" s="286"/>
      <c r="Q615" s="286"/>
      <c r="Y615" s="501"/>
      <c r="BI615" s="106"/>
      <c r="BJ615" s="106"/>
      <c r="BK615" s="106"/>
      <c r="BL615" s="106"/>
      <c r="BM615" s="106"/>
      <c r="BN615" s="106"/>
      <c r="BO615" s="106"/>
    </row>
    <row r="616" spans="2:67" x14ac:dyDescent="0.25">
      <c r="B616" s="212"/>
      <c r="C616" s="221"/>
      <c r="D616" s="221"/>
      <c r="E616" s="221"/>
      <c r="F616" s="221"/>
      <c r="G616" s="221"/>
      <c r="H616" s="212" t="s">
        <v>481</v>
      </c>
      <c r="J616" s="223"/>
      <c r="K616" s="215"/>
      <c r="L616" s="224" t="str">
        <f>IF(Ene08_30=AIS_statement32,AIS_NA,2)</f>
        <v>N/A</v>
      </c>
      <c r="N616" s="224" t="str">
        <f>IF(Ene08_30=AIS_statement32,AIS_NA,IF(AND(Ene08_24=AIS_statement34,Ene08_22=AIS_option24,Ene08_17=AIS_Yes,Ene08_Maj=1),1,IF(AND(Ene08_17=AIS_Yes,Ene08_Maj=1),Ene08_18,0)))</f>
        <v>N/A</v>
      </c>
      <c r="O616" s="215"/>
      <c r="P616" s="400"/>
      <c r="Q616" s="400"/>
      <c r="R616" s="732" t="str">
        <f>IF(AND(Ene08_01=AIS_No,Ene08_02=AIS_No,Ene08_03=AIS_No,Ene08_04=AIS_No,Ene08_05=AIS_No,Ene08_06=AIS_No,Ene08_07=AIS_No,Ene08_08=AIS_No,Ene08_17=AIS_Yes),AIS_statement36,IF(AND(OR(Ene08_01=AIS_Yes,Ene08_02=AIS_Yes,Ene08_03=AIS_Yes,Ene08_04=AIS_Yes,Ene08_05=AIS_Yes,Ene08_06=AIS_Yes,Ene08_07=AIS_Yes,Ene08_08=AIS_Yes),(AND(Ene08_09=AIS_No,Ene08_10=AIS_No,Ene08_11=AIS_No,Ene08_12=AIS_No,Ene08_13=AIS_No,Ene08_14=AIS_No,Ene08_15=AIS_No,Ene08_16=AIS_No))),AIS_statement36,""))</f>
        <v/>
      </c>
      <c r="S616" s="732"/>
      <c r="T616" s="732"/>
      <c r="U616" s="732"/>
      <c r="V616" s="732"/>
      <c r="W616" s="732"/>
      <c r="Y616" s="501"/>
      <c r="AA616" s="514"/>
      <c r="AB616" s="514"/>
      <c r="BI616" s="106"/>
      <c r="BJ616" s="106"/>
      <c r="BK616" s="106"/>
      <c r="BL616" s="106"/>
      <c r="BM616" s="106"/>
      <c r="BN616" s="106"/>
      <c r="BO616" s="106"/>
    </row>
    <row r="617" spans="2:67" x14ac:dyDescent="0.25">
      <c r="R617" s="732"/>
      <c r="S617" s="732"/>
      <c r="T617" s="732"/>
      <c r="U617" s="732"/>
      <c r="V617" s="732"/>
      <c r="W617" s="732"/>
      <c r="Y617" s="501"/>
      <c r="BI617" s="106"/>
      <c r="BJ617" s="106"/>
      <c r="BK617" s="106"/>
      <c r="BL617" s="106"/>
      <c r="BM617" s="106"/>
      <c r="BN617" s="106"/>
      <c r="BO617" s="106"/>
    </row>
    <row r="618" spans="2:67" ht="15" customHeight="1" x14ac:dyDescent="0.25">
      <c r="B618" s="221"/>
      <c r="C618" s="222"/>
      <c r="D618" s="222"/>
      <c r="E618" s="221"/>
      <c r="F618" s="212" t="s">
        <v>296</v>
      </c>
      <c r="G618" s="215"/>
      <c r="H618" s="216" t="str">
        <f>Ene08_19</f>
        <v>N/A</v>
      </c>
      <c r="J618" s="203"/>
      <c r="K618" s="215"/>
      <c r="M618" s="215"/>
      <c r="N618" s="215"/>
      <c r="O618" s="215"/>
      <c r="P618" s="215"/>
      <c r="Q618" s="215"/>
      <c r="R618" s="732"/>
      <c r="S618" s="732"/>
      <c r="T618" s="732"/>
      <c r="U618" s="732"/>
      <c r="V618" s="732"/>
      <c r="W618" s="732"/>
      <c r="Y618" s="501"/>
      <c r="BI618" s="106"/>
      <c r="BJ618" s="106"/>
      <c r="BK618" s="106"/>
      <c r="BL618" s="106"/>
      <c r="BM618" s="106"/>
      <c r="BN618" s="106"/>
      <c r="BO618" s="106"/>
    </row>
    <row r="619" spans="2:67" ht="3" customHeight="1" x14ac:dyDescent="0.25">
      <c r="B619" s="215"/>
      <c r="E619" s="215"/>
      <c r="F619" s="225"/>
      <c r="G619" s="215"/>
      <c r="H619" s="252"/>
      <c r="J619" s="203"/>
      <c r="K619" s="215"/>
      <c r="M619" s="215"/>
      <c r="N619" s="215"/>
      <c r="O619" s="215"/>
      <c r="P619" s="215"/>
      <c r="Q619" s="215"/>
      <c r="R619" s="317"/>
      <c r="S619" s="56"/>
      <c r="T619" s="56"/>
      <c r="U619" s="56"/>
      <c r="V619" s="56"/>
      <c r="W619" s="56"/>
      <c r="Y619" s="501"/>
      <c r="BI619" s="106"/>
      <c r="BJ619" s="106"/>
      <c r="BK619" s="106"/>
      <c r="BL619" s="106"/>
      <c r="BM619" s="106"/>
      <c r="BN619" s="106"/>
      <c r="BO619" s="106"/>
    </row>
    <row r="620" spans="2:67" ht="15" customHeight="1" x14ac:dyDescent="0.25">
      <c r="B620" s="221"/>
      <c r="C620" s="222"/>
      <c r="D620" s="222"/>
      <c r="E620" s="221"/>
      <c r="F620" s="212" t="s">
        <v>297</v>
      </c>
      <c r="G620" s="215"/>
      <c r="H620" s="217" t="str">
        <f>IF(Ene08_30=AIS_statement32,AIS_NA,(Ene08_27/Ene08_credits)*Ene08_tot)</f>
        <v>N/A</v>
      </c>
      <c r="J620" s="203"/>
      <c r="K620" s="215"/>
      <c r="M620" s="215"/>
      <c r="N620" s="215"/>
      <c r="O620" s="215"/>
      <c r="P620" s="215"/>
      <c r="Q620" s="215"/>
      <c r="R620" s="317"/>
      <c r="S620" s="56"/>
      <c r="T620" s="56"/>
      <c r="U620" s="56"/>
      <c r="V620" s="56"/>
      <c r="W620" s="56"/>
      <c r="Y620" s="501"/>
      <c r="BI620" s="106"/>
      <c r="BJ620" s="106"/>
      <c r="BK620" s="106"/>
      <c r="BL620" s="106"/>
      <c r="BM620" s="106"/>
      <c r="BN620" s="106"/>
      <c r="BO620" s="106"/>
    </row>
    <row r="621" spans="2:67" ht="3" customHeight="1" x14ac:dyDescent="0.25">
      <c r="K621" s="215"/>
      <c r="M621" s="215"/>
      <c r="N621" s="215"/>
      <c r="O621" s="215"/>
      <c r="P621" s="215"/>
      <c r="Q621" s="215"/>
      <c r="Y621" s="501"/>
      <c r="BI621" s="106"/>
      <c r="BJ621" s="106"/>
      <c r="BK621" s="106"/>
      <c r="BL621" s="106"/>
      <c r="BM621" s="106"/>
      <c r="BN621" s="106"/>
      <c r="BO621" s="106"/>
    </row>
    <row r="622" spans="2:67" x14ac:dyDescent="0.25">
      <c r="B622" s="221"/>
      <c r="C622" s="222"/>
      <c r="D622" s="222"/>
      <c r="E622" s="221"/>
      <c r="F622" s="212" t="s">
        <v>298</v>
      </c>
      <c r="H622" s="216" t="s">
        <v>300</v>
      </c>
      <c r="K622" s="215"/>
      <c r="M622" s="215"/>
      <c r="N622" s="264"/>
      <c r="O622" s="215"/>
      <c r="P622" s="215"/>
      <c r="Q622" s="215"/>
      <c r="Y622" s="501"/>
      <c r="BI622" s="106"/>
      <c r="BJ622" s="106"/>
      <c r="BK622" s="106"/>
      <c r="BL622" s="106"/>
      <c r="BM622" s="106"/>
      <c r="BN622" s="106"/>
      <c r="BO622" s="106"/>
    </row>
    <row r="623" spans="2:67" ht="3" customHeight="1" x14ac:dyDescent="0.25">
      <c r="K623" s="215"/>
      <c r="M623" s="215"/>
      <c r="N623" s="215"/>
      <c r="O623" s="215"/>
      <c r="P623" s="215"/>
      <c r="Q623" s="215"/>
      <c r="Y623" s="501"/>
      <c r="BI623" s="106"/>
      <c r="BJ623" s="106"/>
      <c r="BK623" s="106"/>
      <c r="BL623" s="106"/>
      <c r="BM623" s="106"/>
      <c r="BN623" s="106"/>
      <c r="BO623" s="106"/>
    </row>
    <row r="624" spans="2:67" x14ac:dyDescent="0.25">
      <c r="B624" s="221"/>
      <c r="C624" s="222"/>
      <c r="D624" s="221"/>
      <c r="E624" s="221"/>
      <c r="F624" s="212" t="s">
        <v>299</v>
      </c>
      <c r="H624" s="216" t="s">
        <v>300</v>
      </c>
      <c r="K624" s="215"/>
      <c r="M624" s="215"/>
      <c r="N624" s="215"/>
      <c r="O624" s="215"/>
      <c r="P624" s="215"/>
      <c r="Q624" s="215"/>
      <c r="Y624" s="501"/>
      <c r="BI624" s="106"/>
      <c r="BJ624" s="106"/>
      <c r="BK624" s="106"/>
      <c r="BL624" s="106"/>
      <c r="BM624" s="106"/>
      <c r="BN624" s="106"/>
      <c r="BO624" s="106"/>
    </row>
    <row r="625" spans="2:67" x14ac:dyDescent="0.25">
      <c r="M625" s="215"/>
      <c r="N625" s="215"/>
      <c r="O625" s="215"/>
      <c r="P625" s="215"/>
      <c r="Q625" s="215"/>
      <c r="Y625" s="501"/>
      <c r="BI625" s="106"/>
      <c r="BJ625" s="106"/>
      <c r="BK625" s="106"/>
      <c r="BL625" s="106"/>
      <c r="BM625" s="106"/>
      <c r="BN625" s="106"/>
      <c r="BO625" s="106"/>
    </row>
    <row r="626" spans="2:67" x14ac:dyDescent="0.25">
      <c r="B626" s="257" t="s">
        <v>301</v>
      </c>
      <c r="C626" s="215"/>
      <c r="D626" s="215"/>
      <c r="E626" s="215"/>
      <c r="F626" s="225"/>
      <c r="G626" s="215"/>
      <c r="H626" s="215"/>
      <c r="I626" s="215"/>
      <c r="J626" s="215"/>
      <c r="K626" s="215"/>
      <c r="L626" s="215"/>
      <c r="M626" s="215"/>
      <c r="N626" s="215"/>
      <c r="O626" s="215"/>
      <c r="P626" s="215"/>
      <c r="Q626" s="215"/>
      <c r="Y626" s="501"/>
      <c r="BI626" s="106"/>
      <c r="BJ626" s="106"/>
      <c r="BK626" s="106"/>
      <c r="BL626" s="106"/>
      <c r="BM626" s="106"/>
      <c r="BN626" s="106"/>
      <c r="BO626" s="106"/>
    </row>
    <row r="627" spans="2:67" ht="159.94999999999999" customHeight="1" x14ac:dyDescent="0.25">
      <c r="B627" s="736"/>
      <c r="C627" s="737"/>
      <c r="D627" s="737"/>
      <c r="E627" s="737"/>
      <c r="F627" s="737"/>
      <c r="G627" s="737"/>
      <c r="H627" s="737"/>
      <c r="I627" s="737"/>
      <c r="J627" s="737"/>
      <c r="K627" s="737"/>
      <c r="L627" s="737"/>
      <c r="M627" s="737"/>
      <c r="N627" s="737"/>
      <c r="O627" s="737"/>
      <c r="P627" s="737"/>
      <c r="Q627" s="415"/>
      <c r="Y627" s="501"/>
      <c r="BI627" s="106"/>
      <c r="BJ627" s="106"/>
      <c r="BK627" s="106"/>
      <c r="BL627" s="106"/>
      <c r="BM627" s="106"/>
      <c r="BN627" s="106"/>
      <c r="BO627" s="106"/>
    </row>
    <row r="628" spans="2:67" ht="36" customHeight="1" x14ac:dyDescent="0.25">
      <c r="B628" s="27" t="s">
        <v>482</v>
      </c>
      <c r="C628" s="13"/>
      <c r="D628" s="236"/>
      <c r="E628" s="237"/>
      <c r="F628" s="237"/>
      <c r="G628" s="237"/>
      <c r="H628" s="237"/>
      <c r="I628" s="237"/>
      <c r="J628" s="237"/>
      <c r="K628" s="237"/>
      <c r="L628" s="237"/>
      <c r="M628" s="237"/>
      <c r="N628" s="237"/>
      <c r="O628" s="237"/>
      <c r="P628" s="329" t="str">
        <f>IF(OR(ADPT=ADPT02,ADPT=ADPT03,Ene09_05=AIS_Yes),AIS_statement32,IF(ADBT_sub01=ADBT_sub54,AIS_statement32,IF(OR(ADBT0=ADBT8,ADBT0=ADBT9),"",AIS_statement32)))</f>
        <v>Assessment issue not applicable</v>
      </c>
      <c r="Q628" s="240"/>
      <c r="S628" s="57"/>
      <c r="T628" s="57"/>
      <c r="U628" s="57"/>
      <c r="V628" s="57"/>
      <c r="W628" s="57"/>
      <c r="Y628" s="501"/>
      <c r="BI628" s="106"/>
      <c r="BJ628" s="106"/>
      <c r="BK628" s="106"/>
      <c r="BL628" s="106"/>
      <c r="BM628" s="106"/>
      <c r="BN628" s="106"/>
      <c r="BO628" s="106"/>
    </row>
    <row r="629" spans="2:67" x14ac:dyDescent="0.25">
      <c r="B629" s="215"/>
      <c r="C629" s="215"/>
      <c r="D629" s="215"/>
      <c r="E629" s="215"/>
      <c r="F629" s="215"/>
      <c r="G629" s="215"/>
      <c r="H629" s="215"/>
      <c r="I629" s="215"/>
      <c r="J629" s="215"/>
      <c r="K629" s="215"/>
      <c r="L629" s="215"/>
      <c r="M629" s="215"/>
      <c r="N629" s="215"/>
      <c r="O629" s="215"/>
      <c r="P629" s="215"/>
      <c r="Q629" s="215"/>
      <c r="Y629" s="501"/>
      <c r="BI629" s="106"/>
      <c r="BJ629" s="106"/>
      <c r="BK629" s="106"/>
      <c r="BL629" s="106"/>
      <c r="BM629" s="106"/>
      <c r="BN629" s="106"/>
      <c r="BO629" s="106"/>
    </row>
    <row r="630" spans="2:67" x14ac:dyDescent="0.25">
      <c r="B630" s="222"/>
      <c r="C630" s="222"/>
      <c r="D630" s="221"/>
      <c r="E630" s="221"/>
      <c r="F630" s="212" t="s">
        <v>284</v>
      </c>
      <c r="G630" s="215"/>
      <c r="H630" s="216" t="str">
        <f>IF(ADPT=ADPT01,Ene09_Tot_Err,AIS_NA)</f>
        <v>N/A</v>
      </c>
      <c r="J630" s="222"/>
      <c r="K630" s="222"/>
      <c r="L630" s="222"/>
      <c r="M630" s="222"/>
      <c r="N630" s="212" t="s">
        <v>285</v>
      </c>
      <c r="P630" s="217" t="str">
        <f>IF(Ene09_credits=AIS_NA,AIS_NA,(BP_34/BP_03)*Ene09_credits)</f>
        <v>N/A</v>
      </c>
      <c r="Q630" s="217"/>
      <c r="R630" s="732" t="str">
        <f>IF(Ene09_05=AIS_Yes,"This issue is not applicable due to the ligature risk for residents.",IF(Ene09_06=AIS_statement32,AIS_statement37,""))</f>
        <v>Note:  This issue is not applicable to the building type and/or sub-building type selected in the Assessment Details page.</v>
      </c>
      <c r="S630" s="732"/>
      <c r="T630" s="732"/>
      <c r="U630" s="732"/>
      <c r="V630" s="732"/>
      <c r="W630" s="732"/>
      <c r="X630" s="732"/>
      <c r="Y630" s="501"/>
      <c r="BI630" s="106"/>
      <c r="BJ630" s="106"/>
      <c r="BK630" s="106"/>
      <c r="BL630" s="106"/>
      <c r="BM630" s="106"/>
      <c r="BN630" s="106"/>
      <c r="BO630" s="106"/>
    </row>
    <row r="631" spans="2:67" ht="3.75" customHeight="1" x14ac:dyDescent="0.25">
      <c r="R631" s="732"/>
      <c r="S631" s="732"/>
      <c r="T631" s="732"/>
      <c r="U631" s="732"/>
      <c r="V631" s="732"/>
      <c r="W631" s="732"/>
      <c r="X631" s="732"/>
      <c r="Y631" s="501"/>
      <c r="BI631" s="106"/>
      <c r="BJ631" s="106"/>
      <c r="BK631" s="106"/>
      <c r="BL631" s="106"/>
      <c r="BM631" s="106"/>
      <c r="BN631" s="106"/>
      <c r="BO631" s="106"/>
    </row>
    <row r="632" spans="2:67" x14ac:dyDescent="0.25">
      <c r="B632" s="222"/>
      <c r="C632" s="222"/>
      <c r="D632" s="221"/>
      <c r="E632" s="221"/>
      <c r="F632" s="212" t="s">
        <v>286</v>
      </c>
      <c r="G632" s="215"/>
      <c r="H632" s="216" t="str">
        <f>IF(Ene09_06=AIS_statement32,AIS_NA,IF(OR(ADBT0=ADBT8),0,AIS_NA))</f>
        <v>N/A</v>
      </c>
      <c r="J632" s="221"/>
      <c r="K632" s="221"/>
      <c r="L632" s="221"/>
      <c r="M632" s="221"/>
      <c r="N632" s="212" t="s">
        <v>287</v>
      </c>
      <c r="O632" s="215"/>
      <c r="P632" s="216" t="str">
        <f>IF(Ene09_06=AIS_statement32,AIS_NA,IF(OR(ADBT0=ADBT8),AIS_No,AIS_NA))</f>
        <v>N/A</v>
      </c>
      <c r="Q632" s="216"/>
      <c r="R632" s="732"/>
      <c r="S632" s="732"/>
      <c r="T632" s="732"/>
      <c r="U632" s="732"/>
      <c r="V632" s="732"/>
      <c r="W632" s="732"/>
      <c r="X632" s="732"/>
      <c r="Y632" s="501"/>
      <c r="BI632" s="106"/>
      <c r="BJ632" s="106"/>
      <c r="BK632" s="106"/>
      <c r="BL632" s="106"/>
      <c r="BM632" s="106"/>
      <c r="BN632" s="106"/>
      <c r="BO632" s="106"/>
    </row>
    <row r="633" spans="2:67" ht="47.25" customHeight="1" x14ac:dyDescent="0.25">
      <c r="B633" s="238" t="s">
        <v>429</v>
      </c>
      <c r="C633" s="239"/>
      <c r="D633" s="235"/>
      <c r="E633" s="239"/>
      <c r="F633" s="240"/>
      <c r="G633" s="238"/>
      <c r="H633" s="238"/>
      <c r="I633" s="238"/>
      <c r="J633" s="241" t="s">
        <v>289</v>
      </c>
      <c r="K633" s="241"/>
      <c r="L633" s="242" t="s">
        <v>290</v>
      </c>
      <c r="N633" s="242" t="s">
        <v>291</v>
      </c>
      <c r="P633" s="242"/>
      <c r="Q633" s="242"/>
      <c r="Y633" s="501"/>
      <c r="BI633" s="106"/>
      <c r="BJ633" s="106"/>
      <c r="BK633" s="106"/>
      <c r="BL633" s="106"/>
      <c r="BM633" s="106"/>
      <c r="BN633" s="106"/>
      <c r="BO633" s="106"/>
    </row>
    <row r="634" spans="2:67" ht="3" customHeight="1" x14ac:dyDescent="0.25">
      <c r="B634" s="215"/>
      <c r="C634" s="218"/>
      <c r="D634" s="215"/>
      <c r="E634" s="218"/>
      <c r="F634" s="244"/>
      <c r="G634" s="215"/>
      <c r="J634" s="245"/>
      <c r="K634" s="245"/>
      <c r="L634" s="215"/>
      <c r="M634" s="215"/>
      <c r="N634" s="246"/>
      <c r="O634" s="218"/>
      <c r="P634" s="242"/>
      <c r="Q634" s="242"/>
      <c r="Y634" s="501"/>
      <c r="BI634" s="106"/>
      <c r="BJ634" s="106"/>
      <c r="BK634" s="106"/>
      <c r="BL634" s="106"/>
      <c r="BM634" s="106"/>
      <c r="BN634" s="106"/>
      <c r="BO634" s="106"/>
    </row>
    <row r="635" spans="2:67" x14ac:dyDescent="0.25">
      <c r="B635" s="221"/>
      <c r="C635" s="221"/>
      <c r="D635" s="221"/>
      <c r="E635" s="221"/>
      <c r="F635" s="212"/>
      <c r="G635" s="221"/>
      <c r="H635" s="212" t="s">
        <v>483</v>
      </c>
      <c r="J635" s="281"/>
      <c r="K635" s="215"/>
      <c r="L635" s="270" t="str">
        <f>IF(Ene09_credits=AIS_NA,AIS_NA,1)</f>
        <v>N/A</v>
      </c>
      <c r="M635" s="215"/>
      <c r="N635" s="270">
        <f>IF(Ene09_06=AIS_statement32,0,IF(Ene09_01=AIS_Yes,Ene09_02,0))</f>
        <v>0</v>
      </c>
      <c r="O635" s="215"/>
      <c r="P635" s="242"/>
      <c r="Q635" s="242"/>
      <c r="Y635" s="501"/>
      <c r="BI635" s="106"/>
      <c r="BJ635" s="106"/>
      <c r="BK635" s="106"/>
      <c r="BL635" s="106"/>
      <c r="BM635" s="106"/>
      <c r="BN635" s="106"/>
      <c r="BO635" s="106"/>
    </row>
    <row r="636" spans="2:67" x14ac:dyDescent="0.25">
      <c r="B636" s="221"/>
      <c r="C636" s="221"/>
      <c r="D636" s="221"/>
      <c r="E636" s="221"/>
      <c r="F636" s="212"/>
      <c r="G636" s="221"/>
      <c r="H636" s="212" t="s">
        <v>484</v>
      </c>
      <c r="J636" s="281"/>
      <c r="K636" s="215"/>
      <c r="L636" s="300"/>
      <c r="M636" s="215"/>
      <c r="N636" s="300"/>
      <c r="O636" s="215"/>
      <c r="P636" s="242"/>
      <c r="Q636" s="242"/>
      <c r="Y636" s="501"/>
      <c r="BI636" s="106"/>
      <c r="BJ636" s="106"/>
      <c r="BK636" s="106"/>
      <c r="BL636" s="106"/>
      <c r="BM636" s="106"/>
      <c r="BN636" s="106"/>
      <c r="BO636" s="106"/>
    </row>
    <row r="637" spans="2:67" x14ac:dyDescent="0.25">
      <c r="Y637" s="501"/>
      <c r="BI637" s="106"/>
      <c r="BJ637" s="106"/>
      <c r="BK637" s="106"/>
      <c r="BL637" s="106"/>
      <c r="BM637" s="106"/>
      <c r="BN637" s="106"/>
      <c r="BO637" s="106"/>
    </row>
    <row r="638" spans="2:67" x14ac:dyDescent="0.25">
      <c r="B638" s="221"/>
      <c r="C638" s="222"/>
      <c r="D638" s="222"/>
      <c r="E638" s="221"/>
      <c r="F638" s="212" t="s">
        <v>296</v>
      </c>
      <c r="G638" s="215"/>
      <c r="H638" s="216" t="str">
        <f>IF(Ene09_credits=AIS_NA,AIS_NA,Ene09_03)</f>
        <v>N/A</v>
      </c>
      <c r="J638" s="203"/>
      <c r="K638" s="215"/>
      <c r="M638" s="215"/>
      <c r="N638" s="215"/>
      <c r="O638" s="215"/>
      <c r="P638" s="215"/>
      <c r="Q638" s="215"/>
      <c r="Y638" s="501"/>
      <c r="BI638" s="106"/>
      <c r="BJ638" s="106"/>
      <c r="BK638" s="106"/>
      <c r="BL638" s="106"/>
      <c r="BM638" s="106"/>
      <c r="BN638" s="106"/>
      <c r="BO638" s="106"/>
    </row>
    <row r="639" spans="2:67" ht="3" customHeight="1" x14ac:dyDescent="0.25">
      <c r="B639" s="215"/>
      <c r="E639" s="215"/>
      <c r="F639" s="225"/>
      <c r="G639" s="215"/>
      <c r="H639" s="252"/>
      <c r="J639" s="203"/>
      <c r="K639" s="215"/>
      <c r="M639" s="215"/>
      <c r="N639" s="215"/>
      <c r="O639" s="215"/>
      <c r="P639" s="215"/>
      <c r="Q639" s="215"/>
      <c r="Y639" s="501"/>
      <c r="BI639" s="106"/>
      <c r="BJ639" s="106"/>
      <c r="BK639" s="106"/>
      <c r="BL639" s="106"/>
      <c r="BM639" s="106"/>
      <c r="BN639" s="106"/>
      <c r="BO639" s="106"/>
    </row>
    <row r="640" spans="2:67" x14ac:dyDescent="0.25">
      <c r="B640" s="221"/>
      <c r="C640" s="222"/>
      <c r="D640" s="222"/>
      <c r="E640" s="221"/>
      <c r="F640" s="212" t="s">
        <v>297</v>
      </c>
      <c r="G640" s="215"/>
      <c r="H640" s="217" t="str">
        <f>IF(Ene09_credits=AIS_NA,AIS_NA,IF(Ene09_06=AIS_statement32,AIS_NA,(Ene09_07/Ene09_credits)*Ene09_tot))</f>
        <v>N/A</v>
      </c>
      <c r="J640" s="203"/>
      <c r="K640" s="215"/>
      <c r="M640" s="215"/>
      <c r="N640" s="215"/>
      <c r="O640" s="215"/>
      <c r="P640" s="215"/>
      <c r="Q640" s="215"/>
      <c r="Y640" s="501"/>
      <c r="BI640" s="106"/>
      <c r="BJ640" s="106"/>
      <c r="BK640" s="106"/>
      <c r="BL640" s="106"/>
      <c r="BM640" s="106"/>
      <c r="BN640" s="106"/>
      <c r="BO640" s="106"/>
    </row>
    <row r="641" spans="2:67" ht="3" customHeight="1" x14ac:dyDescent="0.25">
      <c r="K641" s="215"/>
      <c r="M641" s="215"/>
      <c r="N641" s="215"/>
      <c r="O641" s="215"/>
      <c r="P641" s="215"/>
      <c r="Q641" s="215"/>
      <c r="Y641" s="501"/>
      <c r="BI641" s="106"/>
      <c r="BJ641" s="106"/>
      <c r="BK641" s="106"/>
      <c r="BL641" s="106"/>
      <c r="BM641" s="106"/>
      <c r="BN641" s="106"/>
      <c r="BO641" s="106"/>
    </row>
    <row r="642" spans="2:67" x14ac:dyDescent="0.25">
      <c r="B642" s="221"/>
      <c r="C642" s="222"/>
      <c r="D642" s="222"/>
      <c r="E642" s="221"/>
      <c r="F642" s="212" t="s">
        <v>298</v>
      </c>
      <c r="H642" s="216" t="s">
        <v>300</v>
      </c>
      <c r="K642" s="215"/>
      <c r="M642" s="215"/>
      <c r="N642" s="215"/>
      <c r="O642" s="215"/>
      <c r="P642" s="215"/>
      <c r="Q642" s="215"/>
      <c r="Y642" s="501"/>
      <c r="BI642" s="106"/>
      <c r="BJ642" s="106"/>
      <c r="BK642" s="106"/>
      <c r="BL642" s="106"/>
      <c r="BM642" s="106"/>
      <c r="BN642" s="106"/>
      <c r="BO642" s="106"/>
    </row>
    <row r="643" spans="2:67" ht="3" customHeight="1" x14ac:dyDescent="0.25">
      <c r="K643" s="215"/>
      <c r="M643" s="215"/>
      <c r="N643" s="215"/>
      <c r="O643" s="215"/>
      <c r="P643" s="215"/>
      <c r="Q643" s="215"/>
      <c r="Y643" s="501"/>
      <c r="BI643" s="106"/>
      <c r="BJ643" s="106"/>
      <c r="BK643" s="106"/>
      <c r="BL643" s="106"/>
      <c r="BM643" s="106"/>
      <c r="BN643" s="106"/>
      <c r="BO643" s="106"/>
    </row>
    <row r="644" spans="2:67" x14ac:dyDescent="0.25">
      <c r="B644" s="221"/>
      <c r="C644" s="222"/>
      <c r="D644" s="221"/>
      <c r="E644" s="221"/>
      <c r="F644" s="212" t="s">
        <v>299</v>
      </c>
      <c r="H644" s="216" t="s">
        <v>300</v>
      </c>
      <c r="K644" s="215"/>
      <c r="M644" s="215"/>
      <c r="N644" s="215"/>
      <c r="O644" s="215"/>
      <c r="P644" s="215"/>
      <c r="Q644" s="215"/>
      <c r="Y644" s="501"/>
      <c r="BI644" s="106"/>
      <c r="BJ644" s="106"/>
      <c r="BK644" s="106"/>
      <c r="BL644" s="106"/>
      <c r="BM644" s="106"/>
      <c r="BN644" s="106"/>
      <c r="BO644" s="106"/>
    </row>
    <row r="645" spans="2:67" x14ac:dyDescent="0.25">
      <c r="M645" s="215"/>
      <c r="N645" s="215"/>
      <c r="O645" s="215"/>
      <c r="P645" s="215"/>
      <c r="Q645" s="215"/>
      <c r="Y645" s="501"/>
      <c r="BI645" s="106"/>
      <c r="BJ645" s="106"/>
      <c r="BK645" s="106"/>
      <c r="BL645" s="106"/>
      <c r="BM645" s="106"/>
      <c r="BN645" s="106"/>
      <c r="BO645" s="106"/>
    </row>
    <row r="646" spans="2:67" x14ac:dyDescent="0.25">
      <c r="B646" s="235" t="s">
        <v>301</v>
      </c>
      <c r="C646" s="215"/>
      <c r="D646" s="215"/>
      <c r="E646" s="215"/>
      <c r="F646" s="225"/>
      <c r="G646" s="215"/>
      <c r="H646" s="215"/>
      <c r="I646" s="215"/>
      <c r="J646" s="215"/>
      <c r="K646" s="215"/>
      <c r="L646" s="215"/>
      <c r="M646" s="215"/>
      <c r="N646" s="215"/>
      <c r="O646" s="215"/>
      <c r="P646" s="215"/>
      <c r="Q646" s="215"/>
      <c r="Y646" s="501"/>
      <c r="BI646" s="106"/>
      <c r="BJ646" s="106"/>
      <c r="BK646" s="106"/>
      <c r="BL646" s="106"/>
      <c r="BM646" s="106"/>
      <c r="BN646" s="106"/>
      <c r="BO646" s="106"/>
    </row>
    <row r="647" spans="2:67" ht="159.94999999999999" customHeight="1" x14ac:dyDescent="0.25">
      <c r="B647" s="790"/>
      <c r="C647" s="791"/>
      <c r="D647" s="791"/>
      <c r="E647" s="791"/>
      <c r="F647" s="791"/>
      <c r="G647" s="791"/>
      <c r="H647" s="791"/>
      <c r="I647" s="791"/>
      <c r="J647" s="791"/>
      <c r="K647" s="791"/>
      <c r="L647" s="791"/>
      <c r="M647" s="791"/>
      <c r="N647" s="791"/>
      <c r="O647" s="791"/>
      <c r="P647" s="792"/>
      <c r="Q647" s="209"/>
      <c r="Y647" s="501"/>
      <c r="BI647" s="106"/>
      <c r="BJ647" s="106"/>
      <c r="BK647" s="106"/>
      <c r="BL647" s="106"/>
      <c r="BM647" s="106"/>
      <c r="BN647" s="106"/>
      <c r="BO647" s="106"/>
    </row>
    <row r="648" spans="2:67" ht="24.95" customHeight="1" x14ac:dyDescent="0.25">
      <c r="Y648" s="501"/>
      <c r="BI648" s="106"/>
      <c r="BJ648" s="106"/>
      <c r="BK648" s="106"/>
      <c r="BL648" s="106"/>
      <c r="BM648" s="106"/>
      <c r="BN648" s="106"/>
      <c r="BO648" s="106"/>
    </row>
    <row r="649" spans="2:67" ht="24.95" customHeight="1" x14ac:dyDescent="0.25">
      <c r="B649" s="341" t="s">
        <v>485</v>
      </c>
      <c r="C649" s="348"/>
      <c r="D649" s="348"/>
      <c r="E649" s="348"/>
      <c r="F649" s="348"/>
      <c r="G649" s="348"/>
      <c r="H649" s="348"/>
      <c r="I649" s="348"/>
      <c r="J649" s="348"/>
      <c r="K649" s="348"/>
      <c r="L649" s="348"/>
      <c r="M649" s="348"/>
      <c r="N649" s="349"/>
      <c r="O649" s="349"/>
      <c r="P649" s="350"/>
      <c r="Q649" s="350"/>
      <c r="Y649" s="501"/>
      <c r="BI649" s="106"/>
      <c r="BJ649" s="106"/>
      <c r="BK649" s="106"/>
      <c r="BL649" s="106"/>
      <c r="BM649" s="106"/>
      <c r="BN649" s="106"/>
      <c r="BO649" s="106"/>
    </row>
    <row r="650" spans="2:67" ht="15" customHeight="1" x14ac:dyDescent="0.25">
      <c r="Y650" s="501"/>
      <c r="BI650" s="106"/>
      <c r="BJ650" s="106"/>
      <c r="BK650" s="106"/>
      <c r="BL650" s="106"/>
      <c r="BM650" s="106"/>
      <c r="BN650" s="106"/>
      <c r="BO650" s="106"/>
    </row>
    <row r="651" spans="2:67" ht="36" customHeight="1" x14ac:dyDescent="0.25">
      <c r="B651" s="27" t="s">
        <v>486</v>
      </c>
      <c r="C651" s="13"/>
      <c r="D651" s="236"/>
      <c r="E651" s="237"/>
      <c r="F651" s="237"/>
      <c r="G651" s="237"/>
      <c r="H651" s="237"/>
      <c r="I651" s="237"/>
      <c r="J651" s="237"/>
      <c r="K651" s="237"/>
      <c r="L651" s="237"/>
      <c r="M651" s="237"/>
      <c r="N651" s="237"/>
      <c r="O651" s="237"/>
      <c r="P651" s="237"/>
      <c r="Q651" s="215"/>
      <c r="Y651" s="501"/>
      <c r="BI651" s="106"/>
      <c r="BJ651" s="106"/>
      <c r="BK651" s="106"/>
      <c r="BL651" s="106"/>
      <c r="BM651" s="106"/>
      <c r="BN651" s="106"/>
      <c r="BO651" s="106"/>
    </row>
    <row r="652" spans="2:67" x14ac:dyDescent="0.25">
      <c r="B652" s="215"/>
      <c r="C652" s="215"/>
      <c r="D652" s="215"/>
      <c r="E652" s="215"/>
      <c r="F652" s="215"/>
      <c r="G652" s="215"/>
      <c r="H652" s="215"/>
      <c r="I652" s="215"/>
      <c r="J652" s="215"/>
      <c r="K652" s="215"/>
      <c r="L652" s="215"/>
      <c r="M652" s="215"/>
      <c r="N652" s="215"/>
      <c r="O652" s="215"/>
      <c r="P652" s="215"/>
      <c r="Q652" s="215"/>
      <c r="Y652" s="501"/>
      <c r="BI652" s="106"/>
      <c r="BJ652" s="106"/>
      <c r="BK652" s="106"/>
      <c r="BL652" s="106"/>
      <c r="BM652" s="106"/>
      <c r="BN652" s="106"/>
      <c r="BO652" s="106"/>
    </row>
    <row r="653" spans="2:67" ht="15" customHeight="1" x14ac:dyDescent="0.25">
      <c r="B653" s="351"/>
      <c r="C653" s="351"/>
      <c r="D653" s="353"/>
      <c r="E653" s="353"/>
      <c r="F653" s="212" t="s">
        <v>284</v>
      </c>
      <c r="G653" s="215"/>
      <c r="H653" s="216" t="str">
        <f>IF(AD_tra01type=Tra01_Type00,AIS_Statement81,MAX(Tra01_Max_credits_available))</f>
        <v>See instruction</v>
      </c>
      <c r="J653" s="351"/>
      <c r="K653" s="351"/>
      <c r="L653" s="351"/>
      <c r="M653" s="351"/>
      <c r="N653" s="212" t="s">
        <v>285</v>
      </c>
      <c r="P653" s="217" t="str">
        <f>IF(ISERROR(Tra01_07_Err),AIS_Statement81,Tra01_07_Err)</f>
        <v>See instruction</v>
      </c>
      <c r="Q653" s="217"/>
      <c r="R653" s="709" t="str">
        <f>IF(Tra01_07=AIS_Statement81,AIS_statement73,"")</f>
        <v>Instruction: the building type category must be defined for both BREEAM issues Tra 01 and Tra 03 to calculate the total number of credits available for the transport section and therefore issue contribution to overall score.</v>
      </c>
      <c r="S653" s="709"/>
      <c r="T653" s="709"/>
      <c r="U653" s="709"/>
      <c r="V653" s="709"/>
      <c r="W653" s="709"/>
      <c r="Y653" s="501"/>
      <c r="BI653" s="106"/>
      <c r="BJ653" s="106"/>
      <c r="BK653" s="106"/>
      <c r="BL653" s="106"/>
      <c r="BM653" s="106"/>
      <c r="BN653" s="106"/>
      <c r="BO653" s="106"/>
    </row>
    <row r="654" spans="2:67" ht="3" customHeight="1" x14ac:dyDescent="0.25">
      <c r="R654" s="709"/>
      <c r="S654" s="709"/>
      <c r="T654" s="709"/>
      <c r="U654" s="709"/>
      <c r="V654" s="709"/>
      <c r="W654" s="709"/>
      <c r="Y654" s="501"/>
      <c r="BI654" s="106"/>
      <c r="BJ654" s="106"/>
      <c r="BK654" s="106"/>
      <c r="BL654" s="106"/>
      <c r="BM654" s="106"/>
      <c r="BN654" s="106"/>
      <c r="BO654" s="106"/>
    </row>
    <row r="655" spans="2:67" x14ac:dyDescent="0.25">
      <c r="B655" s="351"/>
      <c r="C655" s="351"/>
      <c r="D655" s="353"/>
      <c r="E655" s="353"/>
      <c r="F655" s="212" t="s">
        <v>286</v>
      </c>
      <c r="G655" s="215"/>
      <c r="H655" s="216">
        <v>0</v>
      </c>
      <c r="J655" s="353"/>
      <c r="K655" s="353"/>
      <c r="L655" s="353"/>
      <c r="M655" s="353"/>
      <c r="N655" s="212" t="s">
        <v>287</v>
      </c>
      <c r="O655" s="215"/>
      <c r="P655" s="216" t="s">
        <v>125</v>
      </c>
      <c r="Q655" s="216"/>
      <c r="R655" s="709"/>
      <c r="S655" s="709"/>
      <c r="T655" s="709"/>
      <c r="U655" s="709"/>
      <c r="V655" s="709"/>
      <c r="W655" s="709"/>
      <c r="Y655" s="501"/>
      <c r="BI655" s="106"/>
      <c r="BJ655" s="106"/>
      <c r="BK655" s="106"/>
      <c r="BL655" s="106"/>
      <c r="BM655" s="106"/>
      <c r="BN655" s="106"/>
      <c r="BO655" s="106"/>
    </row>
    <row r="656" spans="2:67" ht="36" customHeight="1" x14ac:dyDescent="0.25">
      <c r="R656" s="709"/>
      <c r="S656" s="709"/>
      <c r="T656" s="709"/>
      <c r="U656" s="709"/>
      <c r="V656" s="709"/>
      <c r="W656" s="709"/>
      <c r="Y656" s="501"/>
      <c r="BI656" s="106"/>
      <c r="BJ656" s="106"/>
      <c r="BK656" s="106"/>
      <c r="BL656" s="106"/>
      <c r="BM656" s="106"/>
      <c r="BN656" s="106"/>
      <c r="BO656" s="106"/>
    </row>
    <row r="657" spans="2:67" ht="15" customHeight="1" x14ac:dyDescent="0.25">
      <c r="B657" s="351"/>
      <c r="C657" s="351"/>
      <c r="D657" s="353"/>
      <c r="E657" s="353"/>
      <c r="F657" s="352"/>
      <c r="G657" s="352"/>
      <c r="H657" s="185" t="s">
        <v>487</v>
      </c>
      <c r="I657" s="288" t="s">
        <v>365</v>
      </c>
      <c r="J657" s="704" t="s">
        <v>488</v>
      </c>
      <c r="K657" s="739"/>
      <c r="L657" s="739"/>
      <c r="M657" s="739"/>
      <c r="N657" s="739"/>
      <c r="O657" s="739"/>
      <c r="P657" s="739"/>
      <c r="Q657" s="485"/>
      <c r="R657" s="744"/>
      <c r="S657" s="744"/>
      <c r="T657" s="744"/>
      <c r="U657" s="744"/>
      <c r="V657" s="744"/>
      <c r="W657" s="744"/>
      <c r="X657" s="744"/>
      <c r="Y657" s="501"/>
      <c r="BI657" s="106"/>
      <c r="BJ657" s="106"/>
      <c r="BK657" s="106"/>
      <c r="BL657" s="106"/>
      <c r="BM657" s="106"/>
      <c r="BN657" s="106"/>
      <c r="BO657" s="106"/>
    </row>
    <row r="658" spans="2:67" ht="47.25" customHeight="1" x14ac:dyDescent="0.25">
      <c r="B658" s="238" t="s">
        <v>288</v>
      </c>
      <c r="C658" s="239"/>
      <c r="D658" s="235"/>
      <c r="E658" s="239"/>
      <c r="F658" s="240"/>
      <c r="G658" s="238"/>
      <c r="H658" s="238"/>
      <c r="I658" s="238"/>
      <c r="J658" s="242" t="s">
        <v>480</v>
      </c>
      <c r="K658" s="241"/>
      <c r="L658" s="242" t="s">
        <v>290</v>
      </c>
      <c r="N658" s="242" t="s">
        <v>291</v>
      </c>
      <c r="P658" s="406"/>
      <c r="Q658" s="242"/>
      <c r="R658" s="744"/>
      <c r="S658" s="744"/>
      <c r="T658" s="744"/>
      <c r="U658" s="744"/>
      <c r="V658" s="744"/>
      <c r="W658" s="744"/>
      <c r="X658" s="744"/>
      <c r="Y658" s="501"/>
      <c r="BI658" s="106"/>
      <c r="BJ658" s="106"/>
      <c r="BK658" s="106"/>
      <c r="BL658" s="106"/>
      <c r="BM658" s="106"/>
      <c r="BN658" s="106"/>
      <c r="BO658" s="106"/>
    </row>
    <row r="659" spans="2:67" ht="3" customHeight="1" x14ac:dyDescent="0.25">
      <c r="B659" s="215"/>
      <c r="C659" s="218"/>
      <c r="D659" s="215"/>
      <c r="E659" s="218"/>
      <c r="F659" s="244"/>
      <c r="G659" s="215"/>
      <c r="J659" s="245"/>
      <c r="K659" s="245"/>
      <c r="L659" s="215"/>
      <c r="M659" s="215"/>
      <c r="N659" s="246"/>
      <c r="O659" s="218"/>
      <c r="P659" s="246"/>
      <c r="Q659" s="246"/>
      <c r="Y659" s="501"/>
      <c r="BI659" s="106"/>
      <c r="BJ659" s="106"/>
      <c r="BK659" s="106"/>
      <c r="BL659" s="106"/>
      <c r="BM659" s="106"/>
      <c r="BN659" s="106"/>
      <c r="BO659" s="106"/>
    </row>
    <row r="660" spans="2:67" x14ac:dyDescent="0.25">
      <c r="B660" s="353"/>
      <c r="C660" s="353"/>
      <c r="D660" s="353"/>
      <c r="E660" s="353"/>
      <c r="F660" s="352"/>
      <c r="G660" s="353"/>
      <c r="H660" s="212" t="s">
        <v>489</v>
      </c>
      <c r="J660" s="289"/>
      <c r="K660" s="215"/>
      <c r="L660" s="788" t="str">
        <f>Tra01_credits</f>
        <v>See instruction</v>
      </c>
      <c r="M660" s="215"/>
      <c r="N660" s="224" t="str">
        <f>IFERROR(Tra01_AI_calc,"")</f>
        <v/>
      </c>
      <c r="O660" s="215"/>
      <c r="P660" s="252"/>
      <c r="Q660" s="252"/>
      <c r="R660" s="209" t="s">
        <v>490</v>
      </c>
      <c r="Y660" s="501"/>
      <c r="BI660" s="106"/>
      <c r="BJ660" s="106"/>
      <c r="BK660" s="106"/>
      <c r="BL660" s="106"/>
      <c r="BM660" s="106"/>
      <c r="BN660" s="106"/>
      <c r="BO660" s="106"/>
    </row>
    <row r="661" spans="2:67" ht="15" customHeight="1" x14ac:dyDescent="0.25">
      <c r="B661" s="353"/>
      <c r="C661" s="353"/>
      <c r="D661" s="353"/>
      <c r="E661" s="353"/>
      <c r="F661" s="352"/>
      <c r="G661" s="353"/>
      <c r="H661" s="212" t="s">
        <v>491</v>
      </c>
      <c r="J661" s="223"/>
      <c r="K661" s="215"/>
      <c r="L661" s="789"/>
      <c r="M661" s="215"/>
      <c r="N661" s="270" t="str">
        <f>IFERROR(IF(Tra01_05&gt;0,AIS_NA,IF(Tra01_04=AIS_Yes,1,0)),"")</f>
        <v>N/A</v>
      </c>
      <c r="O661" s="215"/>
      <c r="P661" s="252"/>
      <c r="Q661" s="252"/>
      <c r="R661" s="732" t="str">
        <f>IF(Tra01_05&gt;0,AIS_statement43,"")</f>
        <v>Note: A credit for a dedicated bus service is only available where the building has not achieved any credits for it public transport accessibility index (refer to the technical guide for further detail).</v>
      </c>
      <c r="S661" s="732"/>
      <c r="T661" s="732"/>
      <c r="U661" s="732"/>
      <c r="V661" s="732"/>
      <c r="W661" s="732"/>
      <c r="X661" s="732"/>
      <c r="Y661" s="501"/>
      <c r="BI661" s="106"/>
      <c r="BJ661" s="106"/>
      <c r="BK661" s="106"/>
      <c r="BL661" s="106"/>
      <c r="BM661" s="106"/>
      <c r="BN661" s="106"/>
      <c r="BO661" s="106"/>
    </row>
    <row r="662" spans="2:67" x14ac:dyDescent="0.25">
      <c r="R662" s="732"/>
      <c r="S662" s="732"/>
      <c r="T662" s="732"/>
      <c r="U662" s="732"/>
      <c r="V662" s="732"/>
      <c r="W662" s="732"/>
      <c r="X662" s="732"/>
      <c r="Y662" s="501"/>
      <c r="BI662" s="106"/>
      <c r="BJ662" s="106"/>
      <c r="BK662" s="106"/>
      <c r="BL662" s="106"/>
      <c r="BM662" s="106"/>
      <c r="BN662" s="106"/>
      <c r="BO662" s="106"/>
    </row>
    <row r="663" spans="2:67" x14ac:dyDescent="0.25">
      <c r="B663" s="353"/>
      <c r="C663" s="351"/>
      <c r="D663" s="351"/>
      <c r="E663" s="353"/>
      <c r="F663" s="212" t="s">
        <v>296</v>
      </c>
      <c r="G663" s="215"/>
      <c r="H663" s="216" t="str">
        <f>IF(ISERROR(Tra01_Tot_Err),0,Tra01_Tot_Err)</f>
        <v/>
      </c>
      <c r="J663" s="203"/>
      <c r="K663" s="215"/>
      <c r="M663" s="215"/>
      <c r="N663" s="215"/>
      <c r="O663" s="215"/>
      <c r="P663" s="215"/>
      <c r="Q663" s="215"/>
      <c r="Y663" s="501"/>
      <c r="BI663" s="106"/>
      <c r="BJ663" s="106"/>
      <c r="BK663" s="106"/>
      <c r="BL663" s="106"/>
      <c r="BM663" s="106"/>
      <c r="BN663" s="106"/>
      <c r="BO663" s="106"/>
    </row>
    <row r="664" spans="2:67" ht="3" customHeight="1" x14ac:dyDescent="0.25">
      <c r="B664" s="215"/>
      <c r="E664" s="215"/>
      <c r="F664" s="225"/>
      <c r="G664" s="215"/>
      <c r="H664" s="252"/>
      <c r="J664" s="203"/>
      <c r="K664" s="215"/>
      <c r="M664" s="215"/>
      <c r="N664" s="215"/>
      <c r="O664" s="215"/>
      <c r="P664" s="215"/>
      <c r="Q664" s="215"/>
      <c r="Y664" s="501"/>
      <c r="BI664" s="106"/>
      <c r="BJ664" s="106"/>
      <c r="BK664" s="106"/>
      <c r="BL664" s="106"/>
      <c r="BM664" s="106"/>
      <c r="BN664" s="106"/>
      <c r="BO664" s="106"/>
    </row>
    <row r="665" spans="2:67" x14ac:dyDescent="0.25">
      <c r="B665" s="353"/>
      <c r="C665" s="351"/>
      <c r="D665" s="351"/>
      <c r="E665" s="353"/>
      <c r="F665" s="212" t="s">
        <v>297</v>
      </c>
      <c r="G665" s="215"/>
      <c r="H665" s="217" t="str">
        <f>IF(ISERROR(Tra01_08_Err),AIS_Statement81,Tra01_08_Err)</f>
        <v>See instruction</v>
      </c>
      <c r="J665" s="203"/>
      <c r="K665" s="215"/>
      <c r="M665" s="215"/>
      <c r="N665" s="215"/>
      <c r="O665" s="215"/>
      <c r="P665" s="215"/>
      <c r="Q665" s="215"/>
      <c r="Y665" s="501"/>
      <c r="BI665" s="106"/>
      <c r="BJ665" s="106"/>
      <c r="BK665" s="106"/>
      <c r="BL665" s="106"/>
      <c r="BM665" s="106"/>
      <c r="BN665" s="106"/>
      <c r="BO665" s="106"/>
    </row>
    <row r="666" spans="2:67" ht="3" customHeight="1" x14ac:dyDescent="0.25">
      <c r="K666" s="215"/>
      <c r="M666" s="215"/>
      <c r="N666" s="215"/>
      <c r="O666" s="215"/>
      <c r="P666" s="215"/>
      <c r="Q666" s="215"/>
      <c r="Y666" s="501"/>
      <c r="BI666" s="106"/>
      <c r="BJ666" s="106"/>
      <c r="BK666" s="106"/>
      <c r="BL666" s="106"/>
      <c r="BM666" s="106"/>
      <c r="BN666" s="106"/>
      <c r="BO666" s="106"/>
    </row>
    <row r="667" spans="2:67" x14ac:dyDescent="0.25">
      <c r="B667" s="353"/>
      <c r="C667" s="351"/>
      <c r="D667" s="351"/>
      <c r="E667" s="353"/>
      <c r="F667" s="212" t="s">
        <v>298</v>
      </c>
      <c r="H667" s="216" t="s">
        <v>300</v>
      </c>
      <c r="K667" s="215"/>
      <c r="M667" s="215"/>
      <c r="N667" s="215"/>
      <c r="O667" s="215"/>
      <c r="P667" s="215"/>
      <c r="Q667" s="215"/>
      <c r="Y667" s="501"/>
      <c r="BI667" s="106"/>
      <c r="BJ667" s="106"/>
      <c r="BK667" s="106"/>
      <c r="BL667" s="106"/>
      <c r="BM667" s="106"/>
      <c r="BN667" s="106"/>
      <c r="BO667" s="106"/>
    </row>
    <row r="668" spans="2:67" ht="3" customHeight="1" x14ac:dyDescent="0.25">
      <c r="K668" s="215"/>
      <c r="M668" s="215"/>
      <c r="N668" s="215"/>
      <c r="O668" s="215"/>
      <c r="P668" s="215"/>
      <c r="Q668" s="215"/>
      <c r="Y668" s="501"/>
      <c r="BI668" s="106"/>
      <c r="BJ668" s="106"/>
      <c r="BK668" s="106"/>
      <c r="BL668" s="106"/>
      <c r="BM668" s="106"/>
      <c r="BN668" s="106"/>
      <c r="BO668" s="106"/>
    </row>
    <row r="669" spans="2:67" x14ac:dyDescent="0.25">
      <c r="B669" s="353"/>
      <c r="C669" s="351"/>
      <c r="D669" s="353"/>
      <c r="E669" s="353"/>
      <c r="F669" s="212" t="s">
        <v>299</v>
      </c>
      <c r="H669" s="216" t="s">
        <v>300</v>
      </c>
      <c r="K669" s="215"/>
      <c r="M669" s="215"/>
      <c r="N669" s="215"/>
      <c r="O669" s="215"/>
      <c r="P669" s="215"/>
      <c r="Q669" s="215"/>
      <c r="Y669" s="501"/>
      <c r="BI669" s="106"/>
      <c r="BJ669" s="106"/>
      <c r="BK669" s="106"/>
      <c r="BL669" s="106"/>
      <c r="BM669" s="106"/>
      <c r="BN669" s="106"/>
      <c r="BO669" s="106"/>
    </row>
    <row r="670" spans="2:67" x14ac:dyDescent="0.25">
      <c r="M670" s="215"/>
      <c r="N670" s="215"/>
      <c r="O670" s="215"/>
      <c r="P670" s="215"/>
      <c r="Q670" s="215"/>
      <c r="Y670" s="501"/>
      <c r="BI670" s="106"/>
      <c r="BJ670" s="106"/>
      <c r="BK670" s="106"/>
      <c r="BL670" s="106"/>
      <c r="BM670" s="106"/>
      <c r="BN670" s="106"/>
      <c r="BO670" s="106"/>
    </row>
    <row r="671" spans="2:67" x14ac:dyDescent="0.25">
      <c r="B671" s="235" t="s">
        <v>301</v>
      </c>
      <c r="C671" s="215"/>
      <c r="D671" s="215"/>
      <c r="E671" s="215"/>
      <c r="F671" s="225"/>
      <c r="G671" s="215"/>
      <c r="H671" s="215"/>
      <c r="I671" s="215"/>
      <c r="J671" s="215"/>
      <c r="K671" s="215"/>
      <c r="L671" s="215"/>
      <c r="M671" s="215"/>
      <c r="N671" s="215"/>
      <c r="O671" s="215"/>
      <c r="P671" s="215"/>
      <c r="Q671" s="215"/>
      <c r="Y671" s="501"/>
      <c r="BI671" s="106"/>
      <c r="BJ671" s="106"/>
      <c r="BK671" s="106"/>
      <c r="BL671" s="106"/>
      <c r="BM671" s="106"/>
      <c r="BN671" s="106"/>
      <c r="BO671" s="106"/>
    </row>
    <row r="672" spans="2:67" ht="159.94999999999999" customHeight="1" x14ac:dyDescent="0.25">
      <c r="B672" s="736"/>
      <c r="C672" s="737"/>
      <c r="D672" s="737"/>
      <c r="E672" s="737"/>
      <c r="F672" s="737"/>
      <c r="G672" s="737"/>
      <c r="H672" s="737"/>
      <c r="I672" s="737"/>
      <c r="J672" s="737"/>
      <c r="K672" s="737"/>
      <c r="L672" s="737"/>
      <c r="M672" s="737"/>
      <c r="N672" s="737"/>
      <c r="O672" s="737"/>
      <c r="P672" s="738"/>
      <c r="Q672" s="416"/>
      <c r="Y672" s="501"/>
      <c r="BI672" s="106"/>
      <c r="BJ672" s="106"/>
      <c r="BK672" s="106"/>
      <c r="BL672" s="106"/>
      <c r="BM672" s="106"/>
      <c r="BN672" s="106"/>
      <c r="BO672" s="106"/>
    </row>
    <row r="673" spans="2:67" ht="36" customHeight="1" x14ac:dyDescent="0.25">
      <c r="B673" s="27" t="s">
        <v>492</v>
      </c>
      <c r="C673" s="13"/>
      <c r="D673" s="236"/>
      <c r="E673" s="237"/>
      <c r="F673" s="237"/>
      <c r="G673" s="237"/>
      <c r="H673" s="237"/>
      <c r="I673" s="237"/>
      <c r="J673" s="237"/>
      <c r="K673" s="237"/>
      <c r="L673" s="237"/>
      <c r="M673" s="237"/>
      <c r="N673" s="237"/>
      <c r="O673" s="237"/>
      <c r="P673" s="329" t="str">
        <f>IF(ADBT0=ADBT6,AIS_statement32,"")</f>
        <v/>
      </c>
      <c r="Q673" s="240"/>
      <c r="Y673" s="501"/>
      <c r="BI673" s="106"/>
      <c r="BJ673" s="106"/>
      <c r="BK673" s="106"/>
      <c r="BL673" s="106"/>
      <c r="BM673" s="106"/>
      <c r="BN673" s="106"/>
      <c r="BO673" s="106"/>
    </row>
    <row r="674" spans="2:67" x14ac:dyDescent="0.25">
      <c r="B674" s="215"/>
      <c r="C674" s="215"/>
      <c r="D674" s="215"/>
      <c r="E674" s="215"/>
      <c r="F674" s="215"/>
      <c r="G674" s="215"/>
      <c r="H674" s="215"/>
      <c r="I674" s="215"/>
      <c r="J674" s="215"/>
      <c r="K674" s="215"/>
      <c r="L674" s="215"/>
      <c r="M674" s="215"/>
      <c r="N674" s="215"/>
      <c r="O674" s="215"/>
      <c r="P674" s="215"/>
      <c r="Q674" s="215"/>
      <c r="Y674" s="501"/>
      <c r="BI674" s="106"/>
      <c r="BJ674" s="106"/>
      <c r="BK674" s="106"/>
      <c r="BL674" s="106"/>
      <c r="BM674" s="106"/>
      <c r="BN674" s="106"/>
      <c r="BO674" s="106"/>
    </row>
    <row r="675" spans="2:67" ht="15" customHeight="1" x14ac:dyDescent="0.25">
      <c r="B675" s="222"/>
      <c r="C675" s="222"/>
      <c r="D675" s="221"/>
      <c r="E675" s="221"/>
      <c r="F675" s="212" t="s">
        <v>284</v>
      </c>
      <c r="G675" s="215"/>
      <c r="H675" s="216">
        <f>IF(ADBT0=ADBT6,AIS_NA,IF(ADBT0=ADBT8,2,IF(AND(ADBT0=ADBT9,ADBT_sub01=ADBT_sub53),2,1)))</f>
        <v>1</v>
      </c>
      <c r="J675" s="222"/>
      <c r="K675" s="222"/>
      <c r="L675" s="222"/>
      <c r="M675" s="222"/>
      <c r="N675" s="212" t="s">
        <v>285</v>
      </c>
      <c r="P675" s="217" t="str">
        <f>IF(ISERROR(Tra02_06_Err),AIS_Statement81,Tra02_06_Err)</f>
        <v>See instruction</v>
      </c>
      <c r="Q675" s="217"/>
      <c r="R675" s="709" t="str">
        <f>IF(ADBT0=ADBT6,AIS_statement44,IF(Tra01_07=AIS_Statement81,AIS_statement73,""))</f>
        <v>Instruction: the building type category must be defined for both BREEAM issues Tra 01 and Tra 03 to calculate the total number of credits available for the transport section and therefore issue contribution to overall score.</v>
      </c>
      <c r="S675" s="709"/>
      <c r="T675" s="709"/>
      <c r="U675" s="709"/>
      <c r="V675" s="709"/>
      <c r="W675" s="709"/>
      <c r="Y675" s="501"/>
      <c r="BI675" s="106"/>
      <c r="BJ675" s="106"/>
      <c r="BK675" s="106"/>
      <c r="BL675" s="106"/>
      <c r="BM675" s="106"/>
      <c r="BN675" s="106"/>
      <c r="BO675" s="106"/>
    </row>
    <row r="676" spans="2:67" ht="3.75" customHeight="1" x14ac:dyDescent="0.25">
      <c r="R676" s="709"/>
      <c r="S676" s="709"/>
      <c r="T676" s="709"/>
      <c r="U676" s="709"/>
      <c r="V676" s="709"/>
      <c r="W676" s="709"/>
      <c r="Y676" s="501"/>
      <c r="BI676" s="106"/>
      <c r="BJ676" s="106"/>
      <c r="BK676" s="106"/>
      <c r="BL676" s="106"/>
      <c r="BM676" s="106"/>
      <c r="BN676" s="106"/>
      <c r="BO676" s="106"/>
    </row>
    <row r="677" spans="2:67" x14ac:dyDescent="0.25">
      <c r="B677" s="222"/>
      <c r="C677" s="222"/>
      <c r="D677" s="221"/>
      <c r="E677" s="221"/>
      <c r="F677" s="212" t="s">
        <v>286</v>
      </c>
      <c r="G677" s="215"/>
      <c r="H677" s="216">
        <f>IF(ADBT0=ADBT6,AIS_NA,0)</f>
        <v>0</v>
      </c>
      <c r="J677" s="221"/>
      <c r="K677" s="221"/>
      <c r="L677" s="221"/>
      <c r="M677" s="221"/>
      <c r="N677" s="212" t="s">
        <v>287</v>
      </c>
      <c r="O677" s="215"/>
      <c r="P677" s="216" t="str">
        <f>IF(ADBT0=ADBT6,AIS_NA,"No")</f>
        <v>No</v>
      </c>
      <c r="Q677" s="216"/>
      <c r="R677" s="709"/>
      <c r="S677" s="709"/>
      <c r="T677" s="709"/>
      <c r="U677" s="709"/>
      <c r="V677" s="709"/>
      <c r="W677" s="709"/>
      <c r="Y677" s="501"/>
      <c r="BI677" s="106"/>
      <c r="BJ677" s="106"/>
      <c r="BK677" s="106"/>
      <c r="BL677" s="106"/>
      <c r="BM677" s="106"/>
      <c r="BN677" s="106"/>
      <c r="BO677" s="106"/>
    </row>
    <row r="678" spans="2:67" ht="47.25" customHeight="1" x14ac:dyDescent="0.25">
      <c r="B678" s="238" t="s">
        <v>288</v>
      </c>
      <c r="C678" s="239"/>
      <c r="D678" s="235"/>
      <c r="E678" s="239"/>
      <c r="F678" s="240"/>
      <c r="G678" s="238"/>
      <c r="H678" s="238"/>
      <c r="I678" s="238"/>
      <c r="J678" s="241" t="s">
        <v>289</v>
      </c>
      <c r="K678" s="241"/>
      <c r="L678" s="242" t="s">
        <v>290</v>
      </c>
      <c r="N678" s="242" t="s">
        <v>291</v>
      </c>
      <c r="P678" s="242"/>
      <c r="Q678" s="242"/>
      <c r="R678" s="709"/>
      <c r="S678" s="709"/>
      <c r="T678" s="709"/>
      <c r="U678" s="709"/>
      <c r="V678" s="709"/>
      <c r="W678" s="709"/>
      <c r="Y678" s="501"/>
      <c r="BI678" s="106"/>
      <c r="BJ678" s="106"/>
      <c r="BK678" s="106"/>
      <c r="BL678" s="106"/>
      <c r="BM678" s="106"/>
      <c r="BN678" s="106"/>
      <c r="BO678" s="106"/>
    </row>
    <row r="679" spans="2:67" ht="3" customHeight="1" x14ac:dyDescent="0.25">
      <c r="B679" s="215"/>
      <c r="C679" s="218"/>
      <c r="D679" s="215"/>
      <c r="E679" s="218"/>
      <c r="F679" s="244"/>
      <c r="G679" s="215"/>
      <c r="J679" s="245"/>
      <c r="K679" s="245"/>
      <c r="L679" s="215"/>
      <c r="M679" s="215"/>
      <c r="N679" s="246"/>
      <c r="O679" s="218"/>
      <c r="P679" s="246"/>
      <c r="Q679" s="246"/>
      <c r="Y679" s="501"/>
      <c r="BI679" s="106"/>
      <c r="BJ679" s="106"/>
      <c r="BK679" s="106"/>
      <c r="BL679" s="106"/>
      <c r="BM679" s="106"/>
      <c r="BN679" s="106"/>
      <c r="BO679" s="106"/>
    </row>
    <row r="680" spans="2:67" x14ac:dyDescent="0.25">
      <c r="B680" s="221"/>
      <c r="C680" s="221"/>
      <c r="D680" s="221"/>
      <c r="E680" s="221"/>
      <c r="F680" s="212"/>
      <c r="G680" s="221"/>
      <c r="H680" s="212" t="s">
        <v>493</v>
      </c>
      <c r="J680" s="223"/>
      <c r="K680" s="215"/>
      <c r="L680" s="224">
        <f>H675</f>
        <v>1</v>
      </c>
      <c r="M680" s="290" t="str">
        <f>IF(AND(Tra02_01=AIS_Yes,Tra02_03=""),"→","")</f>
        <v/>
      </c>
      <c r="N680" s="223"/>
      <c r="O680" s="260" t="str">
        <f>IF(AND(Tra02_01=AIS_Yes,Tra02_03=""),"←","")</f>
        <v/>
      </c>
      <c r="P680" s="252"/>
      <c r="Q680" s="252"/>
      <c r="R680" s="314" t="str">
        <f>IF(Tra02_05=AIS_statement32,"",IF(AND(Tra02_01=AIS_No,Tra02_03&gt;0),AIS_statement47,IF(AND(Tra02_01=AIS_Yes,OR(Tra02_03="",Tra02_03=0)),AIS_statement52,IF(Tra02_03&gt;Tra02_02,AIS_statement74,""))))</f>
        <v/>
      </c>
      <c r="Y680" s="501"/>
      <c r="AA680" s="502"/>
      <c r="AB680" s="502"/>
      <c r="BI680" s="106"/>
      <c r="BJ680" s="106"/>
      <c r="BK680" s="106"/>
      <c r="BL680" s="106"/>
      <c r="BM680" s="106"/>
      <c r="BN680" s="106"/>
      <c r="BO680" s="106"/>
    </row>
    <row r="681" spans="2:67" x14ac:dyDescent="0.25">
      <c r="Y681" s="501"/>
      <c r="AA681" s="502"/>
      <c r="AB681" s="502"/>
      <c r="BI681" s="106"/>
      <c r="BJ681" s="106"/>
      <c r="BK681" s="106"/>
      <c r="BL681" s="106"/>
      <c r="BM681" s="106"/>
      <c r="BN681" s="106"/>
      <c r="BO681" s="106"/>
    </row>
    <row r="682" spans="2:67" x14ac:dyDescent="0.25">
      <c r="B682" s="221"/>
      <c r="C682" s="222"/>
      <c r="D682" s="222"/>
      <c r="E682" s="221"/>
      <c r="F682" s="212" t="s">
        <v>296</v>
      </c>
      <c r="G682" s="215"/>
      <c r="H682" s="216">
        <f>IF(ISERROR(Tra02_Tot_Err),0,Tra02_Tot_Err)</f>
        <v>0</v>
      </c>
      <c r="J682" s="203"/>
      <c r="K682" s="215"/>
      <c r="M682" s="215"/>
      <c r="N682" s="215"/>
      <c r="O682" s="215"/>
      <c r="P682" s="215"/>
      <c r="Q682" s="215"/>
      <c r="Y682" s="501"/>
      <c r="AA682" s="502"/>
      <c r="AB682" s="502"/>
      <c r="BI682" s="106"/>
      <c r="BJ682" s="106"/>
      <c r="BK682" s="106"/>
      <c r="BL682" s="106"/>
      <c r="BM682" s="106"/>
      <c r="BN682" s="106"/>
      <c r="BO682" s="106"/>
    </row>
    <row r="683" spans="2:67" ht="3" customHeight="1" x14ac:dyDescent="0.25">
      <c r="B683" s="215"/>
      <c r="E683" s="215"/>
      <c r="F683" s="225"/>
      <c r="G683" s="215"/>
      <c r="H683" s="252"/>
      <c r="J683" s="203"/>
      <c r="K683" s="215"/>
      <c r="M683" s="215"/>
      <c r="N683" s="215"/>
      <c r="O683" s="215"/>
      <c r="P683" s="215"/>
      <c r="Q683" s="215"/>
      <c r="Y683" s="501"/>
      <c r="AA683" s="502"/>
      <c r="AB683" s="502"/>
      <c r="BI683" s="106"/>
      <c r="BJ683" s="106"/>
      <c r="BK683" s="106"/>
      <c r="BL683" s="106"/>
      <c r="BM683" s="106"/>
      <c r="BN683" s="106"/>
      <c r="BO683" s="106"/>
    </row>
    <row r="684" spans="2:67" x14ac:dyDescent="0.25">
      <c r="B684" s="221"/>
      <c r="C684" s="222"/>
      <c r="D684" s="222"/>
      <c r="E684" s="221"/>
      <c r="F684" s="212" t="s">
        <v>297</v>
      </c>
      <c r="G684" s="215"/>
      <c r="H684" s="217" t="str">
        <f>IF(ISERROR(Tra02_07_Err), AIS_Statement81,Tra02_07_Err)</f>
        <v>See instruction</v>
      </c>
      <c r="J684" s="203"/>
      <c r="K684" s="215"/>
      <c r="L684" s="202"/>
      <c r="M684" s="215"/>
      <c r="N684" s="215"/>
      <c r="O684" s="215"/>
      <c r="P684" s="215"/>
      <c r="Q684" s="215"/>
      <c r="Y684" s="501"/>
      <c r="Z684" s="502"/>
      <c r="AA684" s="502"/>
      <c r="AB684" s="502"/>
      <c r="BI684" s="106"/>
      <c r="BJ684" s="106"/>
      <c r="BK684" s="106"/>
      <c r="BL684" s="106"/>
      <c r="BM684" s="106"/>
      <c r="BN684" s="106"/>
      <c r="BO684" s="106"/>
    </row>
    <row r="685" spans="2:67" ht="3" customHeight="1" x14ac:dyDescent="0.25">
      <c r="K685" s="215"/>
      <c r="M685" s="215"/>
      <c r="N685" s="215"/>
      <c r="O685" s="215"/>
      <c r="P685" s="215"/>
      <c r="Q685" s="215"/>
      <c r="Y685" s="501"/>
      <c r="BI685" s="106"/>
      <c r="BJ685" s="106"/>
      <c r="BK685" s="106"/>
      <c r="BL685" s="106"/>
      <c r="BM685" s="106"/>
      <c r="BN685" s="106"/>
      <c r="BO685" s="106"/>
    </row>
    <row r="686" spans="2:67" x14ac:dyDescent="0.25">
      <c r="B686" s="221"/>
      <c r="C686" s="222"/>
      <c r="D686" s="222"/>
      <c r="E686" s="221"/>
      <c r="F686" s="212" t="s">
        <v>298</v>
      </c>
      <c r="H686" s="216" t="s">
        <v>300</v>
      </c>
      <c r="K686" s="215"/>
      <c r="M686" s="215"/>
      <c r="N686" s="215"/>
      <c r="O686" s="215"/>
      <c r="P686" s="215"/>
      <c r="Q686" s="215"/>
      <c r="Y686" s="501"/>
      <c r="BI686" s="106"/>
      <c r="BJ686" s="106"/>
      <c r="BK686" s="106"/>
      <c r="BL686" s="106"/>
      <c r="BM686" s="106"/>
      <c r="BN686" s="106"/>
      <c r="BO686" s="106"/>
    </row>
    <row r="687" spans="2:67" ht="3" customHeight="1" x14ac:dyDescent="0.25">
      <c r="K687" s="215"/>
      <c r="M687" s="215"/>
      <c r="N687" s="215"/>
      <c r="O687" s="215"/>
      <c r="P687" s="215"/>
      <c r="Q687" s="215"/>
      <c r="Y687" s="501"/>
      <c r="BI687" s="106"/>
      <c r="BJ687" s="106"/>
      <c r="BK687" s="106"/>
      <c r="BL687" s="106"/>
      <c r="BM687" s="106"/>
      <c r="BN687" s="106"/>
      <c r="BO687" s="106"/>
    </row>
    <row r="688" spans="2:67" x14ac:dyDescent="0.25">
      <c r="B688" s="221"/>
      <c r="C688" s="222"/>
      <c r="D688" s="221"/>
      <c r="E688" s="221"/>
      <c r="F688" s="212" t="s">
        <v>299</v>
      </c>
      <c r="H688" s="216" t="s">
        <v>300</v>
      </c>
      <c r="K688" s="215"/>
      <c r="M688" s="215"/>
      <c r="N688" s="215"/>
      <c r="O688" s="215"/>
      <c r="P688" s="215"/>
      <c r="Q688" s="215"/>
      <c r="Y688" s="501"/>
      <c r="BI688" s="106"/>
      <c r="BJ688" s="106"/>
      <c r="BK688" s="106"/>
      <c r="BL688" s="106"/>
      <c r="BM688" s="106"/>
      <c r="BN688" s="106"/>
      <c r="BO688" s="106"/>
    </row>
    <row r="689" spans="2:67" x14ac:dyDescent="0.25">
      <c r="M689" s="215"/>
      <c r="N689" s="215"/>
      <c r="O689" s="215"/>
      <c r="P689" s="215"/>
      <c r="Q689" s="215"/>
      <c r="Y689" s="501"/>
      <c r="BI689" s="106"/>
      <c r="BJ689" s="106"/>
      <c r="BK689" s="106"/>
      <c r="BL689" s="106"/>
      <c r="BM689" s="106"/>
      <c r="BN689" s="106"/>
      <c r="BO689" s="106"/>
    </row>
    <row r="690" spans="2:67" x14ac:dyDescent="0.25">
      <c r="B690" s="235" t="s">
        <v>301</v>
      </c>
      <c r="C690" s="215"/>
      <c r="D690" s="215"/>
      <c r="E690" s="215"/>
      <c r="F690" s="225"/>
      <c r="G690" s="215"/>
      <c r="H690" s="215"/>
      <c r="I690" s="215"/>
      <c r="J690" s="215"/>
      <c r="K690" s="215"/>
      <c r="L690" s="215"/>
      <c r="M690" s="215"/>
      <c r="N690" s="215"/>
      <c r="O690" s="215"/>
      <c r="P690" s="215"/>
      <c r="Q690" s="215"/>
      <c r="Y690" s="501"/>
      <c r="BI690" s="106"/>
      <c r="BJ690" s="106"/>
      <c r="BK690" s="106"/>
      <c r="BL690" s="106"/>
      <c r="BM690" s="106"/>
      <c r="BN690" s="106"/>
      <c r="BO690" s="106"/>
    </row>
    <row r="691" spans="2:67" ht="159.94999999999999" customHeight="1" x14ac:dyDescent="0.25">
      <c r="B691" s="736"/>
      <c r="C691" s="737"/>
      <c r="D691" s="737"/>
      <c r="E691" s="737"/>
      <c r="F691" s="737"/>
      <c r="G691" s="737"/>
      <c r="H691" s="737"/>
      <c r="I691" s="737"/>
      <c r="J691" s="737"/>
      <c r="K691" s="737"/>
      <c r="L691" s="737"/>
      <c r="M691" s="737"/>
      <c r="N691" s="737"/>
      <c r="O691" s="737"/>
      <c r="P691" s="738"/>
      <c r="Q691" s="416"/>
      <c r="Y691" s="501"/>
      <c r="AD691" s="515"/>
      <c r="BI691" s="106"/>
      <c r="BJ691" s="106"/>
      <c r="BK691" s="106"/>
      <c r="BL691" s="106"/>
      <c r="BM691" s="106"/>
      <c r="BN691" s="106"/>
      <c r="BO691" s="106"/>
    </row>
    <row r="692" spans="2:67" ht="36" customHeight="1" x14ac:dyDescent="0.25">
      <c r="B692" s="27" t="s">
        <v>494</v>
      </c>
      <c r="C692" s="13"/>
      <c r="D692" s="236"/>
      <c r="E692" s="237"/>
      <c r="F692" s="237"/>
      <c r="G692" s="237"/>
      <c r="H692" s="237"/>
      <c r="I692" s="237"/>
      <c r="J692" s="237"/>
      <c r="K692" s="237"/>
      <c r="L692" s="237"/>
      <c r="M692" s="237"/>
      <c r="N692" s="237"/>
      <c r="O692" s="237"/>
      <c r="P692" s="329" t="str">
        <f>IF(ADBT0=ADBT8,AIS_statement32,"")</f>
        <v/>
      </c>
      <c r="Q692" s="215"/>
      <c r="R692" s="318"/>
      <c r="Y692" s="501"/>
      <c r="AD692" s="515"/>
      <c r="BI692" s="106"/>
      <c r="BJ692" s="106"/>
      <c r="BK692" s="106"/>
      <c r="BL692" s="106"/>
      <c r="BM692" s="106"/>
      <c r="BN692" s="106"/>
      <c r="BO692" s="106"/>
    </row>
    <row r="693" spans="2:67" x14ac:dyDescent="0.25">
      <c r="B693" s="215"/>
      <c r="C693" s="215"/>
      <c r="D693" s="215"/>
      <c r="E693" s="215"/>
      <c r="F693" s="215"/>
      <c r="G693" s="215"/>
      <c r="H693" s="215"/>
      <c r="I693" s="215"/>
      <c r="J693" s="215"/>
      <c r="K693" s="215"/>
      <c r="L693" s="215"/>
      <c r="M693" s="215"/>
      <c r="N693" s="215"/>
      <c r="O693" s="215"/>
      <c r="P693" s="215"/>
      <c r="Q693" s="215"/>
      <c r="Y693" s="501"/>
      <c r="BI693" s="106"/>
      <c r="BJ693" s="106"/>
      <c r="BK693" s="106"/>
      <c r="BL693" s="106"/>
      <c r="BM693" s="106"/>
      <c r="BN693" s="106"/>
      <c r="BO693" s="106"/>
    </row>
    <row r="694" spans="2:67" x14ac:dyDescent="0.25">
      <c r="B694" s="222"/>
      <c r="C694" s="222"/>
      <c r="D694" s="221"/>
      <c r="E694" s="221"/>
      <c r="F694" s="212" t="s">
        <v>284</v>
      </c>
      <c r="G694" s="215"/>
      <c r="H694" s="216">
        <f>IF(Tra03_15=AIS_statement32,AIS_NA,2)</f>
        <v>2</v>
      </c>
      <c r="J694" s="222"/>
      <c r="K694" s="222"/>
      <c r="L694" s="222"/>
      <c r="M694" s="222"/>
      <c r="N694" s="212" t="s">
        <v>285</v>
      </c>
      <c r="P694" s="217" t="str">
        <f>IF(ISERROR(Tra03_13_Err),AIS_Statement81,Tra03_13_Err)</f>
        <v>See instruction</v>
      </c>
      <c r="Q694" s="217"/>
      <c r="R694" s="209" t="str">
        <f>IF(Tra03_credits=AIS_Statement81,AIS_statement48,"")</f>
        <v/>
      </c>
      <c r="Y694" s="501"/>
      <c r="BI694" s="106"/>
      <c r="BJ694" s="106"/>
      <c r="BK694" s="106"/>
      <c r="BL694" s="106"/>
      <c r="BM694" s="106"/>
      <c r="BN694" s="106"/>
      <c r="BO694" s="106"/>
    </row>
    <row r="695" spans="2:67" ht="3.75" customHeight="1" x14ac:dyDescent="0.25">
      <c r="Y695" s="501"/>
      <c r="BI695" s="106"/>
      <c r="BJ695" s="106"/>
      <c r="BK695" s="106"/>
      <c r="BL695" s="106"/>
      <c r="BM695" s="106"/>
      <c r="BN695" s="106"/>
      <c r="BO695" s="106"/>
    </row>
    <row r="696" spans="2:67" x14ac:dyDescent="0.25">
      <c r="B696" s="222"/>
      <c r="C696" s="222"/>
      <c r="D696" s="221"/>
      <c r="E696" s="221"/>
      <c r="F696" s="212" t="s">
        <v>286</v>
      </c>
      <c r="G696" s="215"/>
      <c r="H696" s="216">
        <f>IF(Tra03_15=AIS_statement32,AIS_NA,1)</f>
        <v>1</v>
      </c>
      <c r="J696" s="221"/>
      <c r="K696" s="221"/>
      <c r="L696" s="221"/>
      <c r="M696" s="221"/>
      <c r="N696" s="212" t="s">
        <v>287</v>
      </c>
      <c r="O696" s="215"/>
      <c r="P696" s="216" t="s">
        <v>125</v>
      </c>
      <c r="Q696" s="216"/>
      <c r="R696" s="732" t="str">
        <f>IF(Tra01_07=AIS_Statement81,AIS_statement73,"")</f>
        <v>Instruction: the building type category must be defined for both BREEAM issues Tra 01 and Tra 03 to calculate the total number of credits available for the transport section and therefore issue contribution to overall score.</v>
      </c>
      <c r="S696" s="740"/>
      <c r="T696" s="740"/>
      <c r="U696" s="740"/>
      <c r="V696" s="740"/>
      <c r="W696" s="740"/>
      <c r="Y696" s="501"/>
      <c r="BI696" s="106"/>
      <c r="BJ696" s="106"/>
      <c r="BK696" s="106"/>
      <c r="BL696" s="106"/>
      <c r="BM696" s="106"/>
      <c r="BN696" s="106"/>
      <c r="BO696" s="106"/>
    </row>
    <row r="697" spans="2:67" ht="36" customHeight="1" x14ac:dyDescent="0.25">
      <c r="R697" s="740"/>
      <c r="S697" s="740"/>
      <c r="T697" s="740"/>
      <c r="U697" s="740"/>
      <c r="V697" s="740"/>
      <c r="W697" s="740"/>
      <c r="Y697" s="501"/>
      <c r="BI697" s="106"/>
      <c r="BJ697" s="106"/>
      <c r="BK697" s="106"/>
      <c r="BL697" s="106"/>
      <c r="BM697" s="106"/>
      <c r="BN697" s="106"/>
      <c r="BO697" s="106"/>
    </row>
    <row r="698" spans="2:67" x14ac:dyDescent="0.25">
      <c r="B698" s="222"/>
      <c r="C698" s="222"/>
      <c r="D698" s="221"/>
      <c r="E698" s="221"/>
      <c r="F698" s="212"/>
      <c r="G698" s="212"/>
      <c r="H698" s="212" t="s">
        <v>495</v>
      </c>
      <c r="J698" s="701" t="s">
        <v>488</v>
      </c>
      <c r="K698" s="763"/>
      <c r="L698" s="763"/>
      <c r="M698" s="763"/>
      <c r="N698" s="763"/>
      <c r="O698" s="763"/>
      <c r="P698" s="764"/>
      <c r="Q698" s="574"/>
      <c r="Y698" s="501"/>
      <c r="BI698" s="106"/>
      <c r="BJ698" s="106"/>
      <c r="BK698" s="106"/>
      <c r="BL698" s="106"/>
      <c r="BM698" s="106"/>
      <c r="BN698" s="106"/>
      <c r="BO698" s="106"/>
    </row>
    <row r="699" spans="2:67" ht="3" customHeight="1" x14ac:dyDescent="0.25">
      <c r="D699" s="215"/>
      <c r="E699" s="215"/>
      <c r="F699" s="225"/>
      <c r="G699" s="225"/>
      <c r="H699" s="225"/>
      <c r="J699" s="196"/>
      <c r="K699" s="291"/>
      <c r="L699" s="291"/>
      <c r="M699" s="291"/>
      <c r="N699" s="291"/>
      <c r="O699" s="291"/>
      <c r="P699" s="291"/>
      <c r="Q699" s="291"/>
      <c r="Y699" s="501"/>
      <c r="BI699" s="106"/>
      <c r="BJ699" s="106"/>
      <c r="BK699" s="106"/>
      <c r="BL699" s="106"/>
      <c r="BM699" s="106"/>
      <c r="BN699" s="106"/>
      <c r="BO699" s="106"/>
    </row>
    <row r="700" spans="2:67" x14ac:dyDescent="0.25">
      <c r="B700" s="222"/>
      <c r="C700" s="222"/>
      <c r="D700" s="221"/>
      <c r="E700" s="221"/>
      <c r="F700" s="212"/>
      <c r="G700" s="212"/>
      <c r="H700" s="212" t="s">
        <v>496</v>
      </c>
      <c r="J700" s="747" t="s">
        <v>497</v>
      </c>
      <c r="K700" s="747"/>
      <c r="L700" s="747"/>
      <c r="M700" s="747"/>
      <c r="N700" s="747"/>
      <c r="O700" s="747"/>
      <c r="P700" s="747"/>
      <c r="Q700" s="291"/>
      <c r="S700" s="11"/>
      <c r="Y700" s="501"/>
      <c r="BI700" s="106"/>
      <c r="BJ700" s="106"/>
      <c r="BK700" s="106"/>
      <c r="BL700" s="106"/>
      <c r="BM700" s="106"/>
      <c r="BN700" s="106"/>
      <c r="BO700" s="106"/>
    </row>
    <row r="701" spans="2:67" ht="3" customHeight="1" x14ac:dyDescent="0.25">
      <c r="D701" s="215"/>
      <c r="E701" s="215"/>
      <c r="F701" s="225"/>
      <c r="G701" s="225"/>
      <c r="H701" s="225"/>
      <c r="J701" s="196"/>
      <c r="K701" s="291"/>
      <c r="L701" s="291"/>
      <c r="M701" s="291"/>
      <c r="N701" s="291"/>
      <c r="O701" s="291"/>
      <c r="P701" s="291"/>
      <c r="Q701" s="291"/>
      <c r="Y701" s="501"/>
      <c r="BI701" s="106"/>
      <c r="BJ701" s="106"/>
      <c r="BK701" s="106"/>
      <c r="BL701" s="106"/>
      <c r="BM701" s="106"/>
      <c r="BN701" s="106"/>
      <c r="BO701" s="106"/>
    </row>
    <row r="702" spans="2:67" x14ac:dyDescent="0.25">
      <c r="B702" s="359"/>
      <c r="C702" s="359"/>
      <c r="D702" s="359"/>
      <c r="E702" s="359"/>
      <c r="F702" s="359"/>
      <c r="G702" s="359"/>
      <c r="H702" s="359" t="s">
        <v>498</v>
      </c>
      <c r="J702" s="638"/>
      <c r="K702" s="291"/>
      <c r="L702" s="291"/>
      <c r="M702" s="291"/>
      <c r="N702" s="291"/>
      <c r="O702" s="291"/>
      <c r="P702" s="291"/>
      <c r="Q702" s="291"/>
      <c r="R702" s="778" t="str">
        <f>IF(AND(Tra03_02=Tra03_LT_Resi,OR(Tra03_16=Tra03_cycle,Tra03_16=Tra03_cycle_fac)),"Please note: if this is a sheltered housing, care home or supported living facility, wheelechair or electric buggy storage space is also required to achive the 1st credit. See Table 26 for guidance.","")</f>
        <v/>
      </c>
      <c r="S702" s="778"/>
      <c r="T702" s="778"/>
      <c r="U702" s="778"/>
      <c r="V702" s="778"/>
      <c r="W702" s="778"/>
      <c r="X702" s="778"/>
      <c r="Y702" s="501"/>
      <c r="BI702" s="106"/>
      <c r="BJ702" s="106"/>
      <c r="BK702" s="106"/>
      <c r="BL702" s="106"/>
      <c r="BM702" s="106"/>
      <c r="BN702" s="106"/>
      <c r="BO702" s="106"/>
    </row>
    <row r="703" spans="2:67" ht="3" customHeight="1" x14ac:dyDescent="0.25">
      <c r="D703" s="215"/>
      <c r="E703" s="215"/>
      <c r="F703" s="225"/>
      <c r="G703" s="225"/>
      <c r="H703" s="225"/>
      <c r="J703" s="196"/>
      <c r="K703" s="291"/>
      <c r="L703" s="291"/>
      <c r="M703" s="291"/>
      <c r="N703" s="291"/>
      <c r="O703" s="291"/>
      <c r="P703" s="291"/>
      <c r="Q703" s="291"/>
      <c r="R703" s="778"/>
      <c r="S703" s="778"/>
      <c r="T703" s="778"/>
      <c r="U703" s="778"/>
      <c r="V703" s="778"/>
      <c r="W703" s="778"/>
      <c r="X703" s="778"/>
      <c r="Y703" s="501"/>
      <c r="BI703" s="106"/>
      <c r="BJ703" s="106"/>
      <c r="BK703" s="106"/>
      <c r="BL703" s="106"/>
      <c r="BM703" s="106"/>
      <c r="BN703" s="106"/>
      <c r="BO703" s="106"/>
    </row>
    <row r="704" spans="2:67" ht="20.25" customHeight="1" x14ac:dyDescent="0.25">
      <c r="B704" s="359"/>
      <c r="C704" s="359"/>
      <c r="D704" s="359"/>
      <c r="E704" s="359"/>
      <c r="F704" s="359"/>
      <c r="G704" s="359"/>
      <c r="H704" s="359" t="s">
        <v>499</v>
      </c>
      <c r="J704" s="638"/>
      <c r="K704" s="291"/>
      <c r="L704" s="291"/>
      <c r="M704" s="291"/>
      <c r="N704" s="291"/>
      <c r="O704" s="291"/>
      <c r="P704" s="291"/>
      <c r="Q704" s="291"/>
      <c r="R704" s="778"/>
      <c r="S704" s="778"/>
      <c r="T704" s="778"/>
      <c r="U704" s="778"/>
      <c r="V704" s="778"/>
      <c r="W704" s="778"/>
      <c r="X704" s="778"/>
      <c r="Y704" s="501"/>
      <c r="BI704" s="106"/>
      <c r="BJ704" s="106"/>
      <c r="BK704" s="106"/>
      <c r="BL704" s="106"/>
      <c r="BM704" s="106"/>
      <c r="BN704" s="106"/>
      <c r="BO704" s="106"/>
    </row>
    <row r="705" spans="2:67" ht="3" customHeight="1" x14ac:dyDescent="0.25">
      <c r="B705" s="192"/>
      <c r="C705" s="192"/>
      <c r="D705" s="295"/>
      <c r="E705" s="295"/>
      <c r="F705" s="274"/>
      <c r="G705" s="274"/>
      <c r="H705" s="274" t="s">
        <v>500</v>
      </c>
      <c r="J705" s="762"/>
      <c r="K705" s="762"/>
      <c r="L705" s="762"/>
      <c r="M705" s="762"/>
      <c r="N705" s="762"/>
      <c r="O705" s="762"/>
      <c r="P705" s="762"/>
      <c r="Q705" s="575"/>
      <c r="R705" s="778"/>
      <c r="S705" s="778"/>
      <c r="T705" s="778"/>
      <c r="U705" s="778"/>
      <c r="V705" s="778"/>
      <c r="W705" s="778"/>
      <c r="X705" s="778"/>
      <c r="Y705" s="501"/>
      <c r="BI705" s="106"/>
      <c r="BJ705" s="106"/>
      <c r="BK705" s="106"/>
      <c r="BL705" s="106"/>
      <c r="BM705" s="106"/>
      <c r="BN705" s="106"/>
      <c r="BO705" s="106"/>
    </row>
    <row r="706" spans="2:67" ht="20.25" customHeight="1" x14ac:dyDescent="0.2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501"/>
      <c r="BI706" s="106"/>
      <c r="BJ706" s="106"/>
      <c r="BK706" s="106"/>
      <c r="BL706" s="106"/>
      <c r="BM706" s="106"/>
      <c r="BN706" s="106"/>
      <c r="BO706" s="106"/>
    </row>
    <row r="707" spans="2:67" x14ac:dyDescent="0.25">
      <c r="B707" s="782" t="s">
        <v>501</v>
      </c>
      <c r="C707" s="782"/>
      <c r="D707" s="782"/>
      <c r="E707" s="782"/>
      <c r="F707" s="782"/>
      <c r="G707" s="782"/>
      <c r="H707" s="782"/>
      <c r="I707" s="35"/>
      <c r="J707" s="779" t="s">
        <v>497</v>
      </c>
      <c r="K707" s="780"/>
      <c r="L707" s="780"/>
      <c r="M707" s="780"/>
      <c r="N707" s="780"/>
      <c r="O707" s="780"/>
      <c r="P707" s="781"/>
      <c r="Q707" s="35"/>
      <c r="R707" s="35"/>
      <c r="S707" s="35"/>
      <c r="T707" s="778" t="str">
        <f>IF(OR(Tra03_16=Tra03_cycle,Tra03_17=Tra03_cycle),"Both options must be fully implemented to award the exemplary level credit.","")</f>
        <v/>
      </c>
      <c r="U707" s="778"/>
      <c r="V707" s="778"/>
      <c r="W707" s="778"/>
      <c r="X707" s="778"/>
      <c r="Y707" s="501"/>
      <c r="BI707" s="106"/>
      <c r="BJ707" s="106"/>
      <c r="BK707" s="106"/>
      <c r="BL707" s="106"/>
      <c r="BM707" s="106"/>
      <c r="BN707" s="106"/>
      <c r="BO707" s="106"/>
    </row>
    <row r="708" spans="2:67" x14ac:dyDescent="0.25">
      <c r="N708" s="192"/>
      <c r="T708" s="778"/>
      <c r="U708" s="778"/>
      <c r="V708" s="778"/>
      <c r="W708" s="778"/>
      <c r="X708" s="778"/>
      <c r="Y708" s="501"/>
      <c r="BI708" s="106"/>
      <c r="BJ708" s="106"/>
      <c r="BK708" s="106"/>
      <c r="BL708" s="106"/>
      <c r="BM708" s="106"/>
      <c r="BN708" s="106"/>
      <c r="BO708" s="106"/>
    </row>
    <row r="709" spans="2:67" x14ac:dyDescent="0.25">
      <c r="B709" s="221"/>
      <c r="C709" s="222"/>
      <c r="D709" s="222"/>
      <c r="E709" s="221"/>
      <c r="F709" s="212" t="s">
        <v>296</v>
      </c>
      <c r="G709" s="215"/>
      <c r="H709" s="216">
        <f>IF(ISERROR(Tra03_Tot_Err),0,Tra03_Tot_Err)</f>
        <v>0</v>
      </c>
      <c r="J709" s="203"/>
      <c r="K709" s="215"/>
      <c r="M709" s="215"/>
      <c r="N709" s="215"/>
      <c r="O709" s="215"/>
      <c r="P709" s="215"/>
      <c r="Q709" s="215"/>
      <c r="R709" s="741"/>
      <c r="S709" s="741"/>
      <c r="T709" s="741"/>
      <c r="U709" s="741"/>
      <c r="V709" s="741"/>
      <c r="W709" s="741"/>
      <c r="Y709" s="501"/>
      <c r="BI709" s="106"/>
      <c r="BJ709" s="106"/>
      <c r="BK709" s="106"/>
      <c r="BL709" s="106"/>
      <c r="BM709" s="106"/>
      <c r="BN709" s="106"/>
      <c r="BO709" s="106"/>
    </row>
    <row r="710" spans="2:67" ht="3" customHeight="1" x14ac:dyDescent="0.25">
      <c r="B710" s="215"/>
      <c r="E710" s="215"/>
      <c r="F710" s="225"/>
      <c r="G710" s="215"/>
      <c r="H710" s="252"/>
      <c r="J710" s="203"/>
      <c r="K710" s="215"/>
      <c r="M710" s="215"/>
      <c r="N710" s="215"/>
      <c r="O710" s="215"/>
      <c r="P710" s="215"/>
      <c r="Q710" s="215"/>
      <c r="R710" s="741"/>
      <c r="S710" s="741"/>
      <c r="T710" s="741"/>
      <c r="U710" s="741"/>
      <c r="V710" s="741"/>
      <c r="W710" s="741"/>
      <c r="Y710" s="501"/>
      <c r="BI710" s="106"/>
      <c r="BJ710" s="106"/>
      <c r="BK710" s="106"/>
      <c r="BL710" s="106"/>
      <c r="BM710" s="106"/>
      <c r="BN710" s="106"/>
      <c r="BO710" s="106"/>
    </row>
    <row r="711" spans="2:67" x14ac:dyDescent="0.25">
      <c r="B711" s="221"/>
      <c r="C711" s="222"/>
      <c r="D711" s="222"/>
      <c r="E711" s="221"/>
      <c r="F711" s="212" t="s">
        <v>297</v>
      </c>
      <c r="G711" s="215"/>
      <c r="H711" s="217" t="str">
        <f>IF(ISERROR(Tra03_14_Err),AIS_Statement81,Tra03_14_Err)</f>
        <v>See instruction</v>
      </c>
      <c r="J711" s="203"/>
      <c r="K711" s="215"/>
      <c r="M711" s="215"/>
      <c r="N711" s="215"/>
      <c r="O711" s="215"/>
      <c r="P711" s="215"/>
      <c r="Q711" s="215"/>
      <c r="R711" s="741"/>
      <c r="S711" s="741"/>
      <c r="T711" s="741"/>
      <c r="U711" s="741"/>
      <c r="V711" s="741"/>
      <c r="W711" s="741"/>
      <c r="Y711" s="501"/>
      <c r="BI711" s="106"/>
      <c r="BJ711" s="106"/>
      <c r="BK711" s="106"/>
      <c r="BL711" s="106"/>
      <c r="BM711" s="106"/>
      <c r="BN711" s="106"/>
      <c r="BO711" s="106"/>
    </row>
    <row r="712" spans="2:67" ht="3" customHeight="1" x14ac:dyDescent="0.25">
      <c r="K712" s="215"/>
      <c r="M712" s="215"/>
      <c r="N712" s="215"/>
      <c r="O712" s="215"/>
      <c r="P712" s="215"/>
      <c r="Q712" s="215"/>
      <c r="S712" s="20"/>
      <c r="T712" s="20"/>
      <c r="U712" s="20"/>
      <c r="V712" s="20"/>
      <c r="W712" s="20"/>
      <c r="Y712" s="501"/>
      <c r="BI712" s="106"/>
      <c r="BJ712" s="106"/>
      <c r="BK712" s="106"/>
      <c r="BL712" s="106"/>
      <c r="BM712" s="106"/>
      <c r="BN712" s="106"/>
      <c r="BO712" s="106"/>
    </row>
    <row r="713" spans="2:67" x14ac:dyDescent="0.25">
      <c r="B713" s="221"/>
      <c r="C713" s="222"/>
      <c r="D713" s="222"/>
      <c r="E713" s="221"/>
      <c r="F713" s="212" t="s">
        <v>298</v>
      </c>
      <c r="H713" s="216">
        <f>IF(Tra03_15=AIS_statement32,AIS_NA,IF(Tra03_16=Tra03_cycle,0,IF(OR(Tra03_17="",Tra03_17=Tra03_option00,Tra03_17=Tra03_cycle),0,1)))</f>
        <v>0</v>
      </c>
      <c r="K713" s="215"/>
      <c r="M713" s="215"/>
      <c r="N713" s="215"/>
      <c r="O713" s="215"/>
      <c r="P713" s="215"/>
      <c r="Q713" s="215"/>
      <c r="R713" s="741"/>
      <c r="S713" s="741"/>
      <c r="T713" s="741"/>
      <c r="U713" s="741"/>
      <c r="V713" s="741"/>
      <c r="W713" s="741"/>
      <c r="Y713" s="501"/>
      <c r="BI713" s="106"/>
      <c r="BJ713" s="106"/>
      <c r="BK713" s="106"/>
      <c r="BL713" s="106"/>
      <c r="BM713" s="106"/>
      <c r="BN713" s="106"/>
      <c r="BO713" s="106"/>
    </row>
    <row r="714" spans="2:67" ht="3" customHeight="1" x14ac:dyDescent="0.25">
      <c r="K714" s="215"/>
      <c r="M714" s="215"/>
      <c r="N714" s="215"/>
      <c r="O714" s="215"/>
      <c r="P714" s="215"/>
      <c r="Q714" s="215"/>
      <c r="R714" s="741"/>
      <c r="S714" s="741"/>
      <c r="T714" s="741"/>
      <c r="U714" s="741"/>
      <c r="V714" s="741"/>
      <c r="W714" s="741"/>
      <c r="Y714" s="501"/>
      <c r="BI714" s="106"/>
      <c r="BJ714" s="106"/>
      <c r="BK714" s="106"/>
      <c r="BL714" s="106"/>
      <c r="BM714" s="106"/>
      <c r="BN714" s="106"/>
      <c r="BO714" s="106"/>
    </row>
    <row r="715" spans="2:67" x14ac:dyDescent="0.25">
      <c r="B715" s="221"/>
      <c r="C715" s="222"/>
      <c r="D715" s="221"/>
      <c r="E715" s="221"/>
      <c r="F715" s="212" t="s">
        <v>299</v>
      </c>
      <c r="H715" s="216" t="s">
        <v>300</v>
      </c>
      <c r="K715" s="215"/>
      <c r="M715" s="215"/>
      <c r="N715" s="215"/>
      <c r="O715" s="215"/>
      <c r="P715" s="215"/>
      <c r="Q715" s="215"/>
      <c r="R715" s="741"/>
      <c r="S715" s="741"/>
      <c r="T715" s="741"/>
      <c r="U715" s="741"/>
      <c r="V715" s="741"/>
      <c r="W715" s="741"/>
      <c r="Y715" s="501"/>
      <c r="BI715" s="106"/>
      <c r="BJ715" s="106"/>
      <c r="BK715" s="106"/>
      <c r="BL715" s="106"/>
      <c r="BM715" s="106"/>
      <c r="BN715" s="106"/>
      <c r="BO715" s="106"/>
    </row>
    <row r="716" spans="2:67" x14ac:dyDescent="0.25">
      <c r="M716" s="215"/>
      <c r="N716" s="215"/>
      <c r="O716" s="215"/>
      <c r="P716" s="215"/>
      <c r="Q716" s="215"/>
      <c r="Y716" s="501"/>
      <c r="BI716" s="106"/>
      <c r="BJ716" s="106"/>
      <c r="BK716" s="106"/>
      <c r="BL716" s="106"/>
      <c r="BM716" s="106"/>
      <c r="BN716" s="106"/>
      <c r="BO716" s="106"/>
    </row>
    <row r="717" spans="2:67" x14ac:dyDescent="0.25">
      <c r="B717" s="235" t="s">
        <v>301</v>
      </c>
      <c r="C717" s="215"/>
      <c r="D717" s="215"/>
      <c r="E717" s="215"/>
      <c r="F717" s="225"/>
      <c r="G717" s="215"/>
      <c r="H717" s="215"/>
      <c r="I717" s="215"/>
      <c r="J717" s="215"/>
      <c r="K717" s="215"/>
      <c r="L717" s="215"/>
      <c r="M717" s="215"/>
      <c r="N717" s="215"/>
      <c r="O717" s="215"/>
      <c r="P717" s="215"/>
      <c r="Q717" s="215"/>
      <c r="Y717" s="501"/>
      <c r="BI717" s="106"/>
      <c r="BJ717" s="106"/>
      <c r="BK717" s="106"/>
      <c r="BL717" s="106"/>
      <c r="BM717" s="106"/>
      <c r="BN717" s="106"/>
      <c r="BO717" s="106"/>
    </row>
    <row r="718" spans="2:67" ht="159.94999999999999" customHeight="1" x14ac:dyDescent="0.25">
      <c r="B718" s="736"/>
      <c r="C718" s="749"/>
      <c r="D718" s="749"/>
      <c r="E718" s="749"/>
      <c r="F718" s="749"/>
      <c r="G718" s="749"/>
      <c r="H718" s="749"/>
      <c r="I718" s="749"/>
      <c r="J718" s="749"/>
      <c r="K718" s="749"/>
      <c r="L718" s="749"/>
      <c r="M718" s="749"/>
      <c r="N718" s="749"/>
      <c r="O718" s="749"/>
      <c r="P718" s="750"/>
      <c r="Q718" s="415"/>
      <c r="Y718" s="501"/>
      <c r="BI718" s="106"/>
      <c r="BJ718" s="106"/>
      <c r="BK718" s="106"/>
      <c r="BL718" s="106"/>
      <c r="BM718" s="106"/>
      <c r="BN718" s="106"/>
      <c r="BO718" s="106"/>
    </row>
    <row r="719" spans="2:67" ht="36" customHeight="1" x14ac:dyDescent="0.25">
      <c r="B719" s="27" t="s">
        <v>502</v>
      </c>
      <c r="C719" s="13"/>
      <c r="D719" s="236"/>
      <c r="E719" s="237"/>
      <c r="F719" s="237"/>
      <c r="G719" s="237"/>
      <c r="H719" s="237"/>
      <c r="I719" s="237"/>
      <c r="J719" s="237"/>
      <c r="K719" s="237"/>
      <c r="L719" s="237"/>
      <c r="M719" s="237"/>
      <c r="N719" s="237"/>
      <c r="O719" s="237"/>
      <c r="P719" s="329" t="str">
        <f>IF(ADBT0&lt;&gt;ADBT8,AIS_statement32,"")</f>
        <v>Assessment issue not applicable</v>
      </c>
      <c r="Q719" s="215"/>
      <c r="R719" s="318"/>
      <c r="Y719" s="501"/>
      <c r="AD719" s="515"/>
      <c r="BI719" s="106"/>
      <c r="BJ719" s="106"/>
      <c r="BK719" s="106"/>
      <c r="BL719" s="106"/>
      <c r="BM719" s="106"/>
      <c r="BN719" s="106"/>
      <c r="BO719" s="106"/>
    </row>
    <row r="720" spans="2:67" x14ac:dyDescent="0.25">
      <c r="B720" s="215"/>
      <c r="C720" s="215"/>
      <c r="D720" s="215"/>
      <c r="E720" s="215"/>
      <c r="F720" s="215"/>
      <c r="G720" s="215"/>
      <c r="H720" s="215"/>
      <c r="I720" s="215"/>
      <c r="J720" s="215"/>
      <c r="K720" s="215"/>
      <c r="L720" s="215"/>
      <c r="M720" s="215"/>
      <c r="N720" s="215"/>
      <c r="O720" s="215"/>
      <c r="P720" s="215"/>
      <c r="Q720" s="215"/>
      <c r="Y720" s="501"/>
      <c r="BI720" s="106"/>
      <c r="BJ720" s="106"/>
      <c r="BK720" s="106"/>
      <c r="BL720" s="106"/>
      <c r="BM720" s="106"/>
      <c r="BN720" s="106"/>
      <c r="BO720" s="106"/>
    </row>
    <row r="721" spans="2:67" x14ac:dyDescent="0.25">
      <c r="B721" s="222"/>
      <c r="C721" s="222"/>
      <c r="D721" s="221"/>
      <c r="E721" s="221"/>
      <c r="F721" s="212" t="s">
        <v>284</v>
      </c>
      <c r="G721" s="215"/>
      <c r="H721" s="216" t="str">
        <f>IF(Tra03b_15=AIS_statement32,AIS_NA,2)</f>
        <v>N/A</v>
      </c>
      <c r="J721" s="222"/>
      <c r="K721" s="222"/>
      <c r="L721" s="222"/>
      <c r="M721" s="222"/>
      <c r="N721" s="212" t="s">
        <v>285</v>
      </c>
      <c r="P721" s="651" t="str">
        <f>IF(Tra03b_15=AIS_statement32,AIS_NA,(BP_35/BP_04)*Tra03b_credits)</f>
        <v>N/A</v>
      </c>
      <c r="Q721" s="217"/>
      <c r="R721" s="209" t="str">
        <f>IF(Tra03_credits=AIS_Statement81,AIS_statement48,"")</f>
        <v/>
      </c>
      <c r="Y721" s="501"/>
      <c r="BI721" s="106"/>
      <c r="BJ721" s="106"/>
      <c r="BK721" s="106"/>
      <c r="BL721" s="106"/>
      <c r="BM721" s="106"/>
      <c r="BN721" s="106"/>
      <c r="BO721" s="106"/>
    </row>
    <row r="722" spans="2:67" ht="3.75" customHeight="1" x14ac:dyDescent="0.25">
      <c r="Y722" s="501"/>
      <c r="BI722" s="106"/>
      <c r="BJ722" s="106"/>
      <c r="BK722" s="106"/>
      <c r="BL722" s="106"/>
      <c r="BM722" s="106"/>
      <c r="BN722" s="106"/>
      <c r="BO722" s="106"/>
    </row>
    <row r="723" spans="2:67" x14ac:dyDescent="0.25">
      <c r="B723" s="222"/>
      <c r="C723" s="222"/>
      <c r="D723" s="221"/>
      <c r="E723" s="221"/>
      <c r="F723" s="212" t="s">
        <v>286</v>
      </c>
      <c r="G723" s="215"/>
      <c r="H723" s="216" t="str">
        <f>IF(Tra03b_15=AIS_statement32,AIS_NA,1)</f>
        <v>N/A</v>
      </c>
      <c r="J723" s="221"/>
      <c r="K723" s="221"/>
      <c r="L723" s="221"/>
      <c r="M723" s="221"/>
      <c r="N723" s="212" t="s">
        <v>287</v>
      </c>
      <c r="O723" s="215"/>
      <c r="P723" s="216" t="s">
        <v>125</v>
      </c>
      <c r="Q723" s="216"/>
      <c r="R723" s="732" t="str">
        <f>IF(Tra01_07=AIS_Statement81,AIS_statement73,"")</f>
        <v>Instruction: the building type category must be defined for both BREEAM issues Tra 01 and Tra 03 to calculate the total number of credits available for the transport section and therefore issue contribution to overall score.</v>
      </c>
      <c r="S723" s="740"/>
      <c r="T723" s="740"/>
      <c r="U723" s="740"/>
      <c r="V723" s="740"/>
      <c r="W723" s="740"/>
      <c r="Y723" s="501"/>
      <c r="BI723" s="106"/>
      <c r="BJ723" s="106"/>
      <c r="BK723" s="106"/>
      <c r="BL723" s="106"/>
      <c r="BM723" s="106"/>
      <c r="BN723" s="106"/>
      <c r="BO723" s="106"/>
    </row>
    <row r="724" spans="2:67" ht="36" customHeight="1" x14ac:dyDescent="0.25">
      <c r="R724" s="740"/>
      <c r="S724" s="740"/>
      <c r="T724" s="740"/>
      <c r="U724" s="740"/>
      <c r="V724" s="740"/>
      <c r="W724" s="740"/>
      <c r="Y724" s="501"/>
      <c r="BI724" s="106"/>
      <c r="BJ724" s="106"/>
      <c r="BK724" s="106"/>
      <c r="BL724" s="106"/>
      <c r="BM724" s="106"/>
      <c r="BN724" s="106"/>
      <c r="BO724" s="106"/>
    </row>
    <row r="725" spans="2:67" x14ac:dyDescent="0.25">
      <c r="B725" s="222"/>
      <c r="C725" s="222"/>
      <c r="D725" s="221"/>
      <c r="E725" s="221"/>
      <c r="F725" s="212"/>
      <c r="G725" s="212"/>
      <c r="H725" s="212" t="s">
        <v>495</v>
      </c>
      <c r="J725" s="783"/>
      <c r="K725" s="784"/>
      <c r="L725" s="784"/>
      <c r="M725" s="784"/>
      <c r="N725" s="784"/>
      <c r="O725" s="784"/>
      <c r="P725" s="785"/>
      <c r="Q725" s="574"/>
      <c r="Y725" s="501"/>
      <c r="BI725" s="106"/>
      <c r="BJ725" s="106"/>
      <c r="BK725" s="106"/>
      <c r="BL725" s="106"/>
      <c r="BM725" s="106"/>
      <c r="BN725" s="106"/>
      <c r="BO725" s="106"/>
    </row>
    <row r="726" spans="2:67" ht="3" customHeight="1" x14ac:dyDescent="0.25">
      <c r="D726" s="215"/>
      <c r="E726" s="215"/>
      <c r="F726" s="225"/>
      <c r="G726" s="225"/>
      <c r="H726" s="225"/>
      <c r="J726" s="196"/>
      <c r="K726" s="291"/>
      <c r="L726" s="291"/>
      <c r="M726" s="291"/>
      <c r="N726" s="291"/>
      <c r="O726" s="291"/>
      <c r="P726" s="291"/>
      <c r="Q726" s="291"/>
      <c r="Y726" s="501"/>
      <c r="BI726" s="106"/>
      <c r="BJ726" s="106"/>
      <c r="BK726" s="106"/>
      <c r="BL726" s="106"/>
      <c r="BM726" s="106"/>
      <c r="BN726" s="106"/>
      <c r="BO726" s="106"/>
    </row>
    <row r="727" spans="2:67" x14ac:dyDescent="0.25">
      <c r="B727" s="222"/>
      <c r="C727" s="222"/>
      <c r="D727" s="221"/>
      <c r="E727" s="221"/>
      <c r="F727" s="212"/>
      <c r="G727" s="212"/>
      <c r="H727" s="212" t="s">
        <v>496</v>
      </c>
      <c r="J727" s="747" t="s">
        <v>497</v>
      </c>
      <c r="K727" s="747"/>
      <c r="L727" s="747"/>
      <c r="M727" s="747"/>
      <c r="N727" s="747"/>
      <c r="O727" s="747"/>
      <c r="P727" s="747"/>
      <c r="Q727" s="291"/>
      <c r="S727" s="11"/>
      <c r="Y727" s="501"/>
      <c r="BI727" s="106"/>
      <c r="BJ727" s="106"/>
      <c r="BK727" s="106"/>
      <c r="BL727" s="106"/>
      <c r="BM727" s="106"/>
      <c r="BN727" s="106"/>
      <c r="BO727" s="106"/>
    </row>
    <row r="728" spans="2:67" ht="3" customHeight="1" x14ac:dyDescent="0.25">
      <c r="D728" s="215"/>
      <c r="E728" s="215"/>
      <c r="F728" s="225"/>
      <c r="G728" s="225"/>
      <c r="H728" s="225"/>
      <c r="J728" s="196"/>
      <c r="K728" s="291"/>
      <c r="L728" s="291"/>
      <c r="M728" s="291"/>
      <c r="N728" s="291"/>
      <c r="O728" s="291"/>
      <c r="P728" s="291"/>
      <c r="Q728" s="291"/>
      <c r="Y728" s="501"/>
      <c r="BI728" s="106"/>
      <c r="BJ728" s="106"/>
      <c r="BK728" s="106"/>
      <c r="BL728" s="106"/>
      <c r="BM728" s="106"/>
      <c r="BN728" s="106"/>
      <c r="BO728" s="106"/>
    </row>
    <row r="729" spans="2:67" x14ac:dyDescent="0.25">
      <c r="B729" s="359"/>
      <c r="C729" s="359"/>
      <c r="D729" s="359"/>
      <c r="E729" s="359"/>
      <c r="F729" s="359"/>
      <c r="G729" s="359"/>
      <c r="H729" s="359" t="s">
        <v>498</v>
      </c>
      <c r="J729" s="638"/>
      <c r="K729" s="291"/>
      <c r="L729" s="291"/>
      <c r="M729" s="291"/>
      <c r="N729" s="291"/>
      <c r="O729" s="291"/>
      <c r="P729" s="291"/>
      <c r="Q729" s="291"/>
      <c r="R729" s="778" t="str">
        <f>IF(AND(Tra03_02=Tra03_LT_Resi,OR(Tra03_16=Tra03_cycle,Tra03_16=Tra03_cycle_fac)),"Please note: if this is a sheltered housing, care home or supported living facility, wheelechair or electric buggy storage space is also required to achive the 1st credit. See Table 26 for guidance.","")</f>
        <v/>
      </c>
      <c r="S729" s="778"/>
      <c r="T729" s="778"/>
      <c r="U729" s="778"/>
      <c r="V729" s="778"/>
      <c r="W729" s="778"/>
      <c r="X729" s="778"/>
      <c r="Y729" s="501"/>
      <c r="BI729" s="106"/>
      <c r="BJ729" s="106"/>
      <c r="BK729" s="106"/>
      <c r="BL729" s="106"/>
      <c r="BM729" s="106"/>
      <c r="BN729" s="106"/>
      <c r="BO729" s="106"/>
    </row>
    <row r="730" spans="2:67" ht="3" customHeight="1" x14ac:dyDescent="0.25">
      <c r="D730" s="215"/>
      <c r="E730" s="215"/>
      <c r="F730" s="225"/>
      <c r="G730" s="225"/>
      <c r="H730" s="225"/>
      <c r="J730" s="196"/>
      <c r="K730" s="291"/>
      <c r="L730" s="291"/>
      <c r="M730" s="291"/>
      <c r="N730" s="291"/>
      <c r="O730" s="291"/>
      <c r="P730" s="291"/>
      <c r="Q730" s="291"/>
      <c r="R730" s="778"/>
      <c r="S730" s="778"/>
      <c r="T730" s="778"/>
      <c r="U730" s="778"/>
      <c r="V730" s="778"/>
      <c r="W730" s="778"/>
      <c r="X730" s="778"/>
      <c r="Y730" s="501"/>
      <c r="BI730" s="106"/>
      <c r="BJ730" s="106"/>
      <c r="BK730" s="106"/>
      <c r="BL730" s="106"/>
      <c r="BM730" s="106"/>
      <c r="BN730" s="106"/>
      <c r="BO730" s="106"/>
    </row>
    <row r="731" spans="2:67" ht="18" customHeight="1" x14ac:dyDescent="0.25">
      <c r="B731" s="359"/>
      <c r="C731" s="359"/>
      <c r="D731" s="359"/>
      <c r="E731" s="359"/>
      <c r="F731" s="359"/>
      <c r="G731" s="359"/>
      <c r="H731" s="359" t="s">
        <v>499</v>
      </c>
      <c r="J731" s="638"/>
      <c r="K731" s="291"/>
      <c r="L731" s="291"/>
      <c r="M731" s="291"/>
      <c r="N731" s="291"/>
      <c r="O731" s="291"/>
      <c r="P731" s="291"/>
      <c r="Q731" s="291"/>
      <c r="R731" s="778"/>
      <c r="S731" s="778"/>
      <c r="T731" s="778"/>
      <c r="U731" s="778"/>
      <c r="V731" s="778"/>
      <c r="W731" s="778"/>
      <c r="X731" s="778"/>
      <c r="Y731" s="501"/>
      <c r="BI731" s="106"/>
      <c r="BJ731" s="106"/>
      <c r="BK731" s="106"/>
      <c r="BL731" s="106"/>
      <c r="BM731" s="106"/>
      <c r="BN731" s="106"/>
      <c r="BO731" s="106"/>
    </row>
    <row r="732" spans="2:67" ht="3" customHeight="1" x14ac:dyDescent="0.25">
      <c r="B732" s="192"/>
      <c r="C732" s="192"/>
      <c r="D732" s="192"/>
      <c r="E732" s="192"/>
      <c r="F732" s="192"/>
      <c r="G732" s="192"/>
      <c r="H732" s="192"/>
      <c r="J732" s="695"/>
      <c r="K732" s="291"/>
      <c r="L732" s="291"/>
      <c r="M732" s="291"/>
      <c r="N732" s="291"/>
      <c r="O732" s="291"/>
      <c r="P732" s="291"/>
      <c r="Q732" s="291"/>
      <c r="R732" s="778"/>
      <c r="S732" s="778"/>
      <c r="T732" s="778"/>
      <c r="U732" s="778"/>
      <c r="V732" s="778"/>
      <c r="W732" s="778"/>
      <c r="X732" s="778"/>
      <c r="Y732" s="501"/>
      <c r="BI732" s="106"/>
      <c r="BJ732" s="106"/>
      <c r="BK732" s="106"/>
      <c r="BL732" s="106"/>
      <c r="BM732" s="106"/>
      <c r="BN732" s="106"/>
      <c r="BO732" s="106"/>
    </row>
    <row r="733" spans="2:67" ht="18.75" customHeight="1" x14ac:dyDescent="0.25">
      <c r="B733" s="192"/>
      <c r="C733" s="192"/>
      <c r="D733" s="295"/>
      <c r="E733" s="295"/>
      <c r="F733" s="274"/>
      <c r="G733" s="274"/>
      <c r="H733" s="274" t="s">
        <v>500</v>
      </c>
      <c r="J733" s="762" t="s">
        <v>488</v>
      </c>
      <c r="K733" s="762"/>
      <c r="L733" s="762"/>
      <c r="M733" s="762"/>
      <c r="N733" s="762"/>
      <c r="O733" s="762"/>
      <c r="P733" s="762"/>
      <c r="Q733" s="575"/>
      <c r="R733" s="778"/>
      <c r="S733" s="778"/>
      <c r="T733" s="778"/>
      <c r="U733" s="778"/>
      <c r="V733" s="778"/>
      <c r="W733" s="778"/>
      <c r="X733" s="778"/>
      <c r="Y733" s="501"/>
      <c r="BI733" s="106"/>
      <c r="BJ733" s="106"/>
      <c r="BK733" s="106"/>
      <c r="BL733" s="106"/>
      <c r="BM733" s="106"/>
      <c r="BN733" s="106"/>
      <c r="BO733" s="106"/>
    </row>
    <row r="734" spans="2:67" ht="3.6" customHeight="1" x14ac:dyDescent="0.2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501"/>
      <c r="BI734" s="106"/>
      <c r="BJ734" s="106"/>
      <c r="BK734" s="106"/>
      <c r="BL734" s="106"/>
      <c r="BM734" s="106"/>
      <c r="BN734" s="106"/>
      <c r="BO734" s="106"/>
    </row>
    <row r="735" spans="2:67" x14ac:dyDescent="0.25">
      <c r="B735" s="782" t="s">
        <v>501</v>
      </c>
      <c r="C735" s="782"/>
      <c r="D735" s="782"/>
      <c r="E735" s="782"/>
      <c r="F735" s="782"/>
      <c r="G735" s="782"/>
      <c r="H735" s="782"/>
      <c r="I735" s="35"/>
      <c r="J735" s="779" t="s">
        <v>497</v>
      </c>
      <c r="K735" s="780"/>
      <c r="L735" s="780"/>
      <c r="M735" s="780"/>
      <c r="N735" s="780"/>
      <c r="O735" s="780"/>
      <c r="P735" s="781"/>
      <c r="Q735" s="35"/>
      <c r="R735" s="35"/>
      <c r="S735" s="35"/>
      <c r="T735" s="778" t="str">
        <f>IF(OR(Tra03b_16=Tra03b_cycle,Tra03b_17=Tra03b_cycle),"Both options must be fully implemented to award the exemplary level credit.","")</f>
        <v/>
      </c>
      <c r="U735" s="778"/>
      <c r="V735" s="778"/>
      <c r="W735" s="778"/>
      <c r="X735" s="778"/>
      <c r="Y735" s="501"/>
      <c r="BI735" s="106"/>
      <c r="BJ735" s="106"/>
      <c r="BK735" s="106"/>
      <c r="BL735" s="106"/>
      <c r="BM735" s="106"/>
      <c r="BN735" s="106"/>
      <c r="BO735" s="106"/>
    </row>
    <row r="736" spans="2:67" x14ac:dyDescent="0.25">
      <c r="N736" s="192"/>
      <c r="Y736" s="501"/>
      <c r="BI736" s="106"/>
      <c r="BJ736" s="106"/>
      <c r="BK736" s="106"/>
      <c r="BL736" s="106"/>
      <c r="BM736" s="106"/>
      <c r="BN736" s="106"/>
      <c r="BO736" s="106"/>
    </row>
    <row r="737" spans="2:67" x14ac:dyDescent="0.25">
      <c r="B737" s="221"/>
      <c r="C737" s="222"/>
      <c r="D737" s="222"/>
      <c r="E737" s="221"/>
      <c r="F737" s="212" t="s">
        <v>296</v>
      </c>
      <c r="G737" s="215"/>
      <c r="H737" s="216" t="str">
        <f>IF(ISERROR(Tra03b_tot_err),0,Tra03b_tot_err)</f>
        <v>N/A</v>
      </c>
      <c r="J737" s="203"/>
      <c r="K737" s="215"/>
      <c r="M737" s="215"/>
      <c r="N737" s="215"/>
      <c r="O737" s="215"/>
      <c r="P737" s="215"/>
      <c r="Q737" s="215"/>
      <c r="R737" s="741"/>
      <c r="S737" s="741"/>
      <c r="T737" s="741"/>
      <c r="U737" s="741"/>
      <c r="V737" s="741"/>
      <c r="W737" s="741"/>
      <c r="Y737" s="501"/>
      <c r="BI737" s="106"/>
      <c r="BJ737" s="106"/>
      <c r="BK737" s="106"/>
      <c r="BL737" s="106"/>
      <c r="BM737" s="106"/>
      <c r="BN737" s="106"/>
      <c r="BO737" s="106"/>
    </row>
    <row r="738" spans="2:67" ht="3" customHeight="1" x14ac:dyDescent="0.25">
      <c r="B738" s="215"/>
      <c r="E738" s="215"/>
      <c r="F738" s="225"/>
      <c r="G738" s="215"/>
      <c r="H738" s="252"/>
      <c r="J738" s="203"/>
      <c r="K738" s="215"/>
      <c r="M738" s="215"/>
      <c r="N738" s="215"/>
      <c r="O738" s="215"/>
      <c r="P738" s="215"/>
      <c r="Q738" s="215"/>
      <c r="R738" s="741"/>
      <c r="S738" s="741"/>
      <c r="T738" s="741"/>
      <c r="U738" s="741"/>
      <c r="V738" s="741"/>
      <c r="W738" s="741"/>
      <c r="Y738" s="501"/>
      <c r="BI738" s="106"/>
      <c r="BJ738" s="106"/>
      <c r="BK738" s="106"/>
      <c r="BL738" s="106"/>
      <c r="BM738" s="106"/>
      <c r="BN738" s="106"/>
      <c r="BO738" s="106"/>
    </row>
    <row r="739" spans="2:67" x14ac:dyDescent="0.25">
      <c r="B739" s="221"/>
      <c r="C739" s="222"/>
      <c r="D739" s="222"/>
      <c r="E739" s="221"/>
      <c r="F739" s="212" t="s">
        <v>297</v>
      </c>
      <c r="G739" s="215"/>
      <c r="H739" s="217" t="str">
        <f>IF(ISERROR(Tra03b_14_err),AIS_Statement81,Tra03b_14_err)</f>
        <v>N/A</v>
      </c>
      <c r="J739" s="203"/>
      <c r="K739" s="215"/>
      <c r="M739" s="215"/>
      <c r="N739" s="215"/>
      <c r="O739" s="215"/>
      <c r="P739" s="215"/>
      <c r="Q739" s="215"/>
      <c r="R739" s="741"/>
      <c r="S739" s="741"/>
      <c r="T739" s="741"/>
      <c r="U739" s="741"/>
      <c r="V739" s="741"/>
      <c r="W739" s="741"/>
      <c r="Y739" s="501"/>
      <c r="BI739" s="106"/>
      <c r="BJ739" s="106"/>
      <c r="BK739" s="106"/>
      <c r="BL739" s="106"/>
      <c r="BM739" s="106"/>
      <c r="BN739" s="106"/>
      <c r="BO739" s="106"/>
    </row>
    <row r="740" spans="2:67" ht="3" customHeight="1" x14ac:dyDescent="0.25">
      <c r="K740" s="215"/>
      <c r="M740" s="215"/>
      <c r="N740" s="215"/>
      <c r="O740" s="215"/>
      <c r="P740" s="215"/>
      <c r="Q740" s="215"/>
      <c r="S740" s="20"/>
      <c r="T740" s="20"/>
      <c r="U740" s="20"/>
      <c r="V740" s="20"/>
      <c r="W740" s="20"/>
      <c r="Y740" s="501"/>
      <c r="BI740" s="106"/>
      <c r="BJ740" s="106"/>
      <c r="BK740" s="106"/>
      <c r="BL740" s="106"/>
      <c r="BM740" s="106"/>
      <c r="BN740" s="106"/>
      <c r="BO740" s="106"/>
    </row>
    <row r="741" spans="2:67" x14ac:dyDescent="0.25">
      <c r="B741" s="221"/>
      <c r="C741" s="222"/>
      <c r="D741" s="222"/>
      <c r="E741" s="221"/>
      <c r="F741" s="212" t="s">
        <v>298</v>
      </c>
      <c r="H741" s="216">
        <f>IF(Tra03b_16=Tra03b_cycle,0,IF(OR(Tra03b_17="",Tra03b_17="Please select",Tra03b_17=Tra03b_cycle),0,1))</f>
        <v>0</v>
      </c>
      <c r="K741" s="215"/>
      <c r="M741" s="215"/>
      <c r="N741" s="215"/>
      <c r="O741" s="215"/>
      <c r="P741" s="215"/>
      <c r="Q741" s="215"/>
      <c r="R741" s="741"/>
      <c r="S741" s="741"/>
      <c r="T741" s="741"/>
      <c r="U741" s="741"/>
      <c r="V741" s="741"/>
      <c r="W741" s="741"/>
      <c r="Y741" s="501"/>
      <c r="BI741" s="106"/>
      <c r="BJ741" s="106"/>
      <c r="BK741" s="106"/>
      <c r="BL741" s="106"/>
      <c r="BM741" s="106"/>
      <c r="BN741" s="106"/>
      <c r="BO741" s="106"/>
    </row>
    <row r="742" spans="2:67" ht="3" customHeight="1" x14ac:dyDescent="0.25">
      <c r="K742" s="215"/>
      <c r="M742" s="215"/>
      <c r="N742" s="215"/>
      <c r="O742" s="215"/>
      <c r="P742" s="215"/>
      <c r="Q742" s="215"/>
      <c r="R742" s="741"/>
      <c r="S742" s="741"/>
      <c r="T742" s="741"/>
      <c r="U742" s="741"/>
      <c r="V742" s="741"/>
      <c r="W742" s="741"/>
      <c r="Y742" s="501"/>
      <c r="BI742" s="106"/>
      <c r="BJ742" s="106"/>
      <c r="BK742" s="106"/>
      <c r="BL742" s="106"/>
      <c r="BM742" s="106"/>
      <c r="BN742" s="106"/>
      <c r="BO742" s="106"/>
    </row>
    <row r="743" spans="2:67" x14ac:dyDescent="0.25">
      <c r="B743" s="221"/>
      <c r="C743" s="222"/>
      <c r="D743" s="221"/>
      <c r="E743" s="221"/>
      <c r="F743" s="212" t="s">
        <v>299</v>
      </c>
      <c r="H743" s="216" t="s">
        <v>300</v>
      </c>
      <c r="K743" s="215"/>
      <c r="M743" s="215"/>
      <c r="N743" s="215"/>
      <c r="O743" s="215"/>
      <c r="P743" s="215"/>
      <c r="Q743" s="215"/>
      <c r="R743" s="741"/>
      <c r="S743" s="741"/>
      <c r="T743" s="741"/>
      <c r="U743" s="741"/>
      <c r="V743" s="741"/>
      <c r="W743" s="741"/>
      <c r="Y743" s="501"/>
      <c r="BI743" s="106"/>
      <c r="BJ743" s="106"/>
      <c r="BK743" s="106"/>
      <c r="BL743" s="106"/>
      <c r="BM743" s="106"/>
      <c r="BN743" s="106"/>
      <c r="BO743" s="106"/>
    </row>
    <row r="744" spans="2:67" x14ac:dyDescent="0.25">
      <c r="M744" s="215"/>
      <c r="N744" s="215"/>
      <c r="O744" s="215"/>
      <c r="P744" s="215"/>
      <c r="Q744" s="215"/>
      <c r="Y744" s="501"/>
      <c r="BI744" s="106"/>
      <c r="BJ744" s="106"/>
      <c r="BK744" s="106"/>
      <c r="BL744" s="106"/>
      <c r="BM744" s="106"/>
      <c r="BN744" s="106"/>
      <c r="BO744" s="106"/>
    </row>
    <row r="745" spans="2:67" x14ac:dyDescent="0.25">
      <c r="B745" s="235" t="s">
        <v>301</v>
      </c>
      <c r="C745" s="215"/>
      <c r="D745" s="215"/>
      <c r="E745" s="215"/>
      <c r="F745" s="225"/>
      <c r="G745" s="215"/>
      <c r="H745" s="215"/>
      <c r="I745" s="215"/>
      <c r="J745" s="215"/>
      <c r="K745" s="215"/>
      <c r="L745" s="215"/>
      <c r="M745" s="215"/>
      <c r="N745" s="215"/>
      <c r="O745" s="215"/>
      <c r="P745" s="215"/>
      <c r="Q745" s="215"/>
      <c r="Y745" s="501"/>
      <c r="BI745" s="106"/>
      <c r="BJ745" s="106"/>
      <c r="BK745" s="106"/>
      <c r="BL745" s="106"/>
      <c r="BM745" s="106"/>
      <c r="BN745" s="106"/>
      <c r="BO745" s="106"/>
    </row>
    <row r="746" spans="2:67" ht="159.94999999999999" customHeight="1" x14ac:dyDescent="0.25">
      <c r="B746" s="736"/>
      <c r="C746" s="749"/>
      <c r="D746" s="749"/>
      <c r="E746" s="749"/>
      <c r="F746" s="749"/>
      <c r="G746" s="749"/>
      <c r="H746" s="749"/>
      <c r="I746" s="749"/>
      <c r="J746" s="749"/>
      <c r="K746" s="749"/>
      <c r="L746" s="749"/>
      <c r="M746" s="749"/>
      <c r="N746" s="749"/>
      <c r="O746" s="749"/>
      <c r="P746" s="750"/>
      <c r="Q746" s="415"/>
      <c r="Y746" s="501"/>
      <c r="BI746" s="106"/>
      <c r="BJ746" s="106"/>
      <c r="BK746" s="106"/>
      <c r="BL746" s="106"/>
      <c r="BM746" s="106"/>
      <c r="BN746" s="106"/>
      <c r="BO746" s="106"/>
    </row>
    <row r="747" spans="2:67" ht="36" customHeight="1" x14ac:dyDescent="0.25">
      <c r="B747" s="27" t="s">
        <v>503</v>
      </c>
      <c r="C747" s="13"/>
      <c r="D747" s="236"/>
      <c r="E747" s="237"/>
      <c r="F747" s="237"/>
      <c r="G747" s="237"/>
      <c r="H747" s="237"/>
      <c r="I747" s="237"/>
      <c r="J747" s="237"/>
      <c r="K747" s="237"/>
      <c r="L747" s="237"/>
      <c r="M747" s="237"/>
      <c r="N747" s="237"/>
      <c r="O747" s="237"/>
      <c r="P747" s="329" t="str">
        <f>IF(OR(ADBT0=ADBT8,AD_tra01type=Tra01_school,AD_tra01type=Tra01_rural,AD_tra01type=Tra01_rural_sens),AIS_statement32,"")</f>
        <v/>
      </c>
      <c r="Q747" s="240"/>
      <c r="Y747" s="501"/>
      <c r="BI747" s="106"/>
      <c r="BJ747" s="106"/>
      <c r="BK747" s="106"/>
      <c r="BL747" s="106"/>
      <c r="BM747" s="106"/>
      <c r="BN747" s="106"/>
      <c r="BO747" s="106"/>
    </row>
    <row r="748" spans="2:67" x14ac:dyDescent="0.25">
      <c r="B748" s="215"/>
      <c r="C748" s="215"/>
      <c r="D748" s="215"/>
      <c r="E748" s="215"/>
      <c r="F748" s="215"/>
      <c r="G748" s="215"/>
      <c r="H748" s="215"/>
      <c r="I748" s="215"/>
      <c r="J748" s="215"/>
      <c r="K748" s="215"/>
      <c r="L748" s="215"/>
      <c r="M748" s="215"/>
      <c r="N748" s="215"/>
      <c r="O748" s="215"/>
      <c r="P748" s="215"/>
      <c r="Q748" s="215"/>
      <c r="Y748" s="501"/>
      <c r="AW748" s="501"/>
      <c r="BI748" s="106"/>
      <c r="BJ748" s="106"/>
      <c r="BK748" s="106"/>
      <c r="BL748" s="106"/>
      <c r="BM748" s="106"/>
      <c r="BN748" s="106"/>
      <c r="BO748" s="106"/>
    </row>
    <row r="749" spans="2:67" x14ac:dyDescent="0.25">
      <c r="B749" s="222"/>
      <c r="C749" s="222"/>
      <c r="D749" s="221"/>
      <c r="E749" s="221"/>
      <c r="F749" s="212" t="s">
        <v>284</v>
      </c>
      <c r="G749" s="215"/>
      <c r="H749" s="216">
        <f>IF(Tra04_07=AIS_statement32,AIS_NA,IF(tra04_06="",AIS_Statement81,IF(Tra03_02=Tra03_option06,1,2)))</f>
        <v>2</v>
      </c>
      <c r="J749" s="222"/>
      <c r="K749" s="222"/>
      <c r="L749" s="222"/>
      <c r="M749" s="222"/>
      <c r="N749" s="212" t="s">
        <v>285</v>
      </c>
      <c r="P749" s="217" t="str">
        <f>IF(ISERROR(Tra04_09_Err),AIS_Statement81,Tra04_09_Err)</f>
        <v>See instruction</v>
      </c>
      <c r="Q749" s="217"/>
      <c r="R749" s="209" t="str">
        <f>IF(P747=AIS_statement32,AIS_statement53,"")</f>
        <v/>
      </c>
      <c r="Y749" s="501"/>
      <c r="AW749" s="501"/>
      <c r="BI749" s="106"/>
      <c r="BJ749" s="106"/>
      <c r="BK749" s="106"/>
      <c r="BL749" s="106"/>
      <c r="BM749" s="106"/>
      <c r="BN749" s="106"/>
      <c r="BO749" s="106"/>
    </row>
    <row r="750" spans="2:67" ht="3.75" customHeight="1" x14ac:dyDescent="0.25">
      <c r="Y750" s="501"/>
      <c r="AW750" s="501"/>
      <c r="BI750" s="106"/>
      <c r="BJ750" s="106"/>
      <c r="BK750" s="106"/>
      <c r="BL750" s="106"/>
      <c r="BM750" s="106"/>
      <c r="BN750" s="106"/>
      <c r="BO750" s="106"/>
    </row>
    <row r="751" spans="2:67" x14ac:dyDescent="0.25">
      <c r="B751" s="222"/>
      <c r="C751" s="222"/>
      <c r="D751" s="221"/>
      <c r="E751" s="221"/>
      <c r="F751" s="212" t="s">
        <v>286</v>
      </c>
      <c r="G751" s="215"/>
      <c r="H751" s="216">
        <f>IF(Tra04_07=AIS_statement32,AIS_NA,0)</f>
        <v>0</v>
      </c>
      <c r="J751" s="221"/>
      <c r="K751" s="221"/>
      <c r="L751" s="221"/>
      <c r="M751" s="221"/>
      <c r="N751" s="212" t="s">
        <v>287</v>
      </c>
      <c r="O751" s="215"/>
      <c r="P751" s="216" t="str">
        <f>IF(Tra04_07=AIS_statement32,AIS_NA,AIS_No)</f>
        <v>No</v>
      </c>
      <c r="Q751" s="216"/>
      <c r="Y751" s="501"/>
      <c r="AW751" s="501"/>
      <c r="BI751" s="106"/>
      <c r="BJ751" s="106"/>
      <c r="BK751" s="106"/>
      <c r="BL751" s="106"/>
      <c r="BM751" s="106"/>
      <c r="BN751" s="106"/>
      <c r="BO751" s="106"/>
    </row>
    <row r="752" spans="2:67" ht="36" customHeight="1" x14ac:dyDescent="0.25">
      <c r="B752" s="215"/>
      <c r="C752" s="218"/>
      <c r="D752" s="215"/>
      <c r="E752" s="218"/>
      <c r="F752" s="244"/>
      <c r="G752" s="215"/>
      <c r="J752" s="245"/>
      <c r="K752" s="245"/>
      <c r="L752" s="215"/>
      <c r="M752" s="215"/>
      <c r="N752" s="246"/>
      <c r="O752" s="218"/>
      <c r="P752" s="246"/>
      <c r="Q752" s="246"/>
      <c r="Y752" s="501"/>
      <c r="AW752" s="501"/>
      <c r="BI752" s="106"/>
      <c r="BJ752" s="106"/>
      <c r="BK752" s="106"/>
      <c r="BL752" s="106"/>
      <c r="BM752" s="106"/>
      <c r="BN752" s="106"/>
      <c r="BO752" s="106"/>
    </row>
    <row r="753" spans="2:67" x14ac:dyDescent="0.25">
      <c r="B753" s="221"/>
      <c r="C753" s="221"/>
      <c r="D753" s="221"/>
      <c r="E753" s="221"/>
      <c r="F753" s="212"/>
      <c r="G753" s="221"/>
      <c r="H753" s="212" t="s">
        <v>504</v>
      </c>
      <c r="J753" s="783" t="str">
        <f>AD_tra01type</f>
        <v>Please select</v>
      </c>
      <c r="K753" s="810"/>
      <c r="L753" s="810"/>
      <c r="M753" s="810"/>
      <c r="N753" s="810"/>
      <c r="O753" s="810"/>
      <c r="P753" s="811"/>
      <c r="Q753" s="576"/>
      <c r="R753" s="732" t="str">
        <f>IF(OR(Tra03_02="",Tra03_02=Tra03_option00),AIS_statement54,IF(AND(Tra03_02=Tra03_option06,OR(AD_tra01type="",AD_tra01type=Z2017)),AIS_statement54,""))</f>
        <v>Instruction: The building type defined here is based on that selected above for issue Tra 03 (or if assessing a healthcare building, Tra 01 and Tra 03). If you have not selected a type from Tra 03 (and Tra 01 where applicable), then you will need to do so before assessing this issue.</v>
      </c>
      <c r="S753" s="732"/>
      <c r="T753" s="732"/>
      <c r="U753" s="732"/>
      <c r="V753" s="732"/>
      <c r="W753" s="732"/>
      <c r="Y753" s="501"/>
      <c r="AW753" s="501"/>
      <c r="BI753" s="106"/>
      <c r="BJ753" s="106"/>
      <c r="BK753" s="106"/>
      <c r="BL753" s="106"/>
      <c r="BM753" s="106"/>
      <c r="BN753" s="106"/>
      <c r="BO753" s="106"/>
    </row>
    <row r="754" spans="2:67" x14ac:dyDescent="0.25">
      <c r="B754" s="212"/>
      <c r="C754" s="212"/>
      <c r="D754" s="212"/>
      <c r="E754" s="212"/>
      <c r="F754" s="212"/>
      <c r="G754" s="212"/>
      <c r="H754" s="212" t="s">
        <v>505</v>
      </c>
      <c r="J754" s="292">
        <f>Tra01_03</f>
        <v>0</v>
      </c>
      <c r="K754" s="215"/>
      <c r="L754" s="203"/>
      <c r="M754" s="203"/>
      <c r="N754" s="203"/>
      <c r="O754" s="203"/>
      <c r="P754" s="203"/>
      <c r="Q754" s="203"/>
      <c r="R754" s="732"/>
      <c r="S754" s="732"/>
      <c r="T754" s="732"/>
      <c r="U754" s="732"/>
      <c r="V754" s="732"/>
      <c r="W754" s="732"/>
      <c r="Y754" s="501"/>
      <c r="AW754" s="501"/>
      <c r="BI754" s="106"/>
      <c r="BJ754" s="106"/>
      <c r="BK754" s="106"/>
      <c r="BL754" s="106"/>
      <c r="BM754" s="106"/>
      <c r="BN754" s="106"/>
      <c r="BO754" s="106"/>
    </row>
    <row r="755" spans="2:67" ht="47.25" customHeight="1" x14ac:dyDescent="0.25">
      <c r="B755" s="238" t="s">
        <v>288</v>
      </c>
      <c r="C755" s="239"/>
      <c r="D755" s="235"/>
      <c r="E755" s="239"/>
      <c r="F755" s="240"/>
      <c r="G755" s="238"/>
      <c r="H755" s="238"/>
      <c r="I755" s="238"/>
      <c r="J755" s="241" t="s">
        <v>289</v>
      </c>
      <c r="K755" s="241"/>
      <c r="L755" s="242" t="s">
        <v>290</v>
      </c>
      <c r="N755" s="242" t="s">
        <v>291</v>
      </c>
      <c r="P755" s="242"/>
      <c r="Q755" s="242"/>
      <c r="R755" s="765"/>
      <c r="S755" s="765"/>
      <c r="T755" s="765"/>
      <c r="U755" s="765"/>
      <c r="V755" s="765"/>
      <c r="W755" s="765"/>
      <c r="Y755" s="501"/>
      <c r="BI755" s="106"/>
      <c r="BJ755" s="106"/>
      <c r="BK755" s="106"/>
      <c r="BL755" s="106"/>
      <c r="BM755" s="106"/>
      <c r="BN755" s="106"/>
      <c r="BO755" s="106"/>
    </row>
    <row r="756" spans="2:67" ht="3" customHeight="1" x14ac:dyDescent="0.25">
      <c r="B756" s="215"/>
      <c r="C756" s="218"/>
      <c r="D756" s="215"/>
      <c r="E756" s="218"/>
      <c r="F756" s="244"/>
      <c r="G756" s="215"/>
      <c r="J756" s="245"/>
      <c r="K756" s="245"/>
      <c r="L756" s="215"/>
      <c r="M756" s="215"/>
      <c r="N756" s="246"/>
      <c r="O756" s="218"/>
      <c r="P756" s="246"/>
      <c r="Q756" s="246"/>
      <c r="Y756" s="501"/>
      <c r="BI756" s="106"/>
      <c r="BJ756" s="106"/>
      <c r="BK756" s="106"/>
      <c r="BL756" s="106"/>
      <c r="BM756" s="106"/>
      <c r="BN756" s="106"/>
      <c r="BO756" s="106"/>
    </row>
    <row r="757" spans="2:67" x14ac:dyDescent="0.25">
      <c r="B757" s="221"/>
      <c r="C757" s="221"/>
      <c r="D757" s="221"/>
      <c r="E757" s="221"/>
      <c r="F757" s="212"/>
      <c r="G757" s="221"/>
      <c r="H757" s="212" t="s">
        <v>506</v>
      </c>
      <c r="J757" s="223"/>
      <c r="K757" s="215"/>
      <c r="L757" s="224">
        <f>Tra04_credits</f>
        <v>2</v>
      </c>
      <c r="M757" s="290" t="str">
        <f>IF(AND(Tra04_02=AIS_Yes,Tra04_04=""),"→","")</f>
        <v/>
      </c>
      <c r="N757" s="281"/>
      <c r="O757" s="268" t="str">
        <f>IF(AND(Tra04_02=AIS_Yes,Tra04_04=""),"←","")</f>
        <v/>
      </c>
      <c r="P757" s="400"/>
      <c r="Q757" s="400"/>
      <c r="R757" s="314" t="str">
        <f>IF(Tra04_07=AIS_statement32,"",IF(AND(Tra04_02=AIS_Yes,Tra04_04=""),AIS_statement52,IF(AND(Tra04_02=AIS_No,Tra04_04&gt;0),AIS_statement47,IF(Tra04_04&gt;Tra04_03,AIS_statement74,""))))</f>
        <v/>
      </c>
      <c r="Y757" s="501"/>
      <c r="BI757" s="106"/>
      <c r="BJ757" s="106"/>
      <c r="BK757" s="106"/>
      <c r="BL757" s="106"/>
      <c r="BM757" s="106"/>
      <c r="BN757" s="106"/>
      <c r="BO757" s="106"/>
    </row>
    <row r="758" spans="2:67" x14ac:dyDescent="0.25">
      <c r="M758" s="293"/>
      <c r="Y758" s="501"/>
      <c r="BI758" s="106"/>
      <c r="BJ758" s="106"/>
      <c r="BK758" s="106"/>
      <c r="BL758" s="106"/>
      <c r="BM758" s="106"/>
      <c r="BN758" s="106"/>
      <c r="BO758" s="106"/>
    </row>
    <row r="759" spans="2:67" x14ac:dyDescent="0.25">
      <c r="B759" s="221"/>
      <c r="C759" s="222"/>
      <c r="D759" s="222"/>
      <c r="E759" s="221"/>
      <c r="F759" s="212" t="s">
        <v>296</v>
      </c>
      <c r="G759" s="215"/>
      <c r="H759" s="216">
        <f>IF(ISERROR(Tra04_Tot_Err),0,Tra04_Tot_Err)</f>
        <v>0</v>
      </c>
      <c r="J759" s="203"/>
      <c r="K759" s="215"/>
      <c r="M759" s="215"/>
      <c r="N759" s="215"/>
      <c r="O759" s="215"/>
      <c r="P759" s="215"/>
      <c r="Q759" s="215"/>
      <c r="Y759" s="501"/>
      <c r="BI759" s="106"/>
      <c r="BJ759" s="106"/>
      <c r="BK759" s="106"/>
      <c r="BL759" s="106"/>
      <c r="BM759" s="106"/>
      <c r="BN759" s="106"/>
      <c r="BO759" s="106"/>
    </row>
    <row r="760" spans="2:67" ht="3" customHeight="1" x14ac:dyDescent="0.25">
      <c r="B760" s="215"/>
      <c r="E760" s="215"/>
      <c r="F760" s="225"/>
      <c r="G760" s="215"/>
      <c r="H760" s="252"/>
      <c r="J760" s="203"/>
      <c r="K760" s="215"/>
      <c r="M760" s="215"/>
      <c r="N760" s="215"/>
      <c r="O760" s="215"/>
      <c r="P760" s="215"/>
      <c r="Q760" s="215"/>
      <c r="Y760" s="501"/>
      <c r="BI760" s="106"/>
      <c r="BJ760" s="106"/>
      <c r="BK760" s="106"/>
      <c r="BL760" s="106"/>
      <c r="BM760" s="106"/>
      <c r="BN760" s="106"/>
      <c r="BO760" s="106"/>
    </row>
    <row r="761" spans="2:67" x14ac:dyDescent="0.25">
      <c r="B761" s="221"/>
      <c r="C761" s="222"/>
      <c r="D761" s="222"/>
      <c r="E761" s="221"/>
      <c r="F761" s="212" t="s">
        <v>297</v>
      </c>
      <c r="G761" s="215"/>
      <c r="H761" s="217" t="str">
        <f>IF(ISERROR(Tra04_10_Err),AIS_Statement81,Tra04_10_Err)</f>
        <v>See instruction</v>
      </c>
      <c r="J761" s="203"/>
      <c r="K761" s="215"/>
      <c r="L761" s="202"/>
      <c r="M761" s="215"/>
      <c r="N761" s="215"/>
      <c r="O761" s="215"/>
      <c r="P761" s="215"/>
      <c r="Q761" s="215"/>
      <c r="Y761" s="501"/>
      <c r="BI761" s="106"/>
      <c r="BJ761" s="106"/>
      <c r="BK761" s="106"/>
      <c r="BL761" s="106"/>
      <c r="BM761" s="106"/>
      <c r="BN761" s="106"/>
      <c r="BO761" s="106"/>
    </row>
    <row r="762" spans="2:67" ht="3" customHeight="1" x14ac:dyDescent="0.25">
      <c r="K762" s="215"/>
      <c r="M762" s="215"/>
      <c r="N762" s="215"/>
      <c r="O762" s="215"/>
      <c r="P762" s="215"/>
      <c r="Q762" s="215"/>
      <c r="Y762" s="501"/>
      <c r="BI762" s="106"/>
      <c r="BJ762" s="106"/>
      <c r="BK762" s="106"/>
      <c r="BL762" s="106"/>
      <c r="BM762" s="106"/>
      <c r="BN762" s="106"/>
      <c r="BO762" s="106"/>
    </row>
    <row r="763" spans="2:67" x14ac:dyDescent="0.25">
      <c r="B763" s="221"/>
      <c r="C763" s="222"/>
      <c r="D763" s="222"/>
      <c r="E763" s="221"/>
      <c r="F763" s="212" t="s">
        <v>298</v>
      </c>
      <c r="H763" s="216" t="s">
        <v>300</v>
      </c>
      <c r="K763" s="215"/>
      <c r="M763" s="215"/>
      <c r="N763" s="215"/>
      <c r="O763" s="215"/>
      <c r="P763" s="215"/>
      <c r="Q763" s="215"/>
      <c r="Y763" s="501"/>
      <c r="BI763" s="106"/>
      <c r="BJ763" s="106"/>
      <c r="BK763" s="106"/>
      <c r="BL763" s="106"/>
      <c r="BM763" s="106"/>
      <c r="BN763" s="106"/>
      <c r="BO763" s="106"/>
    </row>
    <row r="764" spans="2:67" ht="3" customHeight="1" x14ac:dyDescent="0.25">
      <c r="K764" s="215"/>
      <c r="M764" s="215"/>
      <c r="N764" s="215"/>
      <c r="O764" s="215"/>
      <c r="P764" s="215"/>
      <c r="Q764" s="215"/>
      <c r="Y764" s="501"/>
      <c r="BI764" s="106"/>
      <c r="BJ764" s="106"/>
      <c r="BK764" s="106"/>
      <c r="BL764" s="106"/>
      <c r="BM764" s="106"/>
      <c r="BN764" s="106"/>
      <c r="BO764" s="106"/>
    </row>
    <row r="765" spans="2:67" x14ac:dyDescent="0.25">
      <c r="B765" s="221"/>
      <c r="C765" s="222"/>
      <c r="D765" s="221"/>
      <c r="E765" s="221"/>
      <c r="F765" s="212" t="s">
        <v>299</v>
      </c>
      <c r="H765" s="216" t="s">
        <v>300</v>
      </c>
      <c r="K765" s="215"/>
      <c r="M765" s="215"/>
      <c r="N765" s="215"/>
      <c r="O765" s="215"/>
      <c r="P765" s="215"/>
      <c r="Q765" s="215"/>
      <c r="Y765" s="501"/>
      <c r="BI765" s="106"/>
      <c r="BJ765" s="106"/>
      <c r="BK765" s="106"/>
      <c r="BL765" s="106"/>
      <c r="BM765" s="106"/>
      <c r="BN765" s="106"/>
      <c r="BO765" s="106"/>
    </row>
    <row r="766" spans="2:67" x14ac:dyDescent="0.25">
      <c r="M766" s="215"/>
      <c r="N766" s="215"/>
      <c r="O766" s="215"/>
      <c r="P766" s="215"/>
      <c r="Q766" s="215"/>
      <c r="Y766" s="501"/>
      <c r="BI766" s="106"/>
      <c r="BJ766" s="106"/>
      <c r="BK766" s="106"/>
      <c r="BL766" s="106"/>
      <c r="BM766" s="106"/>
      <c r="BN766" s="106"/>
      <c r="BO766" s="106"/>
    </row>
    <row r="767" spans="2:67" x14ac:dyDescent="0.25">
      <c r="B767" s="235" t="s">
        <v>301</v>
      </c>
      <c r="C767" s="215"/>
      <c r="D767" s="215"/>
      <c r="E767" s="215"/>
      <c r="F767" s="225"/>
      <c r="G767" s="215"/>
      <c r="H767" s="215"/>
      <c r="I767" s="215"/>
      <c r="J767" s="215"/>
      <c r="K767" s="215"/>
      <c r="L767" s="215"/>
      <c r="M767" s="215"/>
      <c r="N767" s="215"/>
      <c r="O767" s="215"/>
      <c r="P767" s="215"/>
      <c r="Q767" s="215"/>
      <c r="Y767" s="501"/>
      <c r="BI767" s="106"/>
      <c r="BJ767" s="106"/>
      <c r="BK767" s="106"/>
      <c r="BL767" s="106"/>
      <c r="BM767" s="106"/>
      <c r="BN767" s="106"/>
      <c r="BO767" s="106"/>
    </row>
    <row r="768" spans="2:67" ht="159.94999999999999" customHeight="1" x14ac:dyDescent="0.25">
      <c r="B768" s="736"/>
      <c r="C768" s="737"/>
      <c r="D768" s="737"/>
      <c r="E768" s="737"/>
      <c r="F768" s="737"/>
      <c r="G768" s="737"/>
      <c r="H768" s="737"/>
      <c r="I768" s="737"/>
      <c r="J768" s="737"/>
      <c r="K768" s="737"/>
      <c r="L768" s="737"/>
      <c r="M768" s="737"/>
      <c r="N768" s="737"/>
      <c r="O768" s="737"/>
      <c r="P768" s="738"/>
      <c r="Q768" s="209"/>
      <c r="Y768" s="501"/>
      <c r="BI768" s="106"/>
      <c r="BJ768" s="106"/>
      <c r="BK768" s="106"/>
      <c r="BL768" s="106"/>
      <c r="BM768" s="106"/>
      <c r="BN768" s="106"/>
      <c r="BO768" s="106"/>
    </row>
    <row r="769" spans="2:67" ht="36" customHeight="1" x14ac:dyDescent="0.25">
      <c r="B769" s="27" t="s">
        <v>507</v>
      </c>
      <c r="C769" s="13"/>
      <c r="D769" s="236"/>
      <c r="E769" s="237"/>
      <c r="F769" s="237"/>
      <c r="G769" s="237"/>
      <c r="H769" s="237"/>
      <c r="I769" s="237"/>
      <c r="J769" s="237"/>
      <c r="K769" s="237"/>
      <c r="L769" s="237"/>
      <c r="M769" s="237"/>
      <c r="N769" s="237"/>
      <c r="O769" s="237"/>
      <c r="P769" s="329" t="str">
        <f>IF(AND(ADBT0=ADBT8,ADBT_sub01=ADBT_sub28),AIS_statement32,"")</f>
        <v/>
      </c>
      <c r="Q769" s="215"/>
      <c r="R769" s="192" t="str">
        <f>IF(P769=AIS_statement32,1,"")</f>
        <v/>
      </c>
      <c r="Y769" s="501"/>
      <c r="BI769" s="106"/>
      <c r="BJ769" s="106"/>
      <c r="BK769" s="106"/>
      <c r="BL769" s="106"/>
      <c r="BM769" s="106"/>
      <c r="BN769" s="106"/>
      <c r="BO769" s="106"/>
    </row>
    <row r="770" spans="2:67" x14ac:dyDescent="0.25">
      <c r="B770" s="215"/>
      <c r="C770" s="215"/>
      <c r="D770" s="215"/>
      <c r="E770" s="215"/>
      <c r="F770" s="215"/>
      <c r="G770" s="215"/>
      <c r="H770" s="215"/>
      <c r="I770" s="215"/>
      <c r="J770" s="295"/>
      <c r="K770" s="295"/>
      <c r="L770" s="295"/>
      <c r="M770" s="295"/>
      <c r="N770" s="295"/>
      <c r="O770" s="215"/>
      <c r="P770" s="215"/>
      <c r="Q770" s="215"/>
      <c r="Y770" s="501"/>
      <c r="BI770" s="106"/>
      <c r="BJ770" s="106"/>
      <c r="BK770" s="106"/>
      <c r="BL770" s="106"/>
      <c r="BM770" s="106"/>
      <c r="BN770" s="106"/>
      <c r="BO770" s="106"/>
    </row>
    <row r="771" spans="2:67" x14ac:dyDescent="0.25">
      <c r="B771" s="222"/>
      <c r="C771" s="222"/>
      <c r="D771" s="221"/>
      <c r="E771" s="221"/>
      <c r="F771" s="212" t="s">
        <v>284</v>
      </c>
      <c r="G771" s="215"/>
      <c r="H771" s="216">
        <f>IF(Tra05_switch=1,AIS_NA,1)</f>
        <v>1</v>
      </c>
      <c r="J771" s="222"/>
      <c r="K771" s="222"/>
      <c r="L771" s="222"/>
      <c r="M771" s="222"/>
      <c r="N771" s="212" t="s">
        <v>285</v>
      </c>
      <c r="P771" s="217" t="str">
        <f>IF(ISERROR(Tra05_04_Err),AIS_Statement81,Tra05_04_Err)</f>
        <v>See instruction</v>
      </c>
      <c r="Q771" s="217"/>
      <c r="R771" s="709" t="str">
        <f>IF(ADBT0=ADBT6,AIS_statement44,IF(Tra01_07=AIS_Statement81,AIS_statement73,""))</f>
        <v>Instruction: the building type category must be defined for both BREEAM issues Tra 01 and Tra 03 to calculate the total number of credits available for the transport section and therefore issue contribution to overall score.</v>
      </c>
      <c r="S771" s="709"/>
      <c r="T771" s="709"/>
      <c r="U771" s="709"/>
      <c r="V771" s="709"/>
      <c r="W771" s="709"/>
      <c r="Y771" s="501"/>
      <c r="BI771" s="106"/>
      <c r="BJ771" s="106"/>
      <c r="BK771" s="106"/>
      <c r="BL771" s="106"/>
      <c r="BM771" s="106"/>
      <c r="BN771" s="106"/>
      <c r="BO771" s="106"/>
    </row>
    <row r="772" spans="2:67" ht="3" customHeight="1" x14ac:dyDescent="0.25">
      <c r="R772" s="709"/>
      <c r="S772" s="709"/>
      <c r="T772" s="709"/>
      <c r="U772" s="709"/>
      <c r="V772" s="709"/>
      <c r="W772" s="709"/>
      <c r="Y772" s="501"/>
      <c r="BI772" s="106"/>
      <c r="BJ772" s="106"/>
      <c r="BK772" s="106"/>
      <c r="BL772" s="106"/>
      <c r="BM772" s="106"/>
      <c r="BN772" s="106"/>
      <c r="BO772" s="106"/>
    </row>
    <row r="773" spans="2:67" x14ac:dyDescent="0.25">
      <c r="B773" s="222"/>
      <c r="C773" s="222"/>
      <c r="D773" s="221"/>
      <c r="E773" s="221"/>
      <c r="F773" s="212" t="s">
        <v>286</v>
      </c>
      <c r="G773" s="215"/>
      <c r="H773" s="216">
        <v>0</v>
      </c>
      <c r="J773" s="221"/>
      <c r="K773" s="221"/>
      <c r="L773" s="221"/>
      <c r="M773" s="221"/>
      <c r="N773" s="212" t="s">
        <v>287</v>
      </c>
      <c r="O773" s="215"/>
      <c r="P773" s="216" t="s">
        <v>125</v>
      </c>
      <c r="Q773" s="216"/>
      <c r="R773" s="709"/>
      <c r="S773" s="709"/>
      <c r="T773" s="709"/>
      <c r="U773" s="709"/>
      <c r="V773" s="709"/>
      <c r="W773" s="709"/>
      <c r="Y773" s="501"/>
      <c r="BI773" s="106"/>
      <c r="BJ773" s="106"/>
      <c r="BK773" s="106"/>
      <c r="BL773" s="106"/>
      <c r="BM773" s="106"/>
      <c r="BN773" s="106"/>
      <c r="BO773" s="106"/>
    </row>
    <row r="774" spans="2:67" ht="47.25" customHeight="1" x14ac:dyDescent="0.25">
      <c r="B774" s="238" t="s">
        <v>288</v>
      </c>
      <c r="C774" s="239"/>
      <c r="D774" s="235"/>
      <c r="E774" s="239"/>
      <c r="F774" s="240"/>
      <c r="G774" s="238"/>
      <c r="H774" s="238"/>
      <c r="I774" s="238"/>
      <c r="J774" s="241" t="s">
        <v>289</v>
      </c>
      <c r="K774" s="241"/>
      <c r="L774" s="242" t="s">
        <v>290</v>
      </c>
      <c r="N774" s="242" t="s">
        <v>291</v>
      </c>
      <c r="P774" s="601"/>
      <c r="Q774" s="601"/>
      <c r="R774" s="709"/>
      <c r="S774" s="709"/>
      <c r="T774" s="709"/>
      <c r="U774" s="709"/>
      <c r="V774" s="709"/>
      <c r="W774" s="709"/>
      <c r="Y774" s="501"/>
      <c r="BI774" s="106"/>
      <c r="BJ774" s="106"/>
      <c r="BK774" s="106"/>
      <c r="BL774" s="106"/>
      <c r="BM774" s="106"/>
      <c r="BN774" s="106"/>
      <c r="BO774" s="106"/>
    </row>
    <row r="775" spans="2:67" ht="3" customHeight="1" x14ac:dyDescent="0.25">
      <c r="B775" s="215"/>
      <c r="C775" s="218"/>
      <c r="D775" s="215"/>
      <c r="E775" s="218"/>
      <c r="F775" s="244"/>
      <c r="G775" s="215"/>
      <c r="J775" s="245"/>
      <c r="K775" s="245"/>
      <c r="L775" s="215"/>
      <c r="M775" s="215"/>
      <c r="N775" s="246"/>
      <c r="O775" s="218"/>
      <c r="P775" s="602"/>
      <c r="Q775" s="602"/>
      <c r="Y775" s="501"/>
      <c r="BI775" s="106"/>
      <c r="BJ775" s="106"/>
      <c r="BK775" s="106"/>
      <c r="BL775" s="106"/>
      <c r="BM775" s="106"/>
      <c r="BN775" s="106"/>
      <c r="BO775" s="106"/>
    </row>
    <row r="776" spans="2:67" ht="18" customHeight="1" x14ac:dyDescent="0.25">
      <c r="B776" s="221"/>
      <c r="C776" s="221"/>
      <c r="D776" s="221"/>
      <c r="E776" s="221"/>
      <c r="F776" s="212"/>
      <c r="G776" s="221"/>
      <c r="H776" s="212" t="s">
        <v>508</v>
      </c>
      <c r="J776" s="223"/>
      <c r="K776" s="215"/>
      <c r="L776" s="224">
        <f>Tra05_credits</f>
        <v>1</v>
      </c>
      <c r="M776" s="215"/>
      <c r="N776" s="224">
        <f>IF(Tra05_switch=1,AIS_NA,IF(Tra05_01=AIS_Yes,Tra05_02,0))</f>
        <v>0</v>
      </c>
      <c r="O776" s="215"/>
      <c r="P776" s="603"/>
      <c r="Q776" s="603"/>
      <c r="S776" s="11"/>
      <c r="Y776" s="501"/>
      <c r="BI776" s="106"/>
      <c r="BJ776" s="106"/>
      <c r="BK776" s="106"/>
      <c r="BL776" s="106"/>
      <c r="BM776" s="106"/>
      <c r="BN776" s="106"/>
      <c r="BO776" s="106"/>
    </row>
    <row r="777" spans="2:67" x14ac:dyDescent="0.25">
      <c r="Y777" s="501"/>
      <c r="BI777" s="106"/>
      <c r="BJ777" s="106"/>
      <c r="BK777" s="106"/>
      <c r="BL777" s="106"/>
      <c r="BM777" s="106"/>
      <c r="BN777" s="106"/>
      <c r="BO777" s="106"/>
    </row>
    <row r="778" spans="2:67" x14ac:dyDescent="0.25">
      <c r="B778" s="221"/>
      <c r="C778" s="222"/>
      <c r="D778" s="222"/>
      <c r="E778" s="221"/>
      <c r="F778" s="212" t="s">
        <v>296</v>
      </c>
      <c r="G778" s="215"/>
      <c r="H778" s="216">
        <f>IF(ISERROR(Tra05_03),0,Tra05_03)</f>
        <v>0</v>
      </c>
      <c r="J778" s="203"/>
      <c r="K778" s="215"/>
      <c r="M778" s="215"/>
      <c r="N778" s="215"/>
      <c r="O778" s="215"/>
      <c r="P778" s="215"/>
      <c r="Q778" s="215"/>
      <c r="Y778" s="501"/>
      <c r="BI778" s="106"/>
      <c r="BJ778" s="106"/>
      <c r="BK778" s="106"/>
      <c r="BL778" s="106"/>
      <c r="BM778" s="106"/>
      <c r="BN778" s="106"/>
      <c r="BO778" s="106"/>
    </row>
    <row r="779" spans="2:67" ht="3" customHeight="1" x14ac:dyDescent="0.25">
      <c r="B779" s="215"/>
      <c r="E779" s="215"/>
      <c r="F779" s="225"/>
      <c r="G779" s="215"/>
      <c r="H779" s="252"/>
      <c r="J779" s="203"/>
      <c r="K779" s="215"/>
      <c r="M779" s="215"/>
      <c r="N779" s="215"/>
      <c r="O779" s="215"/>
      <c r="P779" s="215"/>
      <c r="Q779" s="215"/>
      <c r="Y779" s="501"/>
      <c r="BI779" s="106"/>
      <c r="BJ779" s="106"/>
      <c r="BK779" s="106"/>
      <c r="BL779" s="106"/>
      <c r="BM779" s="106"/>
      <c r="BN779" s="106"/>
      <c r="BO779" s="106"/>
    </row>
    <row r="780" spans="2:67" x14ac:dyDescent="0.25">
      <c r="B780" s="221"/>
      <c r="C780" s="222"/>
      <c r="D780" s="222"/>
      <c r="E780" s="221"/>
      <c r="F780" s="212" t="s">
        <v>297</v>
      </c>
      <c r="G780" s="215"/>
      <c r="H780" s="217" t="str">
        <f>IF(ISERROR(Tra05_05_Err),AIS_Statement81,Tra05_05_Err)</f>
        <v>See instruction</v>
      </c>
      <c r="J780" s="203"/>
      <c r="K780" s="215"/>
      <c r="M780" s="215"/>
      <c r="N780" s="215"/>
      <c r="O780" s="215"/>
      <c r="P780" s="215"/>
      <c r="Q780" s="215"/>
      <c r="Y780" s="501"/>
      <c r="BI780" s="106"/>
      <c r="BJ780" s="106"/>
      <c r="BK780" s="106"/>
      <c r="BL780" s="106"/>
      <c r="BM780" s="106"/>
      <c r="BN780" s="106"/>
      <c r="BO780" s="106"/>
    </row>
    <row r="781" spans="2:67" ht="3" customHeight="1" x14ac:dyDescent="0.25">
      <c r="K781" s="215"/>
      <c r="M781" s="215"/>
      <c r="N781" s="215"/>
      <c r="O781" s="215"/>
      <c r="P781" s="215"/>
      <c r="Q781" s="215"/>
      <c r="Y781" s="501"/>
      <c r="BI781" s="106"/>
      <c r="BJ781" s="106"/>
      <c r="BK781" s="106"/>
      <c r="BL781" s="106"/>
      <c r="BM781" s="106"/>
      <c r="BN781" s="106"/>
      <c r="BO781" s="106"/>
    </row>
    <row r="782" spans="2:67" x14ac:dyDescent="0.25">
      <c r="B782" s="221"/>
      <c r="C782" s="222"/>
      <c r="D782" s="222"/>
      <c r="E782" s="221"/>
      <c r="F782" s="212" t="s">
        <v>298</v>
      </c>
      <c r="H782" s="216" t="s">
        <v>300</v>
      </c>
      <c r="K782" s="215"/>
      <c r="M782" s="215"/>
      <c r="N782" s="215"/>
      <c r="O782" s="215"/>
      <c r="P782" s="215"/>
      <c r="Q782" s="215"/>
      <c r="Y782" s="501"/>
      <c r="BI782" s="106"/>
      <c r="BJ782" s="106"/>
      <c r="BK782" s="106"/>
      <c r="BL782" s="106"/>
      <c r="BM782" s="106"/>
      <c r="BN782" s="106"/>
      <c r="BO782" s="106"/>
    </row>
    <row r="783" spans="2:67" ht="3" customHeight="1" x14ac:dyDescent="0.25">
      <c r="K783" s="215"/>
      <c r="M783" s="215"/>
      <c r="N783" s="215"/>
      <c r="O783" s="215"/>
      <c r="P783" s="215"/>
      <c r="Q783" s="215"/>
      <c r="Y783" s="501"/>
      <c r="BI783" s="106"/>
      <c r="BJ783" s="106"/>
      <c r="BK783" s="106"/>
      <c r="BL783" s="106"/>
      <c r="BM783" s="106"/>
      <c r="BN783" s="106"/>
      <c r="BO783" s="106"/>
    </row>
    <row r="784" spans="2:67" x14ac:dyDescent="0.25">
      <c r="B784" s="221"/>
      <c r="C784" s="222"/>
      <c r="D784" s="221"/>
      <c r="E784" s="221"/>
      <c r="F784" s="212" t="s">
        <v>299</v>
      </c>
      <c r="H784" s="216" t="s">
        <v>300</v>
      </c>
      <c r="K784" s="215"/>
      <c r="M784" s="215"/>
      <c r="N784" s="215"/>
      <c r="O784" s="215"/>
      <c r="P784" s="215"/>
      <c r="Q784" s="215"/>
      <c r="Y784" s="501"/>
      <c r="BI784" s="106"/>
      <c r="BJ784" s="106"/>
      <c r="BK784" s="106"/>
      <c r="BL784" s="106"/>
      <c r="BM784" s="106"/>
      <c r="BN784" s="106"/>
      <c r="BO784" s="106"/>
    </row>
    <row r="785" spans="2:67" x14ac:dyDescent="0.25">
      <c r="M785" s="215"/>
      <c r="N785" s="215"/>
      <c r="O785" s="215"/>
      <c r="P785" s="215"/>
      <c r="Q785" s="215"/>
      <c r="Y785" s="501"/>
      <c r="BI785" s="106"/>
      <c r="BJ785" s="106"/>
      <c r="BK785" s="106"/>
      <c r="BL785" s="106"/>
      <c r="BM785" s="106"/>
      <c r="BN785" s="106"/>
      <c r="BO785" s="106"/>
    </row>
    <row r="786" spans="2:67" x14ac:dyDescent="0.25">
      <c r="B786" s="235" t="s">
        <v>301</v>
      </c>
      <c r="C786" s="215"/>
      <c r="D786" s="215"/>
      <c r="E786" s="215"/>
      <c r="F786" s="225"/>
      <c r="G786" s="215"/>
      <c r="H786" s="215"/>
      <c r="I786" s="215"/>
      <c r="J786" s="215"/>
      <c r="K786" s="215"/>
      <c r="L786" s="215"/>
      <c r="M786" s="215"/>
      <c r="N786" s="215"/>
      <c r="O786" s="215"/>
      <c r="P786" s="215"/>
      <c r="Q786" s="215"/>
      <c r="Y786" s="501"/>
      <c r="BI786" s="106"/>
      <c r="BJ786" s="106"/>
      <c r="BK786" s="106"/>
      <c r="BL786" s="106"/>
      <c r="BM786" s="106"/>
      <c r="BN786" s="106"/>
      <c r="BO786" s="106"/>
    </row>
    <row r="787" spans="2:67" ht="159.94999999999999" customHeight="1" x14ac:dyDescent="0.25">
      <c r="B787" s="736"/>
      <c r="C787" s="737"/>
      <c r="D787" s="737"/>
      <c r="E787" s="737"/>
      <c r="F787" s="737"/>
      <c r="G787" s="737"/>
      <c r="H787" s="737"/>
      <c r="I787" s="737"/>
      <c r="J787" s="737"/>
      <c r="K787" s="737"/>
      <c r="L787" s="737"/>
      <c r="M787" s="737"/>
      <c r="N787" s="737"/>
      <c r="O787" s="737"/>
      <c r="P787" s="738"/>
      <c r="Q787" s="416"/>
      <c r="Y787" s="501"/>
      <c r="BI787" s="106"/>
      <c r="BJ787" s="106"/>
      <c r="BK787" s="106"/>
      <c r="BL787" s="106"/>
      <c r="BM787" s="106"/>
      <c r="BN787" s="106"/>
      <c r="BO787" s="106"/>
    </row>
    <row r="788" spans="2:67" ht="36" customHeight="1" x14ac:dyDescent="0.25">
      <c r="B788" s="27" t="s">
        <v>509</v>
      </c>
      <c r="C788" s="13"/>
      <c r="D788" s="236"/>
      <c r="E788" s="237"/>
      <c r="F788" s="237"/>
      <c r="G788" s="237"/>
      <c r="H788" s="237"/>
      <c r="I788" s="237"/>
      <c r="J788" s="237"/>
      <c r="K788" s="237"/>
      <c r="L788" s="237"/>
      <c r="M788" s="237"/>
      <c r="N788" s="237"/>
      <c r="O788" s="237"/>
      <c r="P788" s="329" t="str">
        <f>IF(AND(ADBT0=ADBT8,ADPT&lt;&gt;ADPT03),"",AIS_statement32)</f>
        <v>Assessment issue not applicable</v>
      </c>
      <c r="Q788" s="215"/>
      <c r="R788" s="192">
        <f>IF(P788=AIS_statement32,1,"")</f>
        <v>1</v>
      </c>
      <c r="Y788" s="501"/>
      <c r="BI788" s="106"/>
      <c r="BJ788" s="106"/>
      <c r="BK788" s="106"/>
      <c r="BL788" s="106"/>
      <c r="BM788" s="106"/>
      <c r="BN788" s="106"/>
      <c r="BO788" s="106"/>
    </row>
    <row r="789" spans="2:67" x14ac:dyDescent="0.25">
      <c r="B789" s="215"/>
      <c r="C789" s="215"/>
      <c r="D789" s="215"/>
      <c r="E789" s="215"/>
      <c r="F789" s="215"/>
      <c r="G789" s="215"/>
      <c r="H789" s="215"/>
      <c r="I789" s="215"/>
      <c r="J789" s="295"/>
      <c r="K789" s="295"/>
      <c r="L789" s="295"/>
      <c r="M789" s="295"/>
      <c r="N789" s="295"/>
      <c r="O789" s="215"/>
      <c r="P789" s="215"/>
      <c r="Q789" s="215"/>
      <c r="Y789" s="501"/>
      <c r="BI789" s="106"/>
      <c r="BJ789" s="106"/>
      <c r="BK789" s="106"/>
      <c r="BL789" s="106"/>
      <c r="BM789" s="106"/>
      <c r="BN789" s="106"/>
      <c r="BO789" s="106"/>
    </row>
    <row r="790" spans="2:67" x14ac:dyDescent="0.25">
      <c r="B790" s="222"/>
      <c r="C790" s="222"/>
      <c r="D790" s="221"/>
      <c r="E790" s="221"/>
      <c r="F790" s="212" t="s">
        <v>284</v>
      </c>
      <c r="G790" s="215"/>
      <c r="H790" s="216" t="str">
        <f>IF(Tra06_switch=1,AIS_NA,1)</f>
        <v>N/A</v>
      </c>
      <c r="J790" s="222"/>
      <c r="K790" s="222"/>
      <c r="L790" s="222"/>
      <c r="M790" s="222"/>
      <c r="N790" s="212" t="s">
        <v>285</v>
      </c>
      <c r="P790" s="217" t="str">
        <f>IFERROR(IF(Tra06_switch=1,AIS_NA,(BP_35/BP_04)*Tra06_credits),AIS_Statement81)</f>
        <v>N/A</v>
      </c>
      <c r="Q790" s="217"/>
      <c r="R790" s="709" t="str">
        <f>IF(ADBT0=ADBT6,AIS_statement44,IF(Tra01_07=AIS_Statement81,AIS_statement73,""))</f>
        <v>Instruction: the building type category must be defined for both BREEAM issues Tra 01 and Tra 03 to calculate the total number of credits available for the transport section and therefore issue contribution to overall score.</v>
      </c>
      <c r="S790" s="709"/>
      <c r="T790" s="709"/>
      <c r="U790" s="709"/>
      <c r="V790" s="709"/>
      <c r="W790" s="709"/>
      <c r="Y790" s="501"/>
      <c r="BI790" s="106"/>
      <c r="BJ790" s="106"/>
      <c r="BK790" s="106"/>
      <c r="BL790" s="106"/>
      <c r="BM790" s="106"/>
      <c r="BN790" s="106"/>
      <c r="BO790" s="106"/>
    </row>
    <row r="791" spans="2:67" ht="3" customHeight="1" x14ac:dyDescent="0.25">
      <c r="R791" s="709"/>
      <c r="S791" s="709"/>
      <c r="T791" s="709"/>
      <c r="U791" s="709"/>
      <c r="V791" s="709"/>
      <c r="W791" s="709"/>
      <c r="Y791" s="501"/>
      <c r="BI791" s="106"/>
      <c r="BJ791" s="106"/>
      <c r="BK791" s="106"/>
      <c r="BL791" s="106"/>
      <c r="BM791" s="106"/>
      <c r="BN791" s="106"/>
      <c r="BO791" s="106"/>
    </row>
    <row r="792" spans="2:67" x14ac:dyDescent="0.25">
      <c r="B792" s="222"/>
      <c r="C792" s="222"/>
      <c r="D792" s="221"/>
      <c r="E792" s="221"/>
      <c r="F792" s="212" t="s">
        <v>286</v>
      </c>
      <c r="G792" s="215"/>
      <c r="H792" s="216">
        <v>0</v>
      </c>
      <c r="J792" s="221"/>
      <c r="K792" s="221"/>
      <c r="L792" s="221"/>
      <c r="M792" s="221"/>
      <c r="N792" s="212" t="s">
        <v>287</v>
      </c>
      <c r="O792" s="215"/>
      <c r="P792" s="216" t="s">
        <v>125</v>
      </c>
      <c r="Q792" s="216"/>
      <c r="R792" s="709"/>
      <c r="S792" s="709"/>
      <c r="T792" s="709"/>
      <c r="U792" s="709"/>
      <c r="V792" s="709"/>
      <c r="W792" s="709"/>
      <c r="Y792" s="501"/>
      <c r="BI792" s="106"/>
      <c r="BJ792" s="106"/>
      <c r="BK792" s="106"/>
      <c r="BL792" s="106"/>
      <c r="BM792" s="106"/>
      <c r="BN792" s="106"/>
      <c r="BO792" s="106"/>
    </row>
    <row r="793" spans="2:67" ht="47.25" customHeight="1" x14ac:dyDescent="0.25">
      <c r="B793" s="238" t="s">
        <v>288</v>
      </c>
      <c r="C793" s="239"/>
      <c r="D793" s="235"/>
      <c r="E793" s="239"/>
      <c r="F793" s="240"/>
      <c r="G793" s="238"/>
      <c r="H793" s="238"/>
      <c r="I793" s="238"/>
      <c r="J793" s="241" t="s">
        <v>289</v>
      </c>
      <c r="K793" s="241"/>
      <c r="L793" s="242" t="s">
        <v>290</v>
      </c>
      <c r="N793" s="242" t="s">
        <v>291</v>
      </c>
      <c r="P793" s="601"/>
      <c r="Q793" s="601"/>
      <c r="R793" s="709"/>
      <c r="S793" s="709"/>
      <c r="T793" s="709"/>
      <c r="U793" s="709"/>
      <c r="V793" s="709"/>
      <c r="W793" s="709"/>
      <c r="Y793" s="501"/>
      <c r="BI793" s="106"/>
      <c r="BJ793" s="106"/>
      <c r="BK793" s="106"/>
      <c r="BL793" s="106"/>
      <c r="BM793" s="106"/>
      <c r="BN793" s="106"/>
      <c r="BO793" s="106"/>
    </row>
    <row r="794" spans="2:67" ht="3" customHeight="1" x14ac:dyDescent="0.25">
      <c r="B794" s="215"/>
      <c r="C794" s="218"/>
      <c r="D794" s="215"/>
      <c r="E794" s="218"/>
      <c r="F794" s="244"/>
      <c r="G794" s="215"/>
      <c r="J794" s="245"/>
      <c r="K794" s="245"/>
      <c r="L794" s="215"/>
      <c r="M794" s="215"/>
      <c r="N794" s="246"/>
      <c r="O794" s="218"/>
      <c r="P794" s="602"/>
      <c r="Q794" s="602"/>
      <c r="Y794" s="501"/>
      <c r="BI794" s="106"/>
      <c r="BJ794" s="106"/>
      <c r="BK794" s="106"/>
      <c r="BL794" s="106"/>
      <c r="BM794" s="106"/>
      <c r="BN794" s="106"/>
      <c r="BO794" s="106"/>
    </row>
    <row r="795" spans="2:67" ht="18" customHeight="1" x14ac:dyDescent="0.25">
      <c r="B795" s="221"/>
      <c r="C795" s="221"/>
      <c r="D795" s="221"/>
      <c r="E795" s="221"/>
      <c r="F795" s="212"/>
      <c r="G795" s="221"/>
      <c r="H795" s="212" t="s">
        <v>508</v>
      </c>
      <c r="J795" s="223"/>
      <c r="K795" s="215"/>
      <c r="L795" s="224" t="str">
        <f>Tra06_credits</f>
        <v>N/A</v>
      </c>
      <c r="M795" s="215"/>
      <c r="N795" s="224" t="str">
        <f>IF(Tra06_switch=1,AIS_NA,IF(Tra06_01=AIS_Yes,Tra06_02,0))</f>
        <v>N/A</v>
      </c>
      <c r="O795" s="215"/>
      <c r="P795" s="603"/>
      <c r="Q795" s="603"/>
      <c r="S795" s="11"/>
      <c r="Y795" s="501"/>
      <c r="BI795" s="106"/>
      <c r="BJ795" s="106"/>
      <c r="BK795" s="106"/>
      <c r="BL795" s="106"/>
      <c r="BM795" s="106"/>
      <c r="BN795" s="106"/>
      <c r="BO795" s="106"/>
    </row>
    <row r="796" spans="2:67" x14ac:dyDescent="0.25">
      <c r="Y796" s="501"/>
      <c r="BI796" s="106"/>
      <c r="BJ796" s="106"/>
      <c r="BK796" s="106"/>
      <c r="BL796" s="106"/>
      <c r="BM796" s="106"/>
      <c r="BN796" s="106"/>
      <c r="BO796" s="106"/>
    </row>
    <row r="797" spans="2:67" x14ac:dyDescent="0.25">
      <c r="B797" s="221"/>
      <c r="C797" s="222"/>
      <c r="D797" s="222"/>
      <c r="E797" s="221"/>
      <c r="F797" s="212" t="s">
        <v>296</v>
      </c>
      <c r="G797" s="215"/>
      <c r="H797" s="216" t="str">
        <f>IF(ISERROR(Tra06_03),0,Tra06_03)</f>
        <v>N/A</v>
      </c>
      <c r="J797" s="203"/>
      <c r="K797" s="215"/>
      <c r="M797" s="215"/>
      <c r="N797" s="215"/>
      <c r="O797" s="215"/>
      <c r="P797" s="215"/>
      <c r="Q797" s="215"/>
      <c r="Y797" s="501"/>
      <c r="BI797" s="106"/>
      <c r="BJ797" s="106"/>
      <c r="BK797" s="106"/>
      <c r="BL797" s="106"/>
      <c r="BM797" s="106"/>
      <c r="BN797" s="106"/>
      <c r="BO797" s="106"/>
    </row>
    <row r="798" spans="2:67" ht="3" customHeight="1" x14ac:dyDescent="0.25">
      <c r="B798" s="215"/>
      <c r="E798" s="215"/>
      <c r="F798" s="225"/>
      <c r="G798" s="215"/>
      <c r="H798" s="252"/>
      <c r="J798" s="203"/>
      <c r="K798" s="215"/>
      <c r="M798" s="215"/>
      <c r="N798" s="215"/>
      <c r="O798" s="215"/>
      <c r="P798" s="215"/>
      <c r="Q798" s="215"/>
      <c r="Y798" s="501"/>
      <c r="BI798" s="106"/>
      <c r="BJ798" s="106"/>
      <c r="BK798" s="106"/>
      <c r="BL798" s="106"/>
      <c r="BM798" s="106"/>
      <c r="BN798" s="106"/>
      <c r="BO798" s="106"/>
    </row>
    <row r="799" spans="2:67" x14ac:dyDescent="0.25">
      <c r="B799" s="221"/>
      <c r="C799" s="222"/>
      <c r="D799" s="222"/>
      <c r="E799" s="221"/>
      <c r="F799" s="212" t="s">
        <v>297</v>
      </c>
      <c r="G799" s="215"/>
      <c r="H799" s="217" t="str">
        <f>IF(ISERROR(Tra05_05_Err),AIS_Statement81,Tra05_05_Err)</f>
        <v>See instruction</v>
      </c>
      <c r="J799" s="203"/>
      <c r="K799" s="215"/>
      <c r="M799" s="215"/>
      <c r="N799" s="215"/>
      <c r="O799" s="215"/>
      <c r="P799" s="215"/>
      <c r="Q799" s="215"/>
      <c r="Y799" s="501"/>
      <c r="BI799" s="106"/>
      <c r="BJ799" s="106"/>
      <c r="BK799" s="106"/>
      <c r="BL799" s="106"/>
      <c r="BM799" s="106"/>
      <c r="BN799" s="106"/>
      <c r="BO799" s="106"/>
    </row>
    <row r="800" spans="2:67" ht="3" customHeight="1" x14ac:dyDescent="0.25">
      <c r="K800" s="215"/>
      <c r="M800" s="215"/>
      <c r="N800" s="215"/>
      <c r="O800" s="215"/>
      <c r="P800" s="215"/>
      <c r="Q800" s="215"/>
      <c r="Y800" s="501"/>
      <c r="BI800" s="106"/>
      <c r="BJ800" s="106"/>
      <c r="BK800" s="106"/>
      <c r="BL800" s="106"/>
      <c r="BM800" s="106"/>
      <c r="BN800" s="106"/>
      <c r="BO800" s="106"/>
    </row>
    <row r="801" spans="2:67" x14ac:dyDescent="0.25">
      <c r="B801" s="221"/>
      <c r="C801" s="222"/>
      <c r="D801" s="222"/>
      <c r="E801" s="221"/>
      <c r="F801" s="212" t="s">
        <v>298</v>
      </c>
      <c r="H801" s="216" t="s">
        <v>300</v>
      </c>
      <c r="K801" s="215"/>
      <c r="M801" s="215"/>
      <c r="N801" s="215"/>
      <c r="O801" s="215"/>
      <c r="P801" s="215"/>
      <c r="Q801" s="215"/>
      <c r="Y801" s="501"/>
      <c r="BI801" s="106"/>
      <c r="BJ801" s="106"/>
      <c r="BK801" s="106"/>
      <c r="BL801" s="106"/>
      <c r="BM801" s="106"/>
      <c r="BN801" s="106"/>
      <c r="BO801" s="106"/>
    </row>
    <row r="802" spans="2:67" ht="3" customHeight="1" x14ac:dyDescent="0.25">
      <c r="K802" s="215"/>
      <c r="M802" s="215"/>
      <c r="N802" s="215"/>
      <c r="O802" s="215"/>
      <c r="P802" s="215"/>
      <c r="Q802" s="215"/>
      <c r="Y802" s="501"/>
      <c r="BI802" s="106"/>
      <c r="BJ802" s="106"/>
      <c r="BK802" s="106"/>
      <c r="BL802" s="106"/>
      <c r="BM802" s="106"/>
      <c r="BN802" s="106"/>
      <c r="BO802" s="106"/>
    </row>
    <row r="803" spans="2:67" x14ac:dyDescent="0.25">
      <c r="B803" s="221"/>
      <c r="C803" s="222"/>
      <c r="D803" s="221"/>
      <c r="E803" s="221"/>
      <c r="F803" s="212" t="s">
        <v>299</v>
      </c>
      <c r="H803" s="216" t="s">
        <v>300</v>
      </c>
      <c r="K803" s="215"/>
      <c r="M803" s="215"/>
      <c r="N803" s="215"/>
      <c r="O803" s="215"/>
      <c r="P803" s="215"/>
      <c r="Q803" s="215"/>
      <c r="Y803" s="501"/>
      <c r="BI803" s="106"/>
      <c r="BJ803" s="106"/>
      <c r="BK803" s="106"/>
      <c r="BL803" s="106"/>
      <c r="BM803" s="106"/>
      <c r="BN803" s="106"/>
      <c r="BO803" s="106"/>
    </row>
    <row r="804" spans="2:67" x14ac:dyDescent="0.25">
      <c r="M804" s="215"/>
      <c r="N804" s="215"/>
      <c r="O804" s="215"/>
      <c r="P804" s="215"/>
      <c r="Q804" s="215"/>
      <c r="Y804" s="501"/>
      <c r="BI804" s="106"/>
      <c r="BJ804" s="106"/>
      <c r="BK804" s="106"/>
      <c r="BL804" s="106"/>
      <c r="BM804" s="106"/>
      <c r="BN804" s="106"/>
      <c r="BO804" s="106"/>
    </row>
    <row r="805" spans="2:67" x14ac:dyDescent="0.25">
      <c r="B805" s="235" t="s">
        <v>301</v>
      </c>
      <c r="C805" s="215"/>
      <c r="D805" s="215"/>
      <c r="E805" s="215"/>
      <c r="F805" s="225"/>
      <c r="G805" s="215"/>
      <c r="H805" s="215"/>
      <c r="I805" s="215"/>
      <c r="J805" s="215"/>
      <c r="K805" s="215"/>
      <c r="L805" s="215"/>
      <c r="M805" s="215"/>
      <c r="N805" s="215"/>
      <c r="O805" s="215"/>
      <c r="P805" s="215"/>
      <c r="Q805" s="215"/>
      <c r="Y805" s="501"/>
      <c r="BI805" s="106"/>
      <c r="BJ805" s="106"/>
      <c r="BK805" s="106"/>
      <c r="BL805" s="106"/>
      <c r="BM805" s="106"/>
      <c r="BN805" s="106"/>
      <c r="BO805" s="106"/>
    </row>
    <row r="806" spans="2:67" ht="159.94999999999999" customHeight="1" x14ac:dyDescent="0.25">
      <c r="B806" s="736"/>
      <c r="C806" s="737"/>
      <c r="D806" s="737"/>
      <c r="E806" s="737"/>
      <c r="F806" s="737"/>
      <c r="G806" s="737"/>
      <c r="H806" s="737"/>
      <c r="I806" s="737"/>
      <c r="J806" s="737"/>
      <c r="K806" s="737"/>
      <c r="L806" s="737"/>
      <c r="M806" s="737"/>
      <c r="N806" s="737"/>
      <c r="O806" s="737"/>
      <c r="P806" s="738"/>
      <c r="Q806" s="416"/>
      <c r="Y806" s="501"/>
      <c r="BI806" s="106"/>
      <c r="BJ806" s="106"/>
      <c r="BK806" s="106"/>
      <c r="BL806" s="106"/>
      <c r="BM806" s="106"/>
      <c r="BN806" s="106"/>
      <c r="BO806" s="106"/>
    </row>
    <row r="807" spans="2:67" ht="24.95" customHeight="1" x14ac:dyDescent="0.25">
      <c r="B807" s="204"/>
      <c r="C807" s="294"/>
      <c r="D807" s="294"/>
      <c r="E807" s="294"/>
      <c r="F807" s="294"/>
      <c r="G807" s="294"/>
      <c r="H807" s="294"/>
      <c r="I807" s="294"/>
      <c r="J807" s="294"/>
      <c r="K807" s="294"/>
      <c r="L807" s="294"/>
      <c r="M807" s="294"/>
      <c r="N807" s="294"/>
      <c r="O807" s="294"/>
      <c r="P807" s="294"/>
      <c r="Q807" s="294"/>
      <c r="Y807" s="501"/>
      <c r="BI807" s="106"/>
      <c r="BJ807" s="106"/>
      <c r="BK807" s="106"/>
      <c r="BL807" s="106"/>
      <c r="BM807" s="106"/>
      <c r="BN807" s="106"/>
      <c r="BO807" s="106"/>
    </row>
    <row r="808" spans="2:67" ht="24.95" customHeight="1" x14ac:dyDescent="0.25">
      <c r="B808" s="341" t="s">
        <v>510</v>
      </c>
      <c r="C808" s="342"/>
      <c r="D808" s="342"/>
      <c r="E808" s="342"/>
      <c r="F808" s="342"/>
      <c r="G808" s="342"/>
      <c r="H808" s="342"/>
      <c r="I808" s="342"/>
      <c r="J808" s="342"/>
      <c r="K808" s="342"/>
      <c r="L808" s="342"/>
      <c r="M808" s="342"/>
      <c r="N808" s="325"/>
      <c r="O808" s="325"/>
      <c r="P808" s="327"/>
      <c r="Q808" s="327"/>
      <c r="Y808" s="501"/>
      <c r="BI808" s="106"/>
      <c r="BJ808" s="106"/>
      <c r="BK808" s="106"/>
      <c r="BL808" s="106"/>
      <c r="BM808" s="106"/>
      <c r="BN808" s="106"/>
      <c r="BO808" s="106"/>
    </row>
    <row r="809" spans="2:67" ht="15" customHeight="1" x14ac:dyDescent="0.25">
      <c r="Y809" s="501"/>
      <c r="BI809" s="106"/>
      <c r="BJ809" s="106"/>
      <c r="BK809" s="106"/>
      <c r="BL809" s="106"/>
      <c r="BM809" s="106"/>
      <c r="BN809" s="106"/>
      <c r="BO809" s="106"/>
    </row>
    <row r="810" spans="2:67" ht="15" customHeight="1" x14ac:dyDescent="0.25">
      <c r="B810" s="24" t="s">
        <v>511</v>
      </c>
      <c r="C810" s="13"/>
      <c r="D810" s="236"/>
      <c r="E810" s="237"/>
      <c r="F810" s="237"/>
      <c r="G810" s="237"/>
      <c r="H810" s="237"/>
      <c r="I810" s="237"/>
      <c r="J810" s="237"/>
      <c r="K810" s="237"/>
      <c r="L810" s="237"/>
      <c r="M810" s="237"/>
      <c r="N810" s="237"/>
      <c r="O810" s="237"/>
      <c r="P810" s="329" t="str">
        <f>IF(ADPT=ADPT02,AIS_statement32,"")</f>
        <v/>
      </c>
      <c r="Q810" s="240"/>
      <c r="Y810" s="501"/>
      <c r="BI810" s="106"/>
      <c r="BJ810" s="106"/>
      <c r="BK810" s="106"/>
      <c r="BL810" s="106"/>
      <c r="BM810" s="106"/>
      <c r="BN810" s="106"/>
      <c r="BO810" s="106"/>
    </row>
    <row r="811" spans="2:67" x14ac:dyDescent="0.25">
      <c r="B811" s="215"/>
      <c r="C811" s="215"/>
      <c r="D811" s="215"/>
      <c r="E811" s="215"/>
      <c r="F811" s="215"/>
      <c r="G811" s="215"/>
      <c r="H811" s="215"/>
      <c r="I811" s="215"/>
      <c r="J811" s="215"/>
      <c r="K811" s="215"/>
      <c r="L811" s="215"/>
      <c r="M811" s="215"/>
      <c r="N811" s="215"/>
      <c r="O811" s="215"/>
      <c r="P811" s="215"/>
      <c r="Q811" s="215"/>
      <c r="Y811" s="501"/>
      <c r="BI811" s="106"/>
      <c r="BJ811" s="106"/>
      <c r="BK811" s="106"/>
      <c r="BL811" s="106"/>
      <c r="BM811" s="106"/>
      <c r="BN811" s="106"/>
      <c r="BO811" s="106"/>
    </row>
    <row r="812" spans="2:67" ht="15" customHeight="1" x14ac:dyDescent="0.25">
      <c r="B812" s="222"/>
      <c r="C812" s="222"/>
      <c r="D812" s="221"/>
      <c r="E812" s="221"/>
      <c r="F812" s="212" t="s">
        <v>284</v>
      </c>
      <c r="G812" s="215"/>
      <c r="H812" s="216">
        <f>IF(ADPT=ADPT02,AIS_NA,5)</f>
        <v>5</v>
      </c>
      <c r="J812" s="222"/>
      <c r="K812" s="222"/>
      <c r="L812" s="222"/>
      <c r="M812" s="222"/>
      <c r="N812" s="212" t="s">
        <v>285</v>
      </c>
      <c r="P812" s="217">
        <f>IF(ADPT=ADPT02,AIS_NA,(BP_36/BP_05)*Wat01_credits)</f>
        <v>0</v>
      </c>
      <c r="Q812" s="217"/>
      <c r="R812" s="709" t="s">
        <v>512</v>
      </c>
      <c r="S812" s="709"/>
      <c r="T812" s="709"/>
      <c r="U812" s="709"/>
      <c r="V812" s="709"/>
      <c r="W812" s="709"/>
      <c r="X812" s="55"/>
      <c r="Y812" s="501"/>
      <c r="BI812" s="106"/>
      <c r="BJ812" s="106"/>
      <c r="BK812" s="106"/>
      <c r="BL812" s="106"/>
      <c r="BM812" s="106"/>
      <c r="BN812" s="106"/>
      <c r="BO812" s="106"/>
    </row>
    <row r="813" spans="2:67" ht="3.75" customHeight="1" x14ac:dyDescent="0.25">
      <c r="R813" s="709"/>
      <c r="S813" s="709"/>
      <c r="T813" s="709"/>
      <c r="U813" s="709"/>
      <c r="V813" s="709"/>
      <c r="W813" s="709"/>
      <c r="X813" s="55"/>
      <c r="Y813" s="501"/>
      <c r="BI813" s="106"/>
      <c r="BJ813" s="106"/>
      <c r="BK813" s="106"/>
      <c r="BL813" s="106"/>
      <c r="BM813" s="106"/>
      <c r="BN813" s="106"/>
      <c r="BO813" s="106"/>
    </row>
    <row r="814" spans="2:67" x14ac:dyDescent="0.25">
      <c r="B814" s="222"/>
      <c r="C814" s="222"/>
      <c r="D814" s="221"/>
      <c r="E814" s="221"/>
      <c r="F814" s="212" t="s">
        <v>286</v>
      </c>
      <c r="G814" s="215"/>
      <c r="H814" s="216">
        <f>IF(ADPT=ADPT02,AIS_NA,1)</f>
        <v>1</v>
      </c>
      <c r="J814" s="221"/>
      <c r="K814" s="221"/>
      <c r="L814" s="221"/>
      <c r="M814" s="221"/>
      <c r="N814" s="212" t="s">
        <v>287</v>
      </c>
      <c r="O814" s="215"/>
      <c r="P814" s="216" t="str">
        <f>IF(ADPT=ADPT02,AIS_NA,AIS_Yes)</f>
        <v>Yes</v>
      </c>
      <c r="Q814" s="216"/>
      <c r="R814" s="709"/>
      <c r="S814" s="709"/>
      <c r="T814" s="709"/>
      <c r="U814" s="709"/>
      <c r="V814" s="709"/>
      <c r="W814" s="709"/>
      <c r="X814" s="55"/>
      <c r="Y814" s="501"/>
      <c r="BI814" s="106"/>
      <c r="BJ814" s="106"/>
      <c r="BK814" s="106"/>
      <c r="BL814" s="106"/>
      <c r="BM814" s="106"/>
      <c r="BN814" s="106"/>
      <c r="BO814" s="106"/>
    </row>
    <row r="815" spans="2:67" ht="36" customHeight="1" x14ac:dyDescent="0.25">
      <c r="P815" s="220"/>
      <c r="Q815" s="220"/>
      <c r="Y815" s="501"/>
      <c r="BI815" s="106"/>
      <c r="BJ815" s="106"/>
      <c r="BK815" s="106"/>
      <c r="BL815" s="106"/>
      <c r="BM815" s="106"/>
      <c r="BN815" s="106"/>
      <c r="BO815" s="106"/>
    </row>
    <row r="816" spans="2:67" x14ac:dyDescent="0.25">
      <c r="B816" s="222"/>
      <c r="C816" s="222"/>
      <c r="D816" s="221"/>
      <c r="E816" s="221"/>
      <c r="F816" s="212" t="s">
        <v>513</v>
      </c>
      <c r="G816" s="215"/>
      <c r="H816" s="807" t="s">
        <v>514</v>
      </c>
      <c r="I816" s="808"/>
      <c r="J816" s="808"/>
      <c r="K816" s="808"/>
      <c r="L816" s="808"/>
      <c r="M816" s="808"/>
      <c r="N816" s="809"/>
      <c r="P816" s="400"/>
      <c r="Q816" s="400"/>
      <c r="Y816" s="501"/>
      <c r="BI816" s="106"/>
      <c r="BJ816" s="106"/>
      <c r="BK816" s="106"/>
      <c r="BL816" s="106"/>
      <c r="BM816" s="106"/>
      <c r="BN816" s="106"/>
      <c r="BO816" s="106"/>
    </row>
    <row r="817" spans="2:67" ht="34.5" customHeight="1" x14ac:dyDescent="0.25">
      <c r="B817" s="838" t="s">
        <v>515</v>
      </c>
      <c r="C817" s="838"/>
      <c r="D817" s="838"/>
      <c r="E817" s="838"/>
      <c r="F817" s="838"/>
      <c r="H817" s="285" t="s">
        <v>125</v>
      </c>
      <c r="Y817" s="501"/>
      <c r="BI817" s="106"/>
      <c r="BJ817" s="106"/>
      <c r="BK817" s="106"/>
      <c r="BL817" s="106"/>
      <c r="BM817" s="106"/>
      <c r="BN817" s="106"/>
      <c r="BO817" s="106"/>
    </row>
    <row r="818" spans="2:67" s="21" customFormat="1" x14ac:dyDescent="0.25">
      <c r="B818" s="192"/>
      <c r="C818" s="192"/>
      <c r="D818" s="295"/>
      <c r="E818" s="295"/>
      <c r="F818" s="274" t="str">
        <f>IF(OR(ADBT0=ADBT6,ADBT0=ADBT5),AIS_statement21,"")</f>
        <v/>
      </c>
      <c r="G818" s="215"/>
      <c r="H818" s="296"/>
      <c r="R818" s="209"/>
      <c r="Y818" s="499"/>
      <c r="Z818" s="499"/>
      <c r="AA818" s="499"/>
      <c r="AB818" s="499"/>
      <c r="AC818" s="499"/>
      <c r="AD818" s="499"/>
      <c r="AE818" s="499"/>
      <c r="AF818" s="499"/>
      <c r="AG818" s="499"/>
      <c r="AH818" s="499"/>
      <c r="AI818" s="499"/>
      <c r="AJ818" s="499"/>
      <c r="AK818" s="499"/>
      <c r="AL818" s="499"/>
      <c r="AM818" s="499"/>
      <c r="AN818" s="499"/>
      <c r="AO818" s="499"/>
      <c r="AP818" s="499"/>
      <c r="AQ818" s="499"/>
      <c r="AR818" s="499"/>
      <c r="AS818" s="499"/>
      <c r="AT818" s="499"/>
      <c r="AU818" s="499"/>
      <c r="AV818" s="499"/>
      <c r="AW818" s="516"/>
      <c r="AX818" s="517"/>
      <c r="AY818" s="517"/>
      <c r="AZ818" s="517"/>
      <c r="BA818" s="517"/>
      <c r="BB818" s="517"/>
      <c r="BC818" s="517"/>
      <c r="BD818" s="517"/>
      <c r="BE818" s="517"/>
      <c r="BF818" s="517"/>
      <c r="BG818" s="517"/>
      <c r="BH818" s="517"/>
      <c r="BI818" s="532"/>
      <c r="BJ818" s="532"/>
      <c r="BK818" s="532"/>
      <c r="BL818" s="532"/>
      <c r="BM818" s="532"/>
      <c r="BN818" s="532"/>
      <c r="BO818" s="532"/>
    </row>
    <row r="819" spans="2:67" ht="36" customHeight="1" x14ac:dyDescent="0.25">
      <c r="B819" s="23" t="str">
        <f>AIS_option11</f>
        <v>Standard approach data</v>
      </c>
      <c r="C819" s="218"/>
      <c r="D819" s="215"/>
      <c r="E819" s="218"/>
      <c r="F819" s="255"/>
      <c r="J819" s="273"/>
      <c r="K819" s="273"/>
      <c r="M819" s="215"/>
      <c r="N819" s="215"/>
      <c r="O819" s="215"/>
      <c r="P819" s="215"/>
      <c r="Q819" s="215"/>
      <c r="Y819" s="501"/>
      <c r="BI819" s="106"/>
      <c r="BJ819" s="106"/>
      <c r="BK819" s="106"/>
      <c r="BL819" s="106"/>
      <c r="BM819" s="106"/>
      <c r="BN819" s="106"/>
      <c r="BO819" s="106"/>
    </row>
    <row r="820" spans="2:67" ht="3" customHeight="1" x14ac:dyDescent="0.25">
      <c r="B820" s="215"/>
      <c r="C820" s="218"/>
      <c r="D820" s="215"/>
      <c r="E820" s="218"/>
      <c r="F820" s="244"/>
      <c r="G820" s="215"/>
      <c r="J820" s="245"/>
      <c r="K820" s="245"/>
      <c r="M820" s="215"/>
      <c r="N820" s="215"/>
      <c r="O820" s="215"/>
      <c r="P820" s="215"/>
      <c r="Q820" s="215"/>
      <c r="Y820" s="501"/>
      <c r="BI820" s="106"/>
      <c r="BJ820" s="106"/>
      <c r="BK820" s="106"/>
      <c r="BL820" s="106"/>
      <c r="BM820" s="106"/>
      <c r="BN820" s="106"/>
      <c r="BO820" s="106"/>
    </row>
    <row r="821" spans="2:67" x14ac:dyDescent="0.25">
      <c r="B821" s="221"/>
      <c r="C821" s="221"/>
      <c r="D821" s="221"/>
      <c r="E821" s="221"/>
      <c r="F821" s="212"/>
      <c r="G821" s="221"/>
      <c r="H821" s="212" t="s">
        <v>516</v>
      </c>
      <c r="J821" s="289"/>
      <c r="K821" s="215"/>
      <c r="L821" s="314" t="str">
        <f>IF(Wat01_01=AIS_option09,AIS_units13,"")</f>
        <v>L/person/day</v>
      </c>
      <c r="M821" s="215"/>
      <c r="N821" s="215"/>
      <c r="O821" s="215"/>
      <c r="P821" s="215"/>
      <c r="Q821" s="215"/>
      <c r="Y821" s="501"/>
      <c r="BI821" s="106"/>
      <c r="BJ821" s="106"/>
      <c r="BK821" s="106"/>
      <c r="BL821" s="106"/>
      <c r="BM821" s="106"/>
      <c r="BN821" s="106"/>
      <c r="BO821" s="106"/>
    </row>
    <row r="822" spans="2:67" x14ac:dyDescent="0.25">
      <c r="B822" s="221"/>
      <c r="C822" s="221"/>
      <c r="D822" s="221"/>
      <c r="E822" s="221"/>
      <c r="F822" s="212"/>
      <c r="G822" s="221"/>
      <c r="H822" s="212" t="s">
        <v>517</v>
      </c>
      <c r="J822" s="289"/>
      <c r="K822" s="215"/>
      <c r="L822" s="314" t="str">
        <f>IF(Wat01_01=AIS_option09,AIS_units13,"")</f>
        <v>L/person/day</v>
      </c>
      <c r="M822" s="215"/>
      <c r="N822" s="215"/>
      <c r="O822" s="215"/>
      <c r="P822" s="215"/>
      <c r="Q822" s="215"/>
      <c r="Y822" s="501"/>
      <c r="BI822" s="106"/>
      <c r="BJ822" s="106"/>
      <c r="BK822" s="106"/>
      <c r="BL822" s="106"/>
      <c r="BM822" s="106"/>
      <c r="BN822" s="106"/>
      <c r="BO822" s="106"/>
    </row>
    <row r="823" spans="2:67" x14ac:dyDescent="0.25">
      <c r="B823" s="221"/>
      <c r="C823" s="221"/>
      <c r="D823" s="221"/>
      <c r="E823" s="221"/>
      <c r="F823" s="212"/>
      <c r="G823" s="221"/>
      <c r="H823" s="212" t="s">
        <v>518</v>
      </c>
      <c r="J823" s="289"/>
      <c r="K823" s="215"/>
      <c r="L823" s="314" t="str">
        <f>IF(Wat01_01=AIS_option09,AIS_units13,"")</f>
        <v>L/person/day</v>
      </c>
      <c r="M823" s="215"/>
      <c r="N823" s="215"/>
      <c r="O823" s="215"/>
      <c r="P823" s="215"/>
      <c r="Q823" s="215"/>
      <c r="Y823" s="501"/>
      <c r="BI823" s="106"/>
      <c r="BJ823" s="106"/>
      <c r="BK823" s="106"/>
      <c r="BL823" s="106"/>
      <c r="BM823" s="106"/>
      <c r="BN823" s="106"/>
      <c r="BO823" s="106"/>
    </row>
    <row r="824" spans="2:67" x14ac:dyDescent="0.25">
      <c r="B824" s="221"/>
      <c r="C824" s="221"/>
      <c r="D824" s="221"/>
      <c r="E824" s="221"/>
      <c r="F824" s="212"/>
      <c r="G824" s="221"/>
      <c r="H824" s="212" t="s">
        <v>519</v>
      </c>
      <c r="J824" s="267"/>
      <c r="K824" s="215"/>
      <c r="L824" s="314" t="str">
        <f>IF(Wat01_01=AIS_option09,AIS_units12,"")</f>
        <v>%</v>
      </c>
      <c r="M824" s="215"/>
      <c r="N824" s="215"/>
      <c r="O824" s="215"/>
      <c r="P824" s="215"/>
      <c r="Q824" s="215"/>
      <c r="Y824" s="501"/>
      <c r="BI824" s="106"/>
      <c r="BJ824" s="106"/>
      <c r="BK824" s="106"/>
      <c r="BL824" s="106"/>
      <c r="BM824" s="106"/>
      <c r="BN824" s="106"/>
      <c r="BO824" s="106"/>
    </row>
    <row r="825" spans="2:67" ht="24.95" customHeight="1" x14ac:dyDescent="0.25">
      <c r="B825" s="23" t="s">
        <v>520</v>
      </c>
      <c r="C825" s="215"/>
      <c r="D825" s="215"/>
      <c r="E825" s="215"/>
      <c r="F825" s="225"/>
      <c r="G825" s="215"/>
      <c r="L825" s="209"/>
      <c r="M825" s="215"/>
      <c r="N825" s="215"/>
      <c r="O825" s="215"/>
      <c r="P825" s="215"/>
      <c r="Q825" s="215"/>
      <c r="Y825" s="501"/>
      <c r="BI825" s="106"/>
      <c r="BJ825" s="106"/>
      <c r="BK825" s="106"/>
      <c r="BL825" s="106"/>
      <c r="BM825" s="106"/>
      <c r="BN825" s="106"/>
      <c r="BO825" s="106"/>
    </row>
    <row r="826" spans="2:67" ht="3" customHeight="1" x14ac:dyDescent="0.25">
      <c r="B826" s="257"/>
      <c r="C826" s="215"/>
      <c r="D826" s="215"/>
      <c r="E826" s="215"/>
      <c r="F826" s="225"/>
      <c r="G826" s="215"/>
      <c r="L826" s="209"/>
      <c r="M826" s="215"/>
      <c r="N826" s="215"/>
      <c r="O826" s="215"/>
      <c r="P826" s="215"/>
      <c r="Q826" s="215"/>
      <c r="Y826" s="501"/>
      <c r="BI826" s="106"/>
      <c r="BJ826" s="106"/>
      <c r="BK826" s="106"/>
      <c r="BL826" s="106"/>
      <c r="BM826" s="106"/>
      <c r="BN826" s="106"/>
      <c r="BO826" s="106"/>
    </row>
    <row r="827" spans="2:67" x14ac:dyDescent="0.25">
      <c r="B827" s="221"/>
      <c r="C827" s="221"/>
      <c r="D827" s="221"/>
      <c r="E827" s="221"/>
      <c r="F827" s="212"/>
      <c r="G827" s="221"/>
      <c r="H827" s="212" t="s">
        <v>521</v>
      </c>
      <c r="J827" s="289"/>
      <c r="K827" s="215"/>
      <c r="L827" s="320" t="str">
        <f>IF(Wat01_01=AIS_option09,AIS_units14,IF(Wat01_01=AIS_option10,AIS_statement03,""))</f>
        <v>m3/person/yr</v>
      </c>
      <c r="M827" s="215"/>
      <c r="N827" s="215"/>
      <c r="O827" s="215"/>
      <c r="P827" s="215"/>
      <c r="Q827" s="215"/>
      <c r="Y827" s="501"/>
      <c r="BI827" s="106"/>
      <c r="BJ827" s="106"/>
      <c r="BK827" s="106"/>
      <c r="BL827" s="106"/>
      <c r="BM827" s="106"/>
      <c r="BN827" s="106"/>
      <c r="BO827" s="106"/>
    </row>
    <row r="828" spans="2:67" x14ac:dyDescent="0.25">
      <c r="B828" s="221"/>
      <c r="C828" s="221"/>
      <c r="D828" s="221"/>
      <c r="E828" s="221"/>
      <c r="F828" s="212"/>
      <c r="G828" s="221"/>
      <c r="H828" s="212" t="s">
        <v>522</v>
      </c>
      <c r="J828" s="289"/>
      <c r="K828" s="215"/>
      <c r="L828" s="320" t="str">
        <f>IF(Wat01_01=AIS_option10,AIS_statement03,"")</f>
        <v/>
      </c>
      <c r="M828" s="215"/>
      <c r="N828" s="215"/>
      <c r="O828" s="215"/>
      <c r="P828" s="215"/>
      <c r="Q828" s="215"/>
      <c r="Y828" s="501"/>
      <c r="BI828" s="106"/>
      <c r="BJ828" s="106"/>
      <c r="BK828" s="106"/>
      <c r="BL828" s="106"/>
      <c r="BM828" s="106"/>
      <c r="BN828" s="106"/>
      <c r="BO828" s="106"/>
    </row>
    <row r="829" spans="2:67" x14ac:dyDescent="0.25">
      <c r="J829" s="297"/>
      <c r="K829" s="215"/>
      <c r="L829" s="209"/>
      <c r="M829" s="215"/>
      <c r="N829" s="215"/>
      <c r="O829" s="215"/>
      <c r="P829" s="215"/>
      <c r="Q829" s="215"/>
      <c r="Y829" s="501"/>
      <c r="BI829" s="106"/>
      <c r="BJ829" s="106"/>
      <c r="BK829" s="106"/>
      <c r="BL829" s="106"/>
      <c r="BM829" s="106"/>
      <c r="BN829" s="106"/>
      <c r="BO829" s="106"/>
    </row>
    <row r="830" spans="2:67" x14ac:dyDescent="0.25">
      <c r="B830" s="23" t="str">
        <f>AIS_option12</f>
        <v>Alternative approach data</v>
      </c>
      <c r="J830" s="297"/>
      <c r="K830" s="215"/>
      <c r="L830" s="203"/>
      <c r="M830" s="215"/>
      <c r="N830" s="215"/>
      <c r="O830" s="215"/>
      <c r="P830" s="215"/>
      <c r="Q830" s="215"/>
      <c r="Y830" s="501"/>
      <c r="BI830" s="106"/>
      <c r="BJ830" s="106"/>
      <c r="BK830" s="106"/>
      <c r="BL830" s="106"/>
      <c r="BM830" s="106"/>
      <c r="BN830" s="106"/>
      <c r="BO830" s="106"/>
    </row>
    <row r="831" spans="2:67" ht="3" customHeight="1" x14ac:dyDescent="0.25">
      <c r="B831" s="23"/>
      <c r="J831" s="297"/>
      <c r="K831" s="215"/>
      <c r="L831" s="203"/>
      <c r="M831" s="215"/>
      <c r="N831" s="215"/>
      <c r="O831" s="215"/>
      <c r="P831" s="215"/>
      <c r="Q831" s="215"/>
      <c r="Y831" s="501"/>
      <c r="BI831" s="106"/>
      <c r="BJ831" s="106"/>
      <c r="BK831" s="106"/>
      <c r="BL831" s="106"/>
      <c r="BM831" s="106"/>
      <c r="BN831" s="106"/>
      <c r="BO831" s="106"/>
    </row>
    <row r="832" spans="2:67" x14ac:dyDescent="0.25">
      <c r="B832" s="221"/>
      <c r="C832" s="221"/>
      <c r="D832" s="221"/>
      <c r="E832" s="221"/>
      <c r="F832" s="212"/>
      <c r="G832" s="221"/>
      <c r="H832" s="212" t="s">
        <v>523</v>
      </c>
      <c r="J832" s="267" t="s">
        <v>524</v>
      </c>
      <c r="L832" s="203"/>
      <c r="M832" s="215"/>
      <c r="N832" s="215"/>
      <c r="O832" s="215"/>
      <c r="P832" s="215"/>
      <c r="Q832" s="215"/>
      <c r="Y832" s="501"/>
      <c r="BI832" s="106"/>
      <c r="BJ832" s="106"/>
      <c r="BK832" s="106"/>
      <c r="BL832" s="106"/>
      <c r="BM832" s="106"/>
      <c r="BN832" s="106"/>
      <c r="BO832" s="106"/>
    </row>
    <row r="833" spans="2:67" x14ac:dyDescent="0.25">
      <c r="B833" s="801" t="s">
        <v>525</v>
      </c>
      <c r="C833" s="802"/>
      <c r="D833" s="802"/>
      <c r="E833" s="802"/>
      <c r="F833" s="802"/>
      <c r="G833" s="802"/>
      <c r="H833" s="803"/>
      <c r="I833" s="290" t="str">
        <f>IF(OR(Wat01_16=AD2073,Wat01_16=AD2074,Wat01_16=AD2075),"→","")</f>
        <v/>
      </c>
      <c r="J833" s="267"/>
      <c r="K833" s="298" t="str">
        <f>IF(OR(Wat01_16=AD2073,Wat01_16=AD2074,Wat01_16=AD2075),"←","")</f>
        <v/>
      </c>
      <c r="L833" s="203"/>
      <c r="M833" s="215"/>
      <c r="N833" s="215"/>
      <c r="O833" s="215"/>
      <c r="P833" s="215"/>
      <c r="Q833" s="215"/>
      <c r="Y833" s="501"/>
      <c r="BI833" s="106"/>
      <c r="BJ833" s="106"/>
      <c r="BK833" s="106"/>
      <c r="BL833" s="106"/>
      <c r="BM833" s="106"/>
      <c r="BN833" s="106"/>
      <c r="BO833" s="106"/>
    </row>
    <row r="834" spans="2:67" x14ac:dyDescent="0.25">
      <c r="J834" s="297"/>
      <c r="L834" s="203"/>
      <c r="M834" s="215"/>
      <c r="N834" s="215"/>
      <c r="O834" s="215"/>
      <c r="P834" s="215"/>
      <c r="Q834" s="215"/>
      <c r="Y834" s="501"/>
      <c r="BI834" s="106"/>
      <c r="BJ834" s="106"/>
      <c r="BK834" s="106"/>
      <c r="BL834" s="106"/>
      <c r="BM834" s="106"/>
      <c r="BN834" s="106"/>
      <c r="BO834" s="106"/>
    </row>
    <row r="835" spans="2:67" ht="3" customHeight="1" x14ac:dyDescent="0.25">
      <c r="M835" s="215"/>
      <c r="N835" s="215"/>
      <c r="O835" s="215"/>
      <c r="P835" s="215"/>
      <c r="Q835" s="215"/>
      <c r="Y835" s="501"/>
      <c r="BI835" s="106"/>
      <c r="BJ835" s="106"/>
      <c r="BK835" s="106"/>
      <c r="BL835" s="106"/>
      <c r="BM835" s="106"/>
      <c r="BN835" s="106"/>
      <c r="BO835" s="106"/>
    </row>
    <row r="836" spans="2:67" x14ac:dyDescent="0.25">
      <c r="B836" s="221"/>
      <c r="C836" s="222"/>
      <c r="D836" s="222"/>
      <c r="E836" s="221"/>
      <c r="F836" s="212" t="s">
        <v>296</v>
      </c>
      <c r="G836" s="215"/>
      <c r="H836" s="216">
        <f>IF(ISERROR(Wat01_Tot_Err),AIS_Missing_data,Wat01_Tot_Err)</f>
        <v>0</v>
      </c>
      <c r="J836" s="203"/>
      <c r="K836" s="215"/>
      <c r="M836" s="215"/>
      <c r="N836" s="215"/>
      <c r="O836" s="215"/>
      <c r="P836" s="215"/>
      <c r="Q836" s="215"/>
      <c r="Y836" s="501"/>
      <c r="BI836" s="106"/>
      <c r="BJ836" s="106"/>
      <c r="BK836" s="106"/>
      <c r="BL836" s="106"/>
      <c r="BM836" s="106"/>
      <c r="BN836" s="106"/>
      <c r="BO836" s="106"/>
    </row>
    <row r="837" spans="2:67" ht="3" customHeight="1" x14ac:dyDescent="0.25">
      <c r="B837" s="215"/>
      <c r="E837" s="215"/>
      <c r="F837" s="225"/>
      <c r="G837" s="215"/>
      <c r="H837" s="252"/>
      <c r="J837" s="203"/>
      <c r="K837" s="215"/>
      <c r="M837" s="215"/>
      <c r="N837" s="215"/>
      <c r="O837" s="215"/>
      <c r="P837" s="215"/>
      <c r="Q837" s="215"/>
      <c r="Y837" s="501"/>
      <c r="BI837" s="106"/>
      <c r="BJ837" s="106"/>
      <c r="BK837" s="106"/>
      <c r="BL837" s="106"/>
      <c r="BM837" s="106"/>
      <c r="BN837" s="106"/>
      <c r="BO837" s="106"/>
    </row>
    <row r="838" spans="2:67" x14ac:dyDescent="0.25">
      <c r="B838" s="221"/>
      <c r="C838" s="222"/>
      <c r="D838" s="222"/>
      <c r="E838" s="221"/>
      <c r="F838" s="212" t="s">
        <v>297</v>
      </c>
      <c r="G838" s="215"/>
      <c r="H838" s="217">
        <f>IF(ADPT=ADPT02,AIS_NA,(IF(ISERROR(Wat01_15_Err),AIS_Missing_data,Wat01_15_Err)))</f>
        <v>0</v>
      </c>
      <c r="J838" s="203"/>
      <c r="K838" s="215"/>
      <c r="M838" s="215"/>
      <c r="N838" s="215"/>
      <c r="O838" s="215"/>
      <c r="P838" s="215"/>
      <c r="Q838" s="215"/>
      <c r="Y838" s="501"/>
      <c r="BI838" s="106"/>
      <c r="BJ838" s="106"/>
      <c r="BK838" s="106"/>
      <c r="BL838" s="106"/>
      <c r="BM838" s="106"/>
      <c r="BN838" s="106"/>
      <c r="BO838" s="106"/>
    </row>
    <row r="839" spans="2:67" ht="3" customHeight="1" x14ac:dyDescent="0.25">
      <c r="K839" s="215"/>
      <c r="M839" s="215"/>
      <c r="N839" s="215"/>
      <c r="O839" s="215"/>
      <c r="P839" s="215"/>
      <c r="Q839" s="215"/>
      <c r="Y839" s="501"/>
      <c r="BI839" s="106"/>
      <c r="BJ839" s="106"/>
      <c r="BK839" s="106"/>
      <c r="BL839" s="106"/>
      <c r="BM839" s="106"/>
      <c r="BN839" s="106"/>
      <c r="BO839" s="106"/>
    </row>
    <row r="840" spans="2:67" x14ac:dyDescent="0.25">
      <c r="B840" s="221"/>
      <c r="C840" s="222"/>
      <c r="D840" s="222"/>
      <c r="E840" s="221"/>
      <c r="F840" s="212" t="s">
        <v>298</v>
      </c>
      <c r="H840" s="216">
        <f>IF(AND(OR(ADBT0="",ADBT0=ADBT6,ADBT0=ADBT5),Wat01_13=AIS_No),0,IF(ADPT=ADPT02,0,IF(Wat01_01="",0,IF(Wat01_01=AIS_option09,VLOOKUP(Wat01_05,Wat01_Exemp,2,TRUE),IF(Wat01_01=AIS_option10,IF(AND(Wat01_10=Wat01_Alt_level5,Wat01_11&gt;Wat01_Alt_Exemp),AIS_credit01,AIS_credit00))))))</f>
        <v>0</v>
      </c>
      <c r="K840" s="215"/>
      <c r="M840" s="215"/>
      <c r="O840" s="215"/>
      <c r="P840" s="215"/>
      <c r="Q840" s="215"/>
      <c r="Y840" s="501"/>
      <c r="BI840" s="106"/>
      <c r="BJ840" s="106"/>
      <c r="BK840" s="106"/>
      <c r="BL840" s="106"/>
      <c r="BM840" s="106"/>
      <c r="BN840" s="106"/>
      <c r="BO840" s="106"/>
    </row>
    <row r="841" spans="2:67" ht="3" customHeight="1" x14ac:dyDescent="0.25">
      <c r="K841" s="215"/>
      <c r="M841" s="215"/>
      <c r="N841" s="215"/>
      <c r="O841" s="215"/>
      <c r="P841" s="215"/>
      <c r="Q841" s="215"/>
      <c r="Y841" s="501"/>
      <c r="BI841" s="106"/>
      <c r="BJ841" s="106"/>
      <c r="BK841" s="106"/>
      <c r="BL841" s="106"/>
      <c r="BM841" s="106"/>
      <c r="BN841" s="106"/>
      <c r="BO841" s="106"/>
    </row>
    <row r="842" spans="2:67" x14ac:dyDescent="0.25">
      <c r="B842" s="221"/>
      <c r="C842" s="222"/>
      <c r="D842" s="221"/>
      <c r="E842" s="221"/>
      <c r="F842" s="212" t="s">
        <v>299</v>
      </c>
      <c r="H842" s="226" t="str">
        <f>IF(OR(ADPT=ADPT02,H817=AIS_Yes),AIS_NA,VLOOKUP(MinSt_09,AIS_MinSt_benchmarks,2,FALSE))</f>
        <v>Pass level</v>
      </c>
      <c r="I842" s="226"/>
      <c r="J842" s="226"/>
      <c r="K842" s="226"/>
      <c r="L842" s="226"/>
      <c r="M842" s="227"/>
      <c r="N842" s="227"/>
      <c r="O842" s="215"/>
      <c r="P842" s="215"/>
      <c r="Q842" s="215"/>
      <c r="Y842" s="501"/>
      <c r="BI842" s="106"/>
      <c r="BJ842" s="106"/>
      <c r="BK842" s="106"/>
      <c r="BL842" s="106"/>
      <c r="BM842" s="106"/>
      <c r="BN842" s="106"/>
      <c r="BO842" s="106"/>
    </row>
    <row r="843" spans="2:67" ht="15.75" customHeight="1" x14ac:dyDescent="0.25">
      <c r="M843" s="215"/>
      <c r="N843" s="215"/>
      <c r="O843" s="215"/>
      <c r="P843" s="215"/>
      <c r="Q843" s="215"/>
      <c r="Y843" s="501"/>
      <c r="BI843" s="106"/>
      <c r="BJ843" s="106"/>
      <c r="BK843" s="106"/>
      <c r="BL843" s="106"/>
      <c r="BM843" s="106"/>
      <c r="BN843" s="106"/>
      <c r="BO843" s="106"/>
    </row>
    <row r="844" spans="2:67" x14ac:dyDescent="0.25">
      <c r="B844" s="257" t="s">
        <v>301</v>
      </c>
      <c r="C844" s="215"/>
      <c r="D844" s="215"/>
      <c r="E844" s="215"/>
      <c r="F844" s="225"/>
      <c r="G844" s="215"/>
      <c r="H844" s="215"/>
      <c r="I844" s="215"/>
      <c r="J844" s="215"/>
      <c r="K844" s="215"/>
      <c r="L844" s="215"/>
      <c r="M844" s="215"/>
      <c r="N844" s="215"/>
      <c r="O844" s="215"/>
      <c r="P844" s="215"/>
      <c r="Q844" s="215"/>
      <c r="Y844" s="501"/>
      <c r="BI844" s="106"/>
      <c r="BJ844" s="106"/>
      <c r="BK844" s="106"/>
      <c r="BL844" s="106"/>
      <c r="BM844" s="106"/>
      <c r="BN844" s="106"/>
      <c r="BO844" s="106"/>
    </row>
    <row r="845" spans="2:67" ht="159.94999999999999" customHeight="1" x14ac:dyDescent="0.25">
      <c r="B845" s="736"/>
      <c r="C845" s="737"/>
      <c r="D845" s="737"/>
      <c r="E845" s="737"/>
      <c r="F845" s="737"/>
      <c r="G845" s="737"/>
      <c r="H845" s="737"/>
      <c r="I845" s="737"/>
      <c r="J845" s="737"/>
      <c r="K845" s="737"/>
      <c r="L845" s="737"/>
      <c r="M845" s="737"/>
      <c r="N845" s="737"/>
      <c r="O845" s="737"/>
      <c r="P845" s="738"/>
      <c r="Q845" s="416"/>
      <c r="Y845" s="501"/>
      <c r="BI845" s="106"/>
      <c r="BJ845" s="106"/>
      <c r="BK845" s="106"/>
      <c r="BL845" s="106"/>
      <c r="BM845" s="106"/>
      <c r="BN845" s="106"/>
      <c r="BO845" s="106"/>
    </row>
    <row r="846" spans="2:67" ht="36" customHeight="1" x14ac:dyDescent="0.25">
      <c r="B846" s="27" t="s">
        <v>526</v>
      </c>
      <c r="C846" s="13"/>
      <c r="D846" s="236"/>
      <c r="E846" s="237"/>
      <c r="F846" s="237"/>
      <c r="G846" s="237"/>
      <c r="H846" s="237"/>
      <c r="I846" s="237"/>
      <c r="J846" s="237"/>
      <c r="K846" s="237"/>
      <c r="L846" s="237"/>
      <c r="M846" s="237"/>
      <c r="N846" s="237"/>
      <c r="O846" s="237"/>
      <c r="P846" s="237"/>
      <c r="Q846" s="215"/>
      <c r="Y846" s="501"/>
      <c r="BI846" s="106"/>
      <c r="BJ846" s="106"/>
      <c r="BK846" s="106"/>
      <c r="BL846" s="106"/>
      <c r="BM846" s="106"/>
      <c r="BN846" s="106"/>
      <c r="BO846" s="106"/>
    </row>
    <row r="847" spans="2:67" x14ac:dyDescent="0.25">
      <c r="B847" s="215"/>
      <c r="C847" s="215"/>
      <c r="D847" s="215"/>
      <c r="E847" s="215"/>
      <c r="F847" s="215"/>
      <c r="G847" s="215"/>
      <c r="H847" s="215"/>
      <c r="I847" s="215"/>
      <c r="J847" s="215"/>
      <c r="K847" s="215"/>
      <c r="L847" s="215"/>
      <c r="M847" s="215"/>
      <c r="N847" s="215"/>
      <c r="O847" s="215"/>
      <c r="P847" s="215"/>
      <c r="Q847" s="215"/>
      <c r="Y847" s="501"/>
      <c r="BI847" s="106"/>
      <c r="BJ847" s="106"/>
      <c r="BK847" s="106"/>
      <c r="BL847" s="106"/>
      <c r="BM847" s="106"/>
      <c r="BN847" s="106"/>
      <c r="BO847" s="106"/>
    </row>
    <row r="848" spans="2:67" x14ac:dyDescent="0.25">
      <c r="B848" s="222"/>
      <c r="C848" s="222"/>
      <c r="D848" s="221"/>
      <c r="E848" s="221"/>
      <c r="F848" s="212" t="s">
        <v>284</v>
      </c>
      <c r="G848" s="215"/>
      <c r="H848" s="216">
        <v>1</v>
      </c>
      <c r="J848" s="222"/>
      <c r="K848" s="222"/>
      <c r="L848" s="222"/>
      <c r="M848" s="222"/>
      <c r="N848" s="212" t="s">
        <v>285</v>
      </c>
      <c r="P848" s="217">
        <f>(BP_36/BP_05)*Wat02_credits</f>
        <v>0</v>
      </c>
      <c r="Q848" s="217"/>
      <c r="Y848" s="501"/>
      <c r="BI848" s="106"/>
      <c r="BJ848" s="106"/>
      <c r="BK848" s="106"/>
      <c r="BL848" s="106"/>
      <c r="BM848" s="106"/>
      <c r="BN848" s="106"/>
      <c r="BO848" s="106"/>
    </row>
    <row r="849" spans="2:67" ht="3.75" customHeight="1" x14ac:dyDescent="0.25">
      <c r="Y849" s="501"/>
      <c r="BI849" s="106"/>
      <c r="BJ849" s="106"/>
      <c r="BK849" s="106"/>
      <c r="BL849" s="106"/>
      <c r="BM849" s="106"/>
      <c r="BN849" s="106"/>
      <c r="BO849" s="106"/>
    </row>
    <row r="850" spans="2:67" x14ac:dyDescent="0.25">
      <c r="B850" s="222"/>
      <c r="C850" s="222"/>
      <c r="D850" s="221"/>
      <c r="E850" s="221"/>
      <c r="F850" s="212" t="s">
        <v>286</v>
      </c>
      <c r="G850" s="215"/>
      <c r="H850" s="216">
        <v>0</v>
      </c>
      <c r="J850" s="221"/>
      <c r="K850" s="221"/>
      <c r="L850" s="221"/>
      <c r="M850" s="221"/>
      <c r="N850" s="212" t="s">
        <v>287</v>
      </c>
      <c r="O850" s="215"/>
      <c r="P850" s="756" t="str">
        <f>IF(ADPT=ADPT02,AIS_NA,AIS_Yes)</f>
        <v>Yes</v>
      </c>
      <c r="Q850" s="756"/>
      <c r="Y850" s="501"/>
      <c r="BI850" s="106"/>
      <c r="BJ850" s="106"/>
      <c r="BK850" s="106"/>
      <c r="BL850" s="106"/>
      <c r="BM850" s="106"/>
      <c r="BN850" s="106"/>
      <c r="BO850" s="106"/>
    </row>
    <row r="851" spans="2:67" ht="47.25" customHeight="1" x14ac:dyDescent="0.25">
      <c r="B851" s="238" t="s">
        <v>288</v>
      </c>
      <c r="C851" s="239"/>
      <c r="D851" s="235"/>
      <c r="E851" s="239"/>
      <c r="F851" s="240"/>
      <c r="G851" s="238"/>
      <c r="H851" s="238"/>
      <c r="I851" s="238"/>
      <c r="J851" s="241" t="s">
        <v>289</v>
      </c>
      <c r="K851" s="241"/>
      <c r="L851" s="242" t="s">
        <v>290</v>
      </c>
      <c r="N851" s="242" t="s">
        <v>291</v>
      </c>
      <c r="P851" s="242"/>
      <c r="Q851" s="242"/>
      <c r="Y851" s="501"/>
      <c r="BI851" s="106"/>
      <c r="BJ851" s="106"/>
      <c r="BK851" s="106"/>
      <c r="BL851" s="106"/>
      <c r="BM851" s="106"/>
      <c r="BN851" s="106"/>
      <c r="BO851" s="106"/>
    </row>
    <row r="852" spans="2:67" ht="3" customHeight="1" x14ac:dyDescent="0.25">
      <c r="B852" s="215"/>
      <c r="C852" s="218"/>
      <c r="D852" s="215"/>
      <c r="E852" s="218"/>
      <c r="F852" s="244"/>
      <c r="G852" s="215"/>
      <c r="J852" s="245"/>
      <c r="K852" s="245"/>
      <c r="L852" s="215"/>
      <c r="M852" s="215"/>
      <c r="N852" s="246"/>
      <c r="O852" s="218"/>
      <c r="P852" s="246"/>
      <c r="Q852" s="246"/>
      <c r="Y852" s="501"/>
      <c r="BI852" s="106"/>
      <c r="BJ852" s="106"/>
      <c r="BK852" s="106"/>
      <c r="BL852" s="106"/>
      <c r="BM852" s="106"/>
      <c r="BN852" s="106"/>
      <c r="BO852" s="106"/>
    </row>
    <row r="853" spans="2:67" x14ac:dyDescent="0.25">
      <c r="B853" s="221"/>
      <c r="C853" s="221"/>
      <c r="D853" s="221"/>
      <c r="E853" s="221"/>
      <c r="F853" s="212"/>
      <c r="G853" s="221"/>
      <c r="H853" s="212" t="s">
        <v>527</v>
      </c>
      <c r="J853" s="223"/>
      <c r="K853" s="215"/>
      <c r="L853" s="224">
        <f>Wat02_credits</f>
        <v>1</v>
      </c>
      <c r="M853" s="215"/>
      <c r="N853" s="224">
        <f>IF(AND(ADBT0=ADBT8,ADBT_sub01=ADBT_sub28),IF(Wat02_02=AIS_Yes,Wat02_06,0),IF(ADPT=ADPT02,IF(AND(Wat02_02=AIS_Yes,Wat02_04=AIS_Yes,OR(Wat02_05=AIS_Yes,Wat02_05=AIS_NA)),Wat02_06,IF(AND(Wat02_02=AIS_Yes,Wat02_04=AIS_Yes,OR(Wat02_03=AIS_Yes,Wat02_03=AIS_NA),OR(Wat02_05=AIS_Yes,Wat02_05=AIS_NA)),Wat02_06,0)),IF(AND(Wat02_02=AIS_Yes,Wat02_04=AIS_Yes,OR(Wat02_03=AIS_Yes,Wat02_03=AIS_NA),OR(Wat02_05=AIS_Yes,Wat02_05=AIS_NA)),Wat02_06,0)))</f>
        <v>0</v>
      </c>
      <c r="O853" s="215"/>
      <c r="P853" s="400"/>
      <c r="Q853" s="400"/>
      <c r="Y853" s="501"/>
      <c r="BI853" s="106"/>
      <c r="BJ853" s="106"/>
      <c r="BK853" s="106"/>
      <c r="BL853" s="106"/>
      <c r="BM853" s="106"/>
      <c r="BN853" s="106"/>
      <c r="BO853" s="106"/>
    </row>
    <row r="854" spans="2:67" x14ac:dyDescent="0.25">
      <c r="B854" s="221"/>
      <c r="C854" s="221"/>
      <c r="D854" s="221"/>
      <c r="E854" s="221"/>
      <c r="F854" s="212"/>
      <c r="G854" s="221"/>
      <c r="H854" s="212" t="s">
        <v>528</v>
      </c>
      <c r="J854" s="223"/>
      <c r="K854" s="215"/>
      <c r="M854" s="215"/>
      <c r="O854" s="215"/>
      <c r="Y854" s="501"/>
      <c r="BI854" s="106"/>
      <c r="BJ854" s="106"/>
      <c r="BK854" s="106"/>
      <c r="BL854" s="106"/>
      <c r="BM854" s="106"/>
      <c r="BN854" s="106"/>
      <c r="BO854" s="106"/>
    </row>
    <row r="855" spans="2:67" x14ac:dyDescent="0.25">
      <c r="B855" s="221"/>
      <c r="C855" s="221"/>
      <c r="D855" s="221"/>
      <c r="E855" s="221"/>
      <c r="F855" s="212"/>
      <c r="G855" s="221"/>
      <c r="H855" s="212" t="s">
        <v>529</v>
      </c>
      <c r="J855" s="223"/>
      <c r="K855" s="215"/>
      <c r="M855" s="215"/>
      <c r="O855" s="215"/>
      <c r="Y855" s="501"/>
      <c r="BI855" s="106"/>
      <c r="BJ855" s="106"/>
      <c r="BK855" s="106"/>
      <c r="BL855" s="106"/>
      <c r="BM855" s="106"/>
      <c r="BN855" s="106"/>
      <c r="BO855" s="106"/>
    </row>
    <row r="856" spans="2:67" x14ac:dyDescent="0.25">
      <c r="B856" s="221"/>
      <c r="C856" s="221"/>
      <c r="D856" s="221"/>
      <c r="E856" s="221"/>
      <c r="F856" s="212"/>
      <c r="G856" s="221"/>
      <c r="H856" s="212" t="s">
        <v>530</v>
      </c>
      <c r="J856" s="223"/>
      <c r="K856" s="215"/>
      <c r="M856" s="215"/>
      <c r="O856" s="215"/>
      <c r="Y856" s="501"/>
      <c r="BI856" s="106"/>
      <c r="BJ856" s="106"/>
      <c r="BK856" s="106"/>
      <c r="BL856" s="106"/>
      <c r="BM856" s="106"/>
      <c r="BN856" s="106"/>
      <c r="BO856" s="106"/>
    </row>
    <row r="857" spans="2:67" x14ac:dyDescent="0.25">
      <c r="Y857" s="501"/>
      <c r="BI857" s="106"/>
      <c r="BJ857" s="106"/>
      <c r="BK857" s="106"/>
      <c r="BL857" s="106"/>
      <c r="BM857" s="106"/>
      <c r="BN857" s="106"/>
      <c r="BO857" s="106"/>
    </row>
    <row r="858" spans="2:67" x14ac:dyDescent="0.25">
      <c r="B858" s="221"/>
      <c r="C858" s="222"/>
      <c r="D858" s="222"/>
      <c r="E858" s="221"/>
      <c r="F858" s="212" t="s">
        <v>296</v>
      </c>
      <c r="G858" s="215"/>
      <c r="H858" s="216">
        <f>IF(ISERROR(Wat02_07),0,Wat02_07)</f>
        <v>0</v>
      </c>
      <c r="J858" s="203"/>
      <c r="K858" s="215"/>
      <c r="M858" s="215"/>
      <c r="N858" s="215"/>
      <c r="O858" s="215"/>
      <c r="P858" s="215"/>
      <c r="Q858" s="215"/>
      <c r="Y858" s="501"/>
      <c r="BI858" s="106"/>
      <c r="BJ858" s="106"/>
      <c r="BK858" s="106"/>
      <c r="BL858" s="106"/>
      <c r="BM858" s="106"/>
      <c r="BN858" s="106"/>
      <c r="BO858" s="106"/>
    </row>
    <row r="859" spans="2:67" ht="3" customHeight="1" x14ac:dyDescent="0.25">
      <c r="B859" s="215"/>
      <c r="E859" s="215"/>
      <c r="F859" s="225"/>
      <c r="G859" s="215"/>
      <c r="H859" s="252"/>
      <c r="J859" s="203"/>
      <c r="K859" s="215"/>
      <c r="M859" s="215"/>
      <c r="N859" s="215"/>
      <c r="O859" s="215"/>
      <c r="P859" s="215"/>
      <c r="Q859" s="215"/>
      <c r="Y859" s="501"/>
      <c r="BI859" s="106"/>
      <c r="BJ859" s="106"/>
      <c r="BK859" s="106"/>
      <c r="BL859" s="106"/>
      <c r="BM859" s="106"/>
      <c r="BN859" s="106"/>
      <c r="BO859" s="106"/>
    </row>
    <row r="860" spans="2:67" x14ac:dyDescent="0.25">
      <c r="B860" s="221"/>
      <c r="C860" s="222"/>
      <c r="D860" s="222"/>
      <c r="E860" s="221"/>
      <c r="F860" s="212" t="s">
        <v>297</v>
      </c>
      <c r="G860" s="215"/>
      <c r="H860" s="217">
        <f>(Wat02_12/Wat02_credits)*Wat02_tot</f>
        <v>0</v>
      </c>
      <c r="J860" s="203"/>
      <c r="K860" s="215"/>
      <c r="M860" s="215"/>
      <c r="N860" s="215"/>
      <c r="O860" s="215"/>
      <c r="P860" s="215"/>
      <c r="Q860" s="215"/>
      <c r="Y860" s="501"/>
      <c r="BI860" s="106"/>
      <c r="BJ860" s="106"/>
      <c r="BK860" s="106"/>
      <c r="BL860" s="106"/>
      <c r="BM860" s="106"/>
      <c r="BN860" s="106"/>
      <c r="BO860" s="106"/>
    </row>
    <row r="861" spans="2:67" ht="3" customHeight="1" x14ac:dyDescent="0.25">
      <c r="K861" s="215"/>
      <c r="M861" s="215"/>
      <c r="N861" s="215"/>
      <c r="O861" s="215"/>
      <c r="P861" s="215"/>
      <c r="Q861" s="215"/>
      <c r="Y861" s="501"/>
      <c r="BI861" s="106"/>
      <c r="BJ861" s="106"/>
      <c r="BK861" s="106"/>
      <c r="BL861" s="106"/>
      <c r="BM861" s="106"/>
      <c r="BN861" s="106"/>
      <c r="BO861" s="106"/>
    </row>
    <row r="862" spans="2:67" x14ac:dyDescent="0.25">
      <c r="B862" s="221"/>
      <c r="C862" s="222"/>
      <c r="D862" s="222"/>
      <c r="E862" s="221"/>
      <c r="F862" s="212" t="s">
        <v>298</v>
      </c>
      <c r="H862" s="216" t="s">
        <v>300</v>
      </c>
      <c r="K862" s="215"/>
      <c r="M862" s="215"/>
      <c r="N862" s="215"/>
      <c r="O862" s="215"/>
      <c r="P862" s="215"/>
      <c r="Q862" s="215"/>
      <c r="Y862" s="501"/>
      <c r="BI862" s="106"/>
      <c r="BJ862" s="106"/>
      <c r="BK862" s="106"/>
      <c r="BL862" s="106"/>
      <c r="BM862" s="106"/>
      <c r="BN862" s="106"/>
      <c r="BO862" s="106"/>
    </row>
    <row r="863" spans="2:67" ht="3" customHeight="1" x14ac:dyDescent="0.25">
      <c r="K863" s="215"/>
      <c r="M863" s="215"/>
      <c r="N863" s="215"/>
      <c r="O863" s="215"/>
      <c r="P863" s="215"/>
      <c r="Q863" s="215"/>
      <c r="Y863" s="501"/>
      <c r="BI863" s="106"/>
      <c r="BJ863" s="106"/>
      <c r="BK863" s="106"/>
      <c r="BL863" s="106"/>
      <c r="BM863" s="106"/>
      <c r="BN863" s="106"/>
      <c r="BO863" s="106"/>
    </row>
    <row r="864" spans="2:67" x14ac:dyDescent="0.25">
      <c r="B864" s="221"/>
      <c r="C864" s="222"/>
      <c r="D864" s="221"/>
      <c r="E864" s="221"/>
      <c r="F864" s="212" t="s">
        <v>299</v>
      </c>
      <c r="H864" s="226" t="str">
        <f>VLOOKUP(MinSt_10,AIS_MinSt_benchmarks,2,FALSE)</f>
        <v>Pass level</v>
      </c>
      <c r="I864" s="226"/>
      <c r="J864" s="226"/>
      <c r="K864" s="226"/>
      <c r="L864" s="226"/>
      <c r="M864" s="299"/>
      <c r="N864" s="299"/>
      <c r="O864" s="215"/>
      <c r="P864" s="215"/>
      <c r="Q864" s="215"/>
      <c r="Y864" s="501"/>
      <c r="BI864" s="106"/>
      <c r="BJ864" s="106"/>
      <c r="BK864" s="106"/>
      <c r="BL864" s="106"/>
      <c r="BM864" s="106"/>
      <c r="BN864" s="106"/>
      <c r="BO864" s="106"/>
    </row>
    <row r="865" spans="2:67" x14ac:dyDescent="0.25">
      <c r="M865" s="215"/>
      <c r="N865" s="215"/>
      <c r="O865" s="215"/>
      <c r="P865" s="215"/>
      <c r="Q865" s="215"/>
      <c r="Y865" s="501"/>
      <c r="BI865" s="106"/>
      <c r="BJ865" s="106"/>
      <c r="BK865" s="106"/>
      <c r="BL865" s="106"/>
      <c r="BM865" s="106"/>
      <c r="BN865" s="106"/>
      <c r="BO865" s="106"/>
    </row>
    <row r="866" spans="2:67" x14ac:dyDescent="0.25">
      <c r="B866" s="235" t="s">
        <v>301</v>
      </c>
      <c r="C866" s="215"/>
      <c r="D866" s="215"/>
      <c r="E866" s="215"/>
      <c r="F866" s="225"/>
      <c r="G866" s="215"/>
      <c r="H866" s="215"/>
      <c r="I866" s="215"/>
      <c r="J866" s="215"/>
      <c r="K866" s="215"/>
      <c r="L866" s="215"/>
      <c r="M866" s="215"/>
      <c r="N866" s="215"/>
      <c r="O866" s="215"/>
      <c r="P866" s="215"/>
      <c r="Q866" s="215"/>
      <c r="Y866" s="501"/>
      <c r="BI866" s="106"/>
      <c r="BJ866" s="106"/>
      <c r="BK866" s="106"/>
      <c r="BL866" s="106"/>
      <c r="BM866" s="106"/>
      <c r="BN866" s="106"/>
      <c r="BO866" s="106"/>
    </row>
    <row r="867" spans="2:67" ht="159.94999999999999" customHeight="1" x14ac:dyDescent="0.25">
      <c r="B867" s="736"/>
      <c r="C867" s="737"/>
      <c r="D867" s="737"/>
      <c r="E867" s="737"/>
      <c r="F867" s="737"/>
      <c r="G867" s="737"/>
      <c r="H867" s="737"/>
      <c r="I867" s="737"/>
      <c r="J867" s="737"/>
      <c r="K867" s="737"/>
      <c r="L867" s="737"/>
      <c r="M867" s="737"/>
      <c r="N867" s="737"/>
      <c r="O867" s="737"/>
      <c r="P867" s="738"/>
      <c r="Q867" s="416"/>
      <c r="Y867" s="501"/>
      <c r="BI867" s="106"/>
      <c r="BJ867" s="106"/>
      <c r="BK867" s="106"/>
      <c r="BL867" s="106"/>
      <c r="BM867" s="106"/>
      <c r="BN867" s="106"/>
      <c r="BO867" s="106"/>
    </row>
    <row r="868" spans="2:67" ht="36" customHeight="1" x14ac:dyDescent="0.25">
      <c r="B868" s="27" t="s">
        <v>531</v>
      </c>
      <c r="C868" s="13"/>
      <c r="D868" s="236"/>
      <c r="E868" s="237"/>
      <c r="F868" s="237"/>
      <c r="G868" s="237"/>
      <c r="H868" s="237"/>
      <c r="I868" s="237"/>
      <c r="J868" s="237"/>
      <c r="K868" s="237"/>
      <c r="L868" s="237"/>
      <c r="M868" s="237"/>
      <c r="N868" s="237"/>
      <c r="O868" s="237"/>
      <c r="P868" s="329"/>
      <c r="Q868" s="240"/>
      <c r="Y868" s="501"/>
      <c r="BI868" s="106"/>
      <c r="BJ868" s="106"/>
      <c r="BK868" s="106"/>
      <c r="BL868" s="106"/>
      <c r="BM868" s="106"/>
      <c r="BN868" s="106"/>
      <c r="BO868" s="106"/>
    </row>
    <row r="869" spans="2:67" x14ac:dyDescent="0.25">
      <c r="B869" s="215"/>
      <c r="C869" s="215"/>
      <c r="D869" s="215"/>
      <c r="E869" s="215"/>
      <c r="F869" s="215"/>
      <c r="G869" s="215"/>
      <c r="H869" s="215"/>
      <c r="I869" s="215"/>
      <c r="J869" s="215"/>
      <c r="K869" s="215"/>
      <c r="L869" s="215"/>
      <c r="M869" s="215"/>
      <c r="N869" s="215"/>
      <c r="O869" s="215"/>
      <c r="P869" s="215"/>
      <c r="Q869" s="215"/>
      <c r="Y869" s="501"/>
      <c r="BI869" s="106"/>
      <c r="BJ869" s="106"/>
      <c r="BK869" s="106"/>
      <c r="BL869" s="106"/>
      <c r="BM869" s="106"/>
      <c r="BN869" s="106"/>
      <c r="BO869" s="106"/>
    </row>
    <row r="870" spans="2:67" x14ac:dyDescent="0.25">
      <c r="B870" s="222"/>
      <c r="C870" s="222"/>
      <c r="D870" s="221"/>
      <c r="E870" s="221"/>
      <c r="F870" s="212" t="s">
        <v>284</v>
      </c>
      <c r="G870" s="215"/>
      <c r="H870" s="216">
        <f>SUM(L875:L877)</f>
        <v>2</v>
      </c>
      <c r="J870" s="222"/>
      <c r="K870" s="222"/>
      <c r="L870" s="222"/>
      <c r="M870" s="222"/>
      <c r="N870" s="212" t="s">
        <v>285</v>
      </c>
      <c r="P870" s="217">
        <f>(BP_36/BP_05)*Wat03_credits</f>
        <v>0</v>
      </c>
      <c r="Q870" s="217"/>
      <c r="Y870" s="501"/>
      <c r="BI870" s="106"/>
      <c r="BJ870" s="106"/>
      <c r="BK870" s="106"/>
      <c r="BL870" s="106"/>
      <c r="BM870" s="106"/>
      <c r="BN870" s="106"/>
      <c r="BO870" s="106"/>
    </row>
    <row r="871" spans="2:67" ht="3.75" customHeight="1" x14ac:dyDescent="0.25">
      <c r="Y871" s="501"/>
      <c r="BI871" s="106"/>
      <c r="BJ871" s="106"/>
      <c r="BK871" s="106"/>
      <c r="BL871" s="106"/>
      <c r="BM871" s="106"/>
      <c r="BN871" s="106"/>
      <c r="BO871" s="106"/>
    </row>
    <row r="872" spans="2:67" x14ac:dyDescent="0.25">
      <c r="B872" s="222"/>
      <c r="C872" s="222"/>
      <c r="D872" s="221"/>
      <c r="E872" s="221"/>
      <c r="F872" s="212" t="s">
        <v>286</v>
      </c>
      <c r="G872" s="215"/>
      <c r="H872" s="216">
        <v>0</v>
      </c>
      <c r="J872" s="221"/>
      <c r="K872" s="221"/>
      <c r="L872" s="221"/>
      <c r="M872" s="221"/>
      <c r="N872" s="212" t="s">
        <v>287</v>
      </c>
      <c r="O872" s="215"/>
      <c r="P872" s="216" t="s">
        <v>125</v>
      </c>
      <c r="Q872" s="216"/>
      <c r="Y872" s="501"/>
      <c r="BI872" s="106"/>
      <c r="BJ872" s="106"/>
      <c r="BK872" s="106"/>
      <c r="BL872" s="106"/>
      <c r="BM872" s="106"/>
      <c r="BN872" s="106"/>
      <c r="BO872" s="106"/>
    </row>
    <row r="873" spans="2:67" ht="47.25" customHeight="1" x14ac:dyDescent="0.25">
      <c r="B873" s="238" t="s">
        <v>288</v>
      </c>
      <c r="C873" s="239"/>
      <c r="D873" s="235"/>
      <c r="E873" s="239"/>
      <c r="F873" s="240"/>
      <c r="G873" s="238"/>
      <c r="H873" s="238"/>
      <c r="I873" s="238"/>
      <c r="J873" s="241" t="s">
        <v>289</v>
      </c>
      <c r="K873" s="241"/>
      <c r="L873" s="242" t="s">
        <v>290</v>
      </c>
      <c r="N873" s="242" t="s">
        <v>291</v>
      </c>
      <c r="P873" s="242"/>
      <c r="Q873" s="242"/>
      <c r="Y873" s="501"/>
      <c r="BI873" s="106"/>
      <c r="BJ873" s="106"/>
      <c r="BK873" s="106"/>
      <c r="BL873" s="106"/>
      <c r="BM873" s="106"/>
      <c r="BN873" s="106"/>
      <c r="BO873" s="106"/>
    </row>
    <row r="874" spans="2:67" ht="3" customHeight="1" x14ac:dyDescent="0.25">
      <c r="B874" s="215"/>
      <c r="C874" s="218"/>
      <c r="D874" s="215"/>
      <c r="E874" s="218"/>
      <c r="F874" s="244"/>
      <c r="G874" s="215"/>
      <c r="J874" s="245"/>
      <c r="K874" s="245"/>
      <c r="L874" s="215"/>
      <c r="M874" s="215"/>
      <c r="N874" s="246"/>
      <c r="O874" s="218"/>
      <c r="P874" s="246"/>
      <c r="Q874" s="246"/>
      <c r="Y874" s="501"/>
      <c r="BI874" s="106"/>
      <c r="BJ874" s="106"/>
      <c r="BK874" s="106"/>
      <c r="BL874" s="106"/>
      <c r="BM874" s="106"/>
      <c r="BN874" s="106"/>
      <c r="BO874" s="106"/>
    </row>
    <row r="875" spans="2:67" x14ac:dyDescent="0.25">
      <c r="B875" s="221"/>
      <c r="C875" s="221"/>
      <c r="D875" s="221"/>
      <c r="E875" s="221"/>
      <c r="F875" s="212"/>
      <c r="G875" s="221"/>
      <c r="H875" s="212" t="s">
        <v>532</v>
      </c>
      <c r="J875" s="223"/>
      <c r="K875" s="215"/>
      <c r="L875" s="224">
        <f>IF(OR(ADBT_sub01=ADBT_sub28,AND(ADPT=ADPT03,ADBT0=ADBT8)),0,1)</f>
        <v>1</v>
      </c>
      <c r="M875" s="215"/>
      <c r="N875" s="224">
        <f>IF(Wat03_01=AIS_Yes,Wat03_03,0)</f>
        <v>0</v>
      </c>
      <c r="O875" s="215"/>
      <c r="P875" s="252"/>
      <c r="Q875" s="252"/>
      <c r="Y875" s="501"/>
      <c r="BI875" s="106"/>
      <c r="BJ875" s="106"/>
      <c r="BK875" s="106"/>
      <c r="BL875" s="106"/>
      <c r="BM875" s="106"/>
      <c r="BN875" s="106"/>
      <c r="BO875" s="106"/>
    </row>
    <row r="876" spans="2:67" x14ac:dyDescent="0.25">
      <c r="B876" s="221"/>
      <c r="C876" s="221"/>
      <c r="D876" s="221"/>
      <c r="E876" s="221"/>
      <c r="F876" s="212"/>
      <c r="G876" s="221"/>
      <c r="H876" s="212" t="s">
        <v>533</v>
      </c>
      <c r="J876" s="223"/>
      <c r="K876" s="215"/>
      <c r="L876" s="224">
        <f>IF(OR(ADBT0=ADBT8,ADPT=ADPT02),0,1)</f>
        <v>1</v>
      </c>
      <c r="M876" s="215"/>
      <c r="N876" s="224">
        <f>IF(Wat03_11=AIS_Yes,Wat03_12,0)</f>
        <v>0</v>
      </c>
      <c r="O876" s="215"/>
      <c r="P876" s="653" t="str">
        <f>IF(ADBT0=ADBT8,"Note: this credit applies to Non-residential buildings only","")</f>
        <v/>
      </c>
      <c r="Q876" s="400"/>
      <c r="Y876" s="501"/>
      <c r="BI876" s="106"/>
      <c r="BJ876" s="106"/>
      <c r="BK876" s="106"/>
      <c r="BL876" s="106"/>
      <c r="BM876" s="106"/>
      <c r="BN876" s="106"/>
      <c r="BO876" s="106"/>
    </row>
    <row r="877" spans="2:67" x14ac:dyDescent="0.25">
      <c r="B877" s="221"/>
      <c r="C877" s="221"/>
      <c r="D877" s="221"/>
      <c r="E877" s="221"/>
      <c r="F877" s="212"/>
      <c r="G877" s="221"/>
      <c r="H877" s="212" t="s">
        <v>534</v>
      </c>
      <c r="J877" s="223"/>
      <c r="K877" s="215"/>
      <c r="L877" s="224" t="str">
        <f>IF(ADBT0&lt;&gt;ADBT8,AIS_NA,1)</f>
        <v>N/A</v>
      </c>
      <c r="M877" s="215"/>
      <c r="N877" s="224" t="str">
        <f>IF(ADBT0&lt;&gt;ADBT8,AIS_NA,IF(Wat03_02=AIS_Yes,Wat03_04,0))</f>
        <v>N/A</v>
      </c>
      <c r="O877" s="215"/>
      <c r="P877" s="653" t="str">
        <f>IF(ADBT0&lt;&gt;ADBT8,"Note: this credit applies to Residential buildings only","")</f>
        <v>Note: this credit applies to Residential buildings only</v>
      </c>
      <c r="Q877" s="400"/>
      <c r="Y877" s="501"/>
      <c r="BI877" s="106"/>
      <c r="BJ877" s="106"/>
      <c r="BK877" s="106"/>
      <c r="BL877" s="106"/>
      <c r="BM877" s="106"/>
      <c r="BN877" s="106"/>
      <c r="BO877" s="106"/>
    </row>
    <row r="878" spans="2:67" x14ac:dyDescent="0.25">
      <c r="Y878" s="501"/>
      <c r="BI878" s="106"/>
      <c r="BJ878" s="106"/>
      <c r="BK878" s="106"/>
      <c r="BL878" s="106"/>
      <c r="BM878" s="106"/>
      <c r="BN878" s="106"/>
      <c r="BO878" s="106"/>
    </row>
    <row r="879" spans="2:67" x14ac:dyDescent="0.25">
      <c r="B879" s="221"/>
      <c r="C879" s="222"/>
      <c r="D879" s="222"/>
      <c r="E879" s="221"/>
      <c r="F879" s="212" t="s">
        <v>296</v>
      </c>
      <c r="G879" s="215"/>
      <c r="H879" s="216">
        <f>IF(ISERROR(SUM(N875:N877)),0,SUM(N875:N877))</f>
        <v>0</v>
      </c>
      <c r="J879" s="203"/>
      <c r="K879" s="215"/>
      <c r="M879" s="215"/>
      <c r="N879" s="215"/>
      <c r="O879" s="215"/>
      <c r="P879" s="215"/>
      <c r="Q879" s="215"/>
      <c r="Y879" s="501"/>
      <c r="BI879" s="106"/>
      <c r="BJ879" s="106"/>
      <c r="BK879" s="106"/>
      <c r="BL879" s="106"/>
      <c r="BM879" s="106"/>
      <c r="BN879" s="106"/>
      <c r="BO879" s="106"/>
    </row>
    <row r="880" spans="2:67" ht="3" customHeight="1" x14ac:dyDescent="0.25">
      <c r="B880" s="215"/>
      <c r="E880" s="215"/>
      <c r="F880" s="225"/>
      <c r="G880" s="215"/>
      <c r="H880" s="252"/>
      <c r="J880" s="203"/>
      <c r="K880" s="215"/>
      <c r="M880" s="215"/>
      <c r="N880" s="215"/>
      <c r="O880" s="215"/>
      <c r="P880" s="215"/>
      <c r="Q880" s="215"/>
      <c r="Y880" s="501"/>
      <c r="BI880" s="106"/>
      <c r="BJ880" s="106"/>
      <c r="BK880" s="106"/>
      <c r="BL880" s="106"/>
      <c r="BM880" s="106"/>
      <c r="BN880" s="106"/>
      <c r="BO880" s="106"/>
    </row>
    <row r="881" spans="2:67" x14ac:dyDescent="0.25">
      <c r="B881" s="221"/>
      <c r="C881" s="222"/>
      <c r="D881" s="222"/>
      <c r="E881" s="221"/>
      <c r="F881" s="212" t="s">
        <v>297</v>
      </c>
      <c r="G881" s="215"/>
      <c r="H881" s="217">
        <f>(Wat03_09/Wat03_credits)*Wat03_tot</f>
        <v>0</v>
      </c>
      <c r="J881" s="203"/>
      <c r="K881" s="215"/>
      <c r="M881" s="215"/>
      <c r="N881" s="215"/>
      <c r="O881" s="215"/>
      <c r="P881" s="215"/>
      <c r="Q881" s="215"/>
      <c r="Y881" s="501"/>
      <c r="BI881" s="106"/>
      <c r="BJ881" s="106"/>
      <c r="BK881" s="106"/>
      <c r="BL881" s="106"/>
      <c r="BM881" s="106"/>
      <c r="BN881" s="106"/>
      <c r="BO881" s="106"/>
    </row>
    <row r="882" spans="2:67" ht="3" customHeight="1" x14ac:dyDescent="0.25">
      <c r="K882" s="215"/>
      <c r="M882" s="215"/>
      <c r="N882" s="215"/>
      <c r="O882" s="215"/>
      <c r="P882" s="215"/>
      <c r="Q882" s="215"/>
      <c r="Y882" s="501"/>
      <c r="BI882" s="106"/>
      <c r="BJ882" s="106"/>
      <c r="BK882" s="106"/>
      <c r="BL882" s="106"/>
      <c r="BM882" s="106"/>
      <c r="BN882" s="106"/>
      <c r="BO882" s="106"/>
    </row>
    <row r="883" spans="2:67" x14ac:dyDescent="0.25">
      <c r="B883" s="221"/>
      <c r="C883" s="222"/>
      <c r="D883" s="222"/>
      <c r="E883" s="221"/>
      <c r="F883" s="212" t="s">
        <v>298</v>
      </c>
      <c r="H883" s="216" t="s">
        <v>300</v>
      </c>
      <c r="K883" s="215"/>
      <c r="M883" s="215"/>
      <c r="N883" s="215"/>
      <c r="O883" s="215"/>
      <c r="P883" s="215"/>
      <c r="Q883" s="215"/>
      <c r="Y883" s="501"/>
      <c r="BI883" s="106"/>
      <c r="BJ883" s="106"/>
      <c r="BK883" s="106"/>
      <c r="BL883" s="106"/>
      <c r="BM883" s="106"/>
      <c r="BN883" s="106"/>
      <c r="BO883" s="106"/>
    </row>
    <row r="884" spans="2:67" ht="3" customHeight="1" x14ac:dyDescent="0.25">
      <c r="K884" s="215"/>
      <c r="M884" s="215"/>
      <c r="N884" s="215"/>
      <c r="O884" s="215"/>
      <c r="P884" s="215"/>
      <c r="Q884" s="215"/>
      <c r="Y884" s="501"/>
      <c r="BI884" s="106"/>
      <c r="BJ884" s="106"/>
      <c r="BK884" s="106"/>
      <c r="BL884" s="106"/>
      <c r="BM884" s="106"/>
      <c r="BN884" s="106"/>
      <c r="BO884" s="106"/>
    </row>
    <row r="885" spans="2:67" x14ac:dyDescent="0.25">
      <c r="B885" s="221"/>
      <c r="C885" s="222"/>
      <c r="D885" s="221"/>
      <c r="E885" s="221"/>
      <c r="F885" s="212" t="s">
        <v>299</v>
      </c>
      <c r="H885" s="216" t="s">
        <v>300</v>
      </c>
      <c r="K885" s="215"/>
      <c r="M885" s="215"/>
      <c r="N885" s="215"/>
      <c r="O885" s="215"/>
      <c r="P885" s="215"/>
      <c r="Q885" s="215"/>
      <c r="Y885" s="501"/>
      <c r="BI885" s="106"/>
      <c r="BJ885" s="106"/>
      <c r="BK885" s="106"/>
      <c r="BL885" s="106"/>
      <c r="BM885" s="106"/>
      <c r="BN885" s="106"/>
      <c r="BO885" s="106"/>
    </row>
    <row r="886" spans="2:67" x14ac:dyDescent="0.25">
      <c r="M886" s="215"/>
      <c r="N886" s="215"/>
      <c r="O886" s="215"/>
      <c r="P886" s="215"/>
      <c r="Q886" s="215"/>
      <c r="Y886" s="501"/>
      <c r="BI886" s="106"/>
      <c r="BJ886" s="106"/>
      <c r="BK886" s="106"/>
      <c r="BL886" s="106"/>
      <c r="BM886" s="106"/>
      <c r="BN886" s="106"/>
      <c r="BO886" s="106"/>
    </row>
    <row r="887" spans="2:67" x14ac:dyDescent="0.25">
      <c r="B887" s="235" t="s">
        <v>301</v>
      </c>
      <c r="C887" s="215"/>
      <c r="D887" s="215"/>
      <c r="E887" s="215"/>
      <c r="F887" s="225"/>
      <c r="G887" s="215"/>
      <c r="H887" s="215"/>
      <c r="I887" s="215"/>
      <c r="J887" s="215"/>
      <c r="K887" s="215"/>
      <c r="L887" s="215"/>
      <c r="M887" s="215"/>
      <c r="N887" s="215"/>
      <c r="O887" s="215"/>
      <c r="P887" s="215"/>
      <c r="Q887" s="215"/>
      <c r="Y887" s="501"/>
      <c r="BI887" s="106"/>
      <c r="BJ887" s="106"/>
      <c r="BK887" s="106"/>
      <c r="BL887" s="106"/>
      <c r="BM887" s="106"/>
      <c r="BN887" s="106"/>
      <c r="BO887" s="106"/>
    </row>
    <row r="888" spans="2:67" ht="159.94999999999999" customHeight="1" x14ac:dyDescent="0.25">
      <c r="B888" s="736"/>
      <c r="C888" s="737"/>
      <c r="D888" s="737"/>
      <c r="E888" s="737"/>
      <c r="F888" s="737"/>
      <c r="G888" s="737"/>
      <c r="H888" s="737"/>
      <c r="I888" s="737"/>
      <c r="J888" s="737"/>
      <c r="K888" s="737"/>
      <c r="L888" s="737"/>
      <c r="M888" s="737"/>
      <c r="N888" s="737"/>
      <c r="O888" s="737"/>
      <c r="P888" s="738"/>
      <c r="Q888" s="416"/>
      <c r="Y888" s="501"/>
      <c r="BI888" s="106"/>
      <c r="BJ888" s="106"/>
      <c r="BK888" s="106"/>
      <c r="BL888" s="106"/>
      <c r="BM888" s="106"/>
      <c r="BN888" s="106"/>
      <c r="BO888" s="106"/>
    </row>
    <row r="889" spans="2:67" ht="8.25" customHeight="1" x14ac:dyDescent="0.25">
      <c r="B889" s="3"/>
      <c r="C889" s="3"/>
      <c r="D889" s="3"/>
      <c r="E889" s="3"/>
      <c r="F889" s="3"/>
      <c r="G889" s="3"/>
      <c r="H889" s="3"/>
      <c r="I889" s="3"/>
      <c r="J889" s="3"/>
      <c r="K889" s="3"/>
      <c r="L889" s="3"/>
      <c r="M889" s="3"/>
      <c r="N889" s="3"/>
      <c r="O889" s="3"/>
      <c r="P889" s="3"/>
      <c r="Q889" s="3"/>
      <c r="Y889" s="501"/>
      <c r="AW889" s="501"/>
      <c r="BI889" s="106"/>
      <c r="BJ889" s="106"/>
      <c r="BK889" s="106"/>
      <c r="BL889" s="106"/>
      <c r="BM889" s="106"/>
      <c r="BN889" s="106"/>
      <c r="BO889" s="106"/>
    </row>
    <row r="890" spans="2:67" ht="36" customHeight="1" x14ac:dyDescent="0.25">
      <c r="B890" s="27" t="s">
        <v>535</v>
      </c>
      <c r="C890" s="13"/>
      <c r="D890" s="236"/>
      <c r="E890" s="237"/>
      <c r="F890" s="237"/>
      <c r="G890" s="237"/>
      <c r="H890" s="237"/>
      <c r="I890" s="237"/>
      <c r="J890" s="237"/>
      <c r="K890" s="237"/>
      <c r="L890" s="237"/>
      <c r="M890" s="237"/>
      <c r="N890" s="237"/>
      <c r="O890" s="237"/>
      <c r="P890" s="329" t="str">
        <f>IF(AD_Vehiclewash=AD_no,AIS_statement32,"")</f>
        <v/>
      </c>
      <c r="Q890" s="240"/>
      <c r="T890" s="616" t="str">
        <f>IF(AND(AD_Vehiclewash=AIS_No,ADPT&lt;&gt;ADPT01),AIS_Yes,AIS_No)</f>
        <v>No</v>
      </c>
      <c r="Y890" s="501"/>
      <c r="AW890" s="501"/>
      <c r="BI890" s="106"/>
      <c r="BJ890" s="106"/>
      <c r="BK890" s="106"/>
      <c r="BL890" s="106"/>
      <c r="BM890" s="106"/>
      <c r="BN890" s="106"/>
      <c r="BO890" s="106"/>
    </row>
    <row r="891" spans="2:67" ht="7.5" customHeight="1" x14ac:dyDescent="0.25">
      <c r="B891" s="3"/>
      <c r="C891" s="3"/>
      <c r="D891" s="3"/>
      <c r="E891" s="3"/>
      <c r="F891" s="3"/>
      <c r="G891" s="3"/>
      <c r="H891" s="3"/>
      <c r="I891" s="3"/>
      <c r="J891" s="3"/>
      <c r="K891" s="3"/>
      <c r="L891" s="3"/>
      <c r="M891" s="3"/>
      <c r="N891" s="3"/>
      <c r="O891" s="3"/>
      <c r="P891" s="3"/>
      <c r="Q891" s="3"/>
      <c r="Y891" s="501"/>
      <c r="AW891" s="501"/>
      <c r="BI891" s="106"/>
      <c r="BJ891" s="106"/>
      <c r="BK891" s="106"/>
      <c r="BL891" s="106"/>
      <c r="BM891" s="106"/>
      <c r="BN891" s="106"/>
      <c r="BO891" s="106"/>
    </row>
    <row r="892" spans="2:67" x14ac:dyDescent="0.25">
      <c r="B892" s="222"/>
      <c r="C892" s="222"/>
      <c r="D892" s="221"/>
      <c r="E892" s="221"/>
      <c r="F892" s="212" t="s">
        <v>284</v>
      </c>
      <c r="G892" s="215"/>
      <c r="H892" s="216">
        <f>IF(Wat04_01=AIS_statement32,AIS_NA,1)</f>
        <v>1</v>
      </c>
      <c r="J892" s="222"/>
      <c r="K892" s="222"/>
      <c r="L892" s="222"/>
      <c r="M892" s="222"/>
      <c r="N892" s="212" t="s">
        <v>285</v>
      </c>
      <c r="P892" s="217">
        <f>IF(Wat04_01=AIS_statement32,AIS_NA,(BP_36/BP_05)*Wat04_credits)</f>
        <v>0</v>
      </c>
      <c r="Q892" s="217"/>
      <c r="R892" s="709" t="str">
        <f>IF(Wat04_01=AIS_statement32,AIS_statement45,"")</f>
        <v/>
      </c>
      <c r="S892" s="709"/>
      <c r="T892" s="709"/>
      <c r="U892" s="709"/>
      <c r="V892" s="709"/>
      <c r="W892" s="709"/>
      <c r="X892" s="34"/>
      <c r="Y892" s="501"/>
      <c r="AW892" s="501"/>
      <c r="BI892" s="106"/>
      <c r="BJ892" s="106"/>
      <c r="BK892" s="106"/>
      <c r="BL892" s="106"/>
      <c r="BM892" s="106"/>
      <c r="BN892" s="106"/>
      <c r="BO892" s="106"/>
    </row>
    <row r="893" spans="2:67" ht="3.75" customHeight="1" x14ac:dyDescent="0.25">
      <c r="R893" s="709"/>
      <c r="S893" s="709"/>
      <c r="T893" s="709"/>
      <c r="U893" s="709"/>
      <c r="V893" s="709"/>
      <c r="W893" s="709"/>
      <c r="X893" s="34"/>
      <c r="Y893" s="501"/>
      <c r="AW893" s="501"/>
      <c r="BI893" s="106"/>
      <c r="BJ893" s="106"/>
      <c r="BK893" s="106"/>
      <c r="BL893" s="106"/>
      <c r="BM893" s="106"/>
      <c r="BN893" s="106"/>
      <c r="BO893" s="106"/>
    </row>
    <row r="894" spans="2:67" x14ac:dyDescent="0.25">
      <c r="B894" s="222"/>
      <c r="C894" s="222"/>
      <c r="D894" s="221"/>
      <c r="E894" s="221"/>
      <c r="F894" s="212" t="s">
        <v>286</v>
      </c>
      <c r="G894" s="215"/>
      <c r="H894" s="216" t="str">
        <f>IF(Wat04_01=AIS_statement32,AIS_NA,AIS_No)</f>
        <v>No</v>
      </c>
      <c r="J894" s="221"/>
      <c r="K894" s="221"/>
      <c r="L894" s="221"/>
      <c r="M894" s="221"/>
      <c r="N894" s="212" t="s">
        <v>287</v>
      </c>
      <c r="O894" s="215"/>
      <c r="P894" s="216" t="str">
        <f>IF(Wat04_01=AIS_statement32,AIS_NA,AIS_No)</f>
        <v>No</v>
      </c>
      <c r="Q894" s="216"/>
      <c r="R894" s="709"/>
      <c r="S894" s="709"/>
      <c r="T894" s="709"/>
      <c r="U894" s="709"/>
      <c r="V894" s="709"/>
      <c r="W894" s="709"/>
      <c r="X894" s="34"/>
      <c r="Y894" s="501"/>
      <c r="AW894" s="501"/>
      <c r="BI894" s="106"/>
      <c r="BJ894" s="106"/>
      <c r="BK894" s="106"/>
      <c r="BL894" s="106"/>
      <c r="BM894" s="106"/>
      <c r="BN894" s="106"/>
      <c r="BO894" s="106"/>
    </row>
    <row r="895" spans="2:67" ht="47.25" customHeight="1" x14ac:dyDescent="0.25">
      <c r="B895" s="238" t="s">
        <v>288</v>
      </c>
      <c r="C895" s="239"/>
      <c r="D895" s="235"/>
      <c r="E895" s="239"/>
      <c r="F895" s="240"/>
      <c r="G895" s="238"/>
      <c r="H895" s="238"/>
      <c r="I895" s="238"/>
      <c r="J895" s="241" t="s">
        <v>289</v>
      </c>
      <c r="K895" s="241"/>
      <c r="L895" s="242" t="s">
        <v>290</v>
      </c>
      <c r="N895" s="242" t="s">
        <v>291</v>
      </c>
      <c r="P895" s="242"/>
      <c r="Q895" s="242"/>
      <c r="R895" s="837"/>
      <c r="S895" s="837"/>
      <c r="T895" s="837"/>
      <c r="U895" s="837"/>
      <c r="V895" s="837"/>
      <c r="W895" s="837"/>
      <c r="X895" s="34"/>
      <c r="Y895" s="501"/>
      <c r="BI895" s="106"/>
      <c r="BJ895" s="106"/>
      <c r="BK895" s="106"/>
      <c r="BL895" s="106"/>
      <c r="BM895" s="106"/>
      <c r="BN895" s="106"/>
      <c r="BO895" s="106"/>
    </row>
    <row r="896" spans="2:67" ht="3" customHeight="1" x14ac:dyDescent="0.25">
      <c r="B896" s="215"/>
      <c r="C896" s="218"/>
      <c r="D896" s="215"/>
      <c r="E896" s="218"/>
      <c r="F896" s="244"/>
      <c r="G896" s="215"/>
      <c r="J896" s="245"/>
      <c r="K896" s="245"/>
      <c r="L896" s="215"/>
      <c r="M896" s="215"/>
      <c r="N896" s="246"/>
      <c r="O896" s="218"/>
      <c r="P896" s="246"/>
      <c r="Q896" s="246"/>
      <c r="Y896" s="501"/>
      <c r="BI896" s="106"/>
      <c r="BJ896" s="106"/>
      <c r="BK896" s="106"/>
      <c r="BL896" s="106"/>
      <c r="BM896" s="106"/>
      <c r="BN896" s="106"/>
      <c r="BO896" s="106"/>
    </row>
    <row r="897" spans="2:67" ht="3" customHeight="1" x14ac:dyDescent="0.25">
      <c r="B897" s="215"/>
      <c r="E897" s="215"/>
      <c r="F897" s="225"/>
      <c r="G897" s="215"/>
      <c r="H897" s="252"/>
      <c r="J897" s="203"/>
      <c r="K897" s="215"/>
      <c r="M897" s="215"/>
      <c r="N897" s="215"/>
      <c r="O897" s="215"/>
      <c r="P897" s="215"/>
      <c r="Q897" s="215"/>
      <c r="R897" s="317"/>
      <c r="S897" s="56"/>
      <c r="T897" s="56"/>
      <c r="U897" s="56"/>
      <c r="V897" s="56"/>
      <c r="W897" s="56"/>
      <c r="Y897" s="501"/>
      <c r="BI897" s="106"/>
      <c r="BJ897" s="106"/>
      <c r="BK897" s="106"/>
      <c r="BL897" s="106"/>
      <c r="BM897" s="106"/>
      <c r="BN897" s="106"/>
      <c r="BO897" s="106"/>
    </row>
    <row r="898" spans="2:67" ht="15.6" customHeight="1" x14ac:dyDescent="0.25">
      <c r="B898" s="221"/>
      <c r="C898" s="221"/>
      <c r="D898" s="221"/>
      <c r="E898" s="221"/>
      <c r="F898" s="212"/>
      <c r="G898" s="221"/>
      <c r="H898" s="212" t="s">
        <v>536</v>
      </c>
      <c r="J898" s="223"/>
      <c r="K898" s="412"/>
      <c r="L898" s="262">
        <v>1</v>
      </c>
      <c r="M898" s="215"/>
      <c r="N898" s="262">
        <f>IF(AND(AD_Vehiclewash=AIS_No,ADPT&lt;&gt;ADPT01),1,IF(Wat04_01=AIS_statement32,AIS_NA,IF(OR(Wat04_02=AIS_Yes,Wat04_02=AIS_NA),Wat04_03,0)))</f>
        <v>0</v>
      </c>
      <c r="O898" s="215"/>
      <c r="P898" s="252"/>
      <c r="Q898" s="252"/>
      <c r="R898" s="709" t="str">
        <f>IF(Wat04_01=AIS_statement32,"",AIS_statement46)</f>
        <v>Note: Where a vehicle wash system is specified/installed, compliance with the 'minimising risk of contamination' criteria in assessment issue Hea 04 is required in order to award the available credit for compliant water efficient equipment.</v>
      </c>
      <c r="S898" s="709"/>
      <c r="T898" s="709"/>
      <c r="U898" s="709"/>
      <c r="V898" s="709"/>
      <c r="W898" s="709"/>
      <c r="X898" s="709"/>
      <c r="Y898" s="501"/>
      <c r="BI898" s="106"/>
      <c r="BJ898" s="106"/>
      <c r="BK898" s="106"/>
      <c r="BL898" s="106"/>
      <c r="BM898" s="106"/>
      <c r="BN898" s="106"/>
      <c r="BO898" s="106"/>
    </row>
    <row r="899" spans="2:67" x14ac:dyDescent="0.25">
      <c r="R899" s="709"/>
      <c r="S899" s="709"/>
      <c r="T899" s="709"/>
      <c r="U899" s="709"/>
      <c r="V899" s="709"/>
      <c r="W899" s="709"/>
      <c r="X899" s="709"/>
      <c r="Y899" s="501"/>
      <c r="BI899" s="106"/>
      <c r="BJ899" s="106"/>
      <c r="BK899" s="106"/>
      <c r="BL899" s="106"/>
      <c r="BM899" s="106"/>
      <c r="BN899" s="106"/>
      <c r="BO899" s="106"/>
    </row>
    <row r="900" spans="2:67" x14ac:dyDescent="0.25">
      <c r="B900" s="221"/>
      <c r="C900" s="222"/>
      <c r="D900" s="222"/>
      <c r="E900" s="221"/>
      <c r="F900" s="212" t="s">
        <v>296</v>
      </c>
      <c r="G900" s="215"/>
      <c r="H900" s="216">
        <f>IF(ISERROR(Wat04_Tot_Err),0,Wat04_Tot_Err)</f>
        <v>0</v>
      </c>
      <c r="J900" s="203"/>
      <c r="K900" s="215"/>
      <c r="M900" s="215"/>
      <c r="N900" s="215"/>
      <c r="O900" s="215"/>
      <c r="P900" s="215"/>
      <c r="Q900" s="215"/>
      <c r="R900" s="709"/>
      <c r="S900" s="709"/>
      <c r="T900" s="709"/>
      <c r="U900" s="709"/>
      <c r="V900" s="709"/>
      <c r="W900" s="709"/>
      <c r="X900" s="709"/>
      <c r="Y900" s="501"/>
      <c r="BI900" s="106"/>
      <c r="BJ900" s="106"/>
      <c r="BK900" s="106"/>
      <c r="BL900" s="106"/>
      <c r="BM900" s="106"/>
      <c r="BN900" s="106"/>
      <c r="BO900" s="106"/>
    </row>
    <row r="901" spans="2:67" ht="3" customHeight="1" x14ac:dyDescent="0.25">
      <c r="B901" s="215"/>
      <c r="E901" s="215"/>
      <c r="F901" s="225"/>
      <c r="G901" s="215"/>
      <c r="H901" s="252"/>
      <c r="J901" s="203"/>
      <c r="K901" s="215"/>
      <c r="M901" s="215"/>
      <c r="N901" s="215"/>
      <c r="O901" s="215"/>
      <c r="P901" s="215"/>
      <c r="Q901" s="215"/>
      <c r="R901" s="317"/>
      <c r="S901" s="56"/>
      <c r="T901" s="56"/>
      <c r="U901" s="56"/>
      <c r="V901" s="56"/>
      <c r="W901" s="56"/>
      <c r="Y901" s="501"/>
      <c r="BI901" s="106"/>
      <c r="BJ901" s="106"/>
      <c r="BK901" s="106"/>
      <c r="BL901" s="106"/>
      <c r="BM901" s="106"/>
      <c r="BN901" s="106"/>
      <c r="BO901" s="106"/>
    </row>
    <row r="902" spans="2:67" x14ac:dyDescent="0.25">
      <c r="B902" s="221"/>
      <c r="C902" s="222"/>
      <c r="D902" s="222"/>
      <c r="E902" s="221"/>
      <c r="F902" s="212" t="s">
        <v>297</v>
      </c>
      <c r="G902" s="215"/>
      <c r="H902" s="217">
        <f>IF(Wat04_01=AIS_statement32,AIS_NA,(Wat04_05/Wat04_credits)*Wat04_tot)</f>
        <v>0</v>
      </c>
      <c r="J902" s="203"/>
      <c r="K902" s="215"/>
      <c r="M902" s="215"/>
      <c r="N902" s="215"/>
      <c r="O902" s="215"/>
      <c r="P902" s="215"/>
      <c r="Q902" s="215"/>
      <c r="R902" s="317"/>
      <c r="S902" s="56"/>
      <c r="T902" s="56"/>
      <c r="U902" s="56"/>
      <c r="V902" s="56"/>
      <c r="W902" s="56"/>
      <c r="Y902" s="501"/>
      <c r="BI902" s="106"/>
      <c r="BJ902" s="106"/>
      <c r="BK902" s="106"/>
      <c r="BL902" s="106"/>
      <c r="BM902" s="106"/>
      <c r="BN902" s="106"/>
      <c r="BO902" s="106"/>
    </row>
    <row r="903" spans="2:67" ht="3" customHeight="1" x14ac:dyDescent="0.25">
      <c r="K903" s="215"/>
      <c r="M903" s="215"/>
      <c r="N903" s="215"/>
      <c r="O903" s="215"/>
      <c r="P903" s="215"/>
      <c r="Q903" s="215"/>
      <c r="Y903" s="501"/>
      <c r="BI903" s="106"/>
      <c r="BJ903" s="106"/>
      <c r="BK903" s="106"/>
      <c r="BL903" s="106"/>
      <c r="BM903" s="106"/>
      <c r="BN903" s="106"/>
      <c r="BO903" s="106"/>
    </row>
    <row r="904" spans="2:67" x14ac:dyDescent="0.25">
      <c r="B904" s="221"/>
      <c r="C904" s="222"/>
      <c r="D904" s="222"/>
      <c r="E904" s="221"/>
      <c r="F904" s="212" t="s">
        <v>298</v>
      </c>
      <c r="H904" s="216" t="s">
        <v>300</v>
      </c>
      <c r="K904" s="215"/>
      <c r="M904" s="215"/>
      <c r="N904" s="215"/>
      <c r="O904" s="215"/>
      <c r="P904" s="215"/>
      <c r="Q904" s="215"/>
      <c r="Y904" s="501"/>
      <c r="BI904" s="106"/>
      <c r="BJ904" s="106"/>
      <c r="BK904" s="106"/>
      <c r="BL904" s="106"/>
      <c r="BM904" s="106"/>
      <c r="BN904" s="106"/>
      <c r="BO904" s="106"/>
    </row>
    <row r="905" spans="2:67" ht="3" customHeight="1" x14ac:dyDescent="0.25">
      <c r="K905" s="215"/>
      <c r="M905" s="215"/>
      <c r="N905" s="215"/>
      <c r="O905" s="215"/>
      <c r="P905" s="215"/>
      <c r="Q905" s="215"/>
      <c r="Y905" s="501"/>
      <c r="BI905" s="106"/>
      <c r="BJ905" s="106"/>
      <c r="BK905" s="106"/>
      <c r="BL905" s="106"/>
      <c r="BM905" s="106"/>
      <c r="BN905" s="106"/>
      <c r="BO905" s="106"/>
    </row>
    <row r="906" spans="2:67" x14ac:dyDescent="0.25">
      <c r="B906" s="221"/>
      <c r="C906" s="222"/>
      <c r="D906" s="221"/>
      <c r="E906" s="221"/>
      <c r="F906" s="212" t="s">
        <v>299</v>
      </c>
      <c r="H906" s="216" t="s">
        <v>300</v>
      </c>
      <c r="K906" s="215"/>
      <c r="M906" s="215"/>
      <c r="N906" s="215"/>
      <c r="O906" s="215"/>
      <c r="P906" s="215"/>
      <c r="Q906" s="215"/>
      <c r="Y906" s="501"/>
      <c r="BI906" s="106"/>
      <c r="BJ906" s="106"/>
      <c r="BK906" s="106"/>
      <c r="BL906" s="106"/>
      <c r="BM906" s="106"/>
      <c r="BN906" s="106"/>
      <c r="BO906" s="106"/>
    </row>
    <row r="907" spans="2:67" x14ac:dyDescent="0.25">
      <c r="M907" s="215"/>
      <c r="N907" s="215"/>
      <c r="O907" s="215"/>
      <c r="P907" s="215"/>
      <c r="Q907" s="215"/>
      <c r="Y907" s="501"/>
      <c r="BI907" s="106"/>
      <c r="BJ907" s="106"/>
      <c r="BK907" s="106"/>
      <c r="BL907" s="106"/>
      <c r="BM907" s="106"/>
      <c r="BN907" s="106"/>
      <c r="BO907" s="106"/>
    </row>
    <row r="908" spans="2:67" x14ac:dyDescent="0.25">
      <c r="B908" s="235" t="s">
        <v>301</v>
      </c>
      <c r="C908" s="215"/>
      <c r="D908" s="215"/>
      <c r="E908" s="215"/>
      <c r="F908" s="225"/>
      <c r="G908" s="215"/>
      <c r="H908" s="215"/>
      <c r="I908" s="215"/>
      <c r="J908" s="215"/>
      <c r="K908" s="215"/>
      <c r="L908" s="215"/>
      <c r="M908" s="215"/>
      <c r="N908" s="215"/>
      <c r="O908" s="215"/>
      <c r="P908" s="215"/>
      <c r="Q908" s="215"/>
      <c r="Y908" s="501"/>
      <c r="BI908" s="106"/>
      <c r="BJ908" s="106"/>
      <c r="BK908" s="106"/>
      <c r="BL908" s="106"/>
      <c r="BM908" s="106"/>
      <c r="BN908" s="106"/>
      <c r="BO908" s="106"/>
    </row>
    <row r="909" spans="2:67" ht="159.94999999999999" customHeight="1" x14ac:dyDescent="0.25">
      <c r="B909" s="736"/>
      <c r="C909" s="737"/>
      <c r="D909" s="737"/>
      <c r="E909" s="737"/>
      <c r="F909" s="737"/>
      <c r="G909" s="737"/>
      <c r="H909" s="737"/>
      <c r="I909" s="737"/>
      <c r="J909" s="737"/>
      <c r="K909" s="737"/>
      <c r="L909" s="737"/>
      <c r="M909" s="737"/>
      <c r="N909" s="737"/>
      <c r="O909" s="737"/>
      <c r="P909" s="738"/>
      <c r="Q909" s="416"/>
      <c r="Y909" s="501"/>
      <c r="BI909" s="106"/>
      <c r="BJ909" s="106"/>
      <c r="BK909" s="106"/>
      <c r="BL909" s="106"/>
      <c r="BM909" s="106"/>
      <c r="BN909" s="106"/>
      <c r="BO909" s="106"/>
    </row>
    <row r="910" spans="2:67" ht="24.95" customHeight="1" x14ac:dyDescent="0.25">
      <c r="B910" s="204"/>
      <c r="C910" s="294"/>
      <c r="D910" s="294"/>
      <c r="E910" s="294"/>
      <c r="F910" s="294"/>
      <c r="G910" s="294"/>
      <c r="H910" s="294"/>
      <c r="I910" s="294"/>
      <c r="J910" s="294"/>
      <c r="K910" s="294"/>
      <c r="L910" s="294"/>
      <c r="M910" s="294"/>
      <c r="N910" s="294"/>
      <c r="O910" s="294"/>
      <c r="P910" s="294"/>
      <c r="Q910" s="294"/>
      <c r="Y910" s="501"/>
      <c r="BI910" s="106"/>
      <c r="BJ910" s="106"/>
      <c r="BK910" s="106"/>
      <c r="BL910" s="106"/>
      <c r="BM910" s="106"/>
      <c r="BN910" s="106"/>
      <c r="BO910" s="106"/>
    </row>
    <row r="911" spans="2:67" ht="24.95" customHeight="1" x14ac:dyDescent="0.25">
      <c r="B911" s="341" t="s">
        <v>537</v>
      </c>
      <c r="C911" s="342"/>
      <c r="D911" s="342"/>
      <c r="E911" s="342"/>
      <c r="F911" s="342"/>
      <c r="G911" s="342"/>
      <c r="H911" s="342"/>
      <c r="I911" s="342"/>
      <c r="J911" s="342"/>
      <c r="K911" s="342"/>
      <c r="L911" s="342"/>
      <c r="M911" s="342"/>
      <c r="N911" s="325"/>
      <c r="O911" s="325"/>
      <c r="P911" s="354"/>
      <c r="Q911" s="354"/>
      <c r="Y911" s="501"/>
      <c r="BI911" s="106"/>
      <c r="BJ911" s="106"/>
      <c r="BK911" s="106"/>
      <c r="BL911" s="106"/>
      <c r="BM911" s="106"/>
      <c r="BN911" s="106"/>
      <c r="BO911" s="106"/>
    </row>
    <row r="912" spans="2:67" ht="15" customHeight="1" x14ac:dyDescent="0.25">
      <c r="Y912" s="501"/>
      <c r="BI912" s="106"/>
      <c r="BJ912" s="106"/>
      <c r="BK912" s="106"/>
      <c r="BL912" s="106"/>
      <c r="BM912" s="106"/>
      <c r="BN912" s="106"/>
      <c r="BO912" s="106"/>
    </row>
    <row r="913" spans="2:67" ht="15" customHeight="1" x14ac:dyDescent="0.25">
      <c r="B913" s="27" t="s">
        <v>538</v>
      </c>
      <c r="C913" s="13"/>
      <c r="D913" s="236"/>
      <c r="E913" s="237"/>
      <c r="F913" s="237"/>
      <c r="G913" s="237"/>
      <c r="H913" s="237"/>
      <c r="I913" s="237"/>
      <c r="J913" s="237"/>
      <c r="K913" s="237"/>
      <c r="L913" s="237"/>
      <c r="M913" s="237"/>
      <c r="N913" s="237"/>
      <c r="O913" s="237"/>
      <c r="P913" s="237"/>
      <c r="Q913" s="215"/>
      <c r="Y913" s="501"/>
      <c r="BI913" s="106"/>
      <c r="BJ913" s="106"/>
      <c r="BK913" s="106"/>
      <c r="BL913" s="106"/>
      <c r="BM913" s="106"/>
      <c r="BN913" s="106"/>
      <c r="BO913" s="106"/>
    </row>
    <row r="914" spans="2:67" x14ac:dyDescent="0.25">
      <c r="B914" s="215"/>
      <c r="C914" s="215"/>
      <c r="D914" s="215"/>
      <c r="E914" s="215"/>
      <c r="F914" s="215"/>
      <c r="G914" s="215"/>
      <c r="H914" s="295">
        <f>IF(ADBT0=ADBT7,Mat01_courts,IF(ADBT0=ADBT8,Mat01_multires,Mat01_other))</f>
        <v>6</v>
      </c>
      <c r="I914" s="215"/>
      <c r="J914" s="215"/>
      <c r="K914" s="215"/>
      <c r="L914" s="215"/>
      <c r="M914" s="215"/>
      <c r="N914" s="215"/>
      <c r="O914" s="215"/>
      <c r="P914" s="215"/>
      <c r="Q914" s="215"/>
      <c r="Y914" s="501"/>
      <c r="BI914" s="106"/>
      <c r="BJ914" s="106"/>
      <c r="BK914" s="106"/>
      <c r="BL914" s="106"/>
      <c r="BM914" s="106"/>
      <c r="BN914" s="106"/>
      <c r="BO914" s="106"/>
    </row>
    <row r="915" spans="2:67" x14ac:dyDescent="0.25">
      <c r="B915" s="222"/>
      <c r="C915" s="222"/>
      <c r="D915" s="221"/>
      <c r="E915" s="221"/>
      <c r="F915" s="212" t="s">
        <v>284</v>
      </c>
      <c r="G915" s="215"/>
      <c r="H915" s="216">
        <f>IF(ADBT0=ADBT1,Mat01_office,IF(ADBT0=ADBT2,Mat01_industrial,IF(ADBT0=ADBT3,Mat01_retail,IF(ADBT0=ADBT4,Mat01_education,IF(ADBT0=ADBT5,Mat01_healthcare,IF(ADBT0=ADBT6,Mat01_prisons,Mat01_credits_extra))))))</f>
        <v>6</v>
      </c>
      <c r="J915" s="222"/>
      <c r="K915" s="222"/>
      <c r="L915" s="222"/>
      <c r="M915" s="222"/>
      <c r="N915" s="212" t="s">
        <v>285</v>
      </c>
      <c r="P915" s="217">
        <f>(BP_38/BP_06)*Mat01_credits</f>
        <v>0</v>
      </c>
      <c r="Q915" s="217"/>
      <c r="R915" s="209" t="s">
        <v>539</v>
      </c>
      <c r="Y915" s="501"/>
      <c r="BI915" s="106"/>
      <c r="BJ915" s="106"/>
      <c r="BK915" s="106"/>
      <c r="BL915" s="106"/>
      <c r="BM915" s="106"/>
      <c r="BN915" s="106"/>
      <c r="BO915" s="106"/>
    </row>
    <row r="916" spans="2:67" ht="3.75" customHeight="1" x14ac:dyDescent="0.25">
      <c r="Y916" s="501"/>
      <c r="BI916" s="106"/>
      <c r="BJ916" s="106"/>
      <c r="BK916" s="106"/>
      <c r="BL916" s="106"/>
      <c r="BM916" s="106"/>
      <c r="BN916" s="106"/>
      <c r="BO916" s="106"/>
    </row>
    <row r="917" spans="2:67" x14ac:dyDescent="0.25">
      <c r="B917" s="222"/>
      <c r="C917" s="222"/>
      <c r="D917" s="221"/>
      <c r="E917" s="221"/>
      <c r="F917" s="212" t="s">
        <v>286</v>
      </c>
      <c r="G917" s="215"/>
      <c r="H917" s="216">
        <v>1</v>
      </c>
      <c r="J917" s="221"/>
      <c r="K917" s="221"/>
      <c r="L917" s="221"/>
      <c r="M917" s="221"/>
      <c r="N917" s="212" t="s">
        <v>287</v>
      </c>
      <c r="O917" s="215"/>
      <c r="P917" s="216" t="s">
        <v>125</v>
      </c>
      <c r="Q917" s="216"/>
      <c r="Y917" s="501"/>
      <c r="BI917" s="106"/>
      <c r="BJ917" s="106"/>
      <c r="BK917" s="106"/>
      <c r="BL917" s="106"/>
      <c r="BM917" s="106"/>
      <c r="BN917" s="106"/>
      <c r="BO917" s="106"/>
    </row>
    <row r="918" spans="2:67" ht="47.25" customHeight="1" x14ac:dyDescent="0.25">
      <c r="B918" s="238" t="s">
        <v>288</v>
      </c>
      <c r="C918" s="239"/>
      <c r="D918" s="235"/>
      <c r="E918" s="239"/>
      <c r="F918" s="240"/>
      <c r="G918" s="238"/>
      <c r="H918" s="238"/>
      <c r="I918" s="238"/>
      <c r="J918" s="241"/>
      <c r="K918" s="241"/>
      <c r="L918" s="241"/>
      <c r="M918" s="241"/>
      <c r="N918" s="241"/>
      <c r="P918" s="242"/>
      <c r="Q918" s="242"/>
      <c r="Y918" s="501"/>
      <c r="BI918" s="106"/>
      <c r="BJ918" s="106"/>
      <c r="BK918" s="106"/>
      <c r="BL918" s="106"/>
      <c r="BM918" s="106"/>
      <c r="BN918" s="106"/>
      <c r="BO918" s="106"/>
    </row>
    <row r="919" spans="2:67" ht="3" customHeight="1" x14ac:dyDescent="0.25">
      <c r="B919" s="215"/>
      <c r="C919" s="218"/>
      <c r="D919" s="215"/>
      <c r="E919" s="218"/>
      <c r="F919" s="244"/>
      <c r="G919" s="215"/>
      <c r="J919" s="245"/>
      <c r="K919" s="245"/>
      <c r="L919" s="215"/>
      <c r="M919" s="215"/>
      <c r="N919" s="246"/>
      <c r="O919" s="218"/>
      <c r="P919" s="246"/>
      <c r="Q919" s="246"/>
      <c r="Y919" s="501"/>
      <c r="BI919" s="106"/>
      <c r="BJ919" s="106"/>
      <c r="BK919" s="106"/>
      <c r="BL919" s="106"/>
      <c r="BM919" s="106"/>
      <c r="BN919" s="106"/>
      <c r="BO919" s="106"/>
    </row>
    <row r="920" spans="2:67" x14ac:dyDescent="0.25">
      <c r="B920" s="221"/>
      <c r="C920" s="221"/>
      <c r="D920" s="221"/>
      <c r="E920" s="221"/>
      <c r="F920" s="212"/>
      <c r="G920" s="221"/>
      <c r="H920" s="212" t="s">
        <v>540</v>
      </c>
      <c r="J920" s="289"/>
      <c r="K920" s="215"/>
      <c r="M920" s="215"/>
      <c r="N920" s="215"/>
      <c r="O920" s="215"/>
      <c r="Y920" s="501"/>
      <c r="BI920" s="106"/>
      <c r="BJ920" s="106"/>
      <c r="BK920" s="106"/>
      <c r="BL920" s="106"/>
      <c r="BM920" s="106"/>
      <c r="BN920" s="106"/>
      <c r="BO920" s="106"/>
    </row>
    <row r="921" spans="2:67" x14ac:dyDescent="0.25">
      <c r="B921" s="221"/>
      <c r="C921" s="221"/>
      <c r="D921" s="221"/>
      <c r="E921" s="221"/>
      <c r="F921" s="212"/>
      <c r="G921" s="221"/>
      <c r="H921" s="212" t="s">
        <v>541</v>
      </c>
      <c r="J921" s="223"/>
      <c r="K921" s="215"/>
      <c r="L921" s="202"/>
      <c r="M921" s="215"/>
      <c r="N921" s="215"/>
      <c r="O921" s="215"/>
      <c r="P921" s="252"/>
      <c r="Q921" s="252"/>
      <c r="R921" s="209" t="str">
        <f>IF(Mat01_03&gt;(Mat01_credits-1),AIS_statement74,"")</f>
        <v/>
      </c>
      <c r="Y921" s="501"/>
      <c r="BI921" s="106"/>
      <c r="BJ921" s="106"/>
      <c r="BK921" s="106"/>
      <c r="BL921" s="106"/>
      <c r="BM921" s="106"/>
      <c r="BN921" s="106"/>
      <c r="BO921" s="106"/>
    </row>
    <row r="922" spans="2:67" x14ac:dyDescent="0.25">
      <c r="B922" s="221"/>
      <c r="C922" s="221"/>
      <c r="D922" s="221"/>
      <c r="E922" s="221"/>
      <c r="F922" s="212"/>
      <c r="G922" s="221"/>
      <c r="H922" s="212" t="s">
        <v>542</v>
      </c>
      <c r="J922" s="223"/>
      <c r="K922" s="215"/>
      <c r="L922" s="202"/>
      <c r="M922" s="215"/>
      <c r="N922" s="215"/>
      <c r="O922" s="215"/>
      <c r="P922" s="252"/>
      <c r="Q922" s="252"/>
      <c r="Y922" s="501"/>
      <c r="BI922" s="106"/>
      <c r="BJ922" s="106"/>
      <c r="BK922" s="106"/>
      <c r="BL922" s="106"/>
      <c r="BM922" s="106"/>
      <c r="BN922" s="106"/>
      <c r="BO922" s="106"/>
    </row>
    <row r="923" spans="2:67" x14ac:dyDescent="0.25">
      <c r="B923" s="221"/>
      <c r="C923" s="221"/>
      <c r="D923" s="221"/>
      <c r="E923" s="221"/>
      <c r="F923" s="212"/>
      <c r="G923" s="221"/>
      <c r="H923" s="212" t="s">
        <v>543</v>
      </c>
      <c r="J923" s="223"/>
      <c r="K923" s="215"/>
      <c r="M923" s="215"/>
      <c r="N923" s="215"/>
      <c r="O923" s="215"/>
      <c r="Y923" s="501"/>
      <c r="BI923" s="106"/>
      <c r="BJ923" s="106"/>
      <c r="BK923" s="106"/>
      <c r="BL923" s="106"/>
      <c r="BM923" s="106"/>
      <c r="BN923" s="106"/>
      <c r="BO923" s="106"/>
    </row>
    <row r="924" spans="2:67" hidden="1" x14ac:dyDescent="0.25">
      <c r="B924" s="221"/>
      <c r="C924" s="221"/>
      <c r="D924" s="221"/>
      <c r="E924" s="221"/>
      <c r="F924" s="212"/>
      <c r="G924" s="221"/>
      <c r="H924" s="212" t="s">
        <v>544</v>
      </c>
      <c r="J924" s="223"/>
      <c r="K924" s="215"/>
      <c r="M924" s="215"/>
      <c r="N924" s="215"/>
      <c r="O924" s="215"/>
      <c r="Y924" s="501"/>
      <c r="BI924" s="106"/>
      <c r="BJ924" s="106"/>
      <c r="BK924" s="106"/>
      <c r="BL924" s="106"/>
      <c r="BM924" s="106"/>
      <c r="BN924" s="106"/>
      <c r="BO924" s="106"/>
    </row>
    <row r="925" spans="2:67" ht="66" hidden="1" customHeight="1" x14ac:dyDescent="0.35">
      <c r="B925" s="238" t="s">
        <v>545</v>
      </c>
      <c r="J925" s="220" t="s">
        <v>546</v>
      </c>
      <c r="L925" s="556" t="s">
        <v>547</v>
      </c>
      <c r="N925" s="220" t="s">
        <v>548</v>
      </c>
      <c r="P925" s="287"/>
      <c r="Q925" s="287"/>
      <c r="Y925" s="501"/>
      <c r="BI925" s="106"/>
      <c r="BJ925" s="106"/>
      <c r="BK925" s="106"/>
      <c r="BL925" s="106"/>
      <c r="BM925" s="106"/>
      <c r="BN925" s="106"/>
      <c r="BO925" s="106"/>
    </row>
    <row r="926" spans="2:67" ht="3" hidden="1" customHeight="1" x14ac:dyDescent="0.25">
      <c r="Y926" s="501"/>
      <c r="BI926" s="106"/>
      <c r="BJ926" s="106"/>
      <c r="BK926" s="106"/>
      <c r="BL926" s="106"/>
      <c r="BM926" s="106"/>
      <c r="BN926" s="106"/>
      <c r="BO926" s="106"/>
    </row>
    <row r="927" spans="2:67" ht="15" hidden="1" customHeight="1" x14ac:dyDescent="0.25">
      <c r="B927" s="221"/>
      <c r="C927" s="221"/>
      <c r="D927" s="221"/>
      <c r="E927" s="221"/>
      <c r="F927" s="212"/>
      <c r="G927" s="221"/>
      <c r="H927" s="212" t="s">
        <v>549</v>
      </c>
      <c r="J927" s="281"/>
      <c r="K927" s="300"/>
      <c r="L927" s="283"/>
      <c r="M927" s="300"/>
      <c r="N927" s="281"/>
      <c r="R927" s="732" t="s">
        <v>550</v>
      </c>
      <c r="S927" s="732"/>
      <c r="T927" s="732"/>
      <c r="U927" s="732"/>
      <c r="V927" s="732"/>
      <c r="W927" s="732"/>
      <c r="X927" s="732"/>
      <c r="Y927" s="501"/>
      <c r="BI927" s="106"/>
      <c r="BJ927" s="106"/>
      <c r="BK927" s="106"/>
      <c r="BL927" s="106"/>
      <c r="BM927" s="106"/>
      <c r="BN927" s="106"/>
      <c r="BO927" s="106"/>
    </row>
    <row r="928" spans="2:67" hidden="1" x14ac:dyDescent="0.25">
      <c r="B928" s="221"/>
      <c r="C928" s="221"/>
      <c r="D928" s="221"/>
      <c r="E928" s="221"/>
      <c r="F928" s="212"/>
      <c r="G928" s="221"/>
      <c r="H928" s="212" t="s">
        <v>551</v>
      </c>
      <c r="J928" s="281"/>
      <c r="K928" s="300"/>
      <c r="L928" s="283"/>
      <c r="M928" s="300"/>
      <c r="N928" s="281"/>
      <c r="R928" s="732"/>
      <c r="S928" s="732"/>
      <c r="T928" s="732"/>
      <c r="U928" s="732"/>
      <c r="V928" s="732"/>
      <c r="W928" s="732"/>
      <c r="X928" s="732"/>
      <c r="Y928" s="501"/>
      <c r="BI928" s="106"/>
      <c r="BJ928" s="106"/>
      <c r="BK928" s="106"/>
      <c r="BL928" s="106"/>
      <c r="BM928" s="106"/>
      <c r="BN928" s="106"/>
      <c r="BO928" s="106"/>
    </row>
    <row r="929" spans="2:67" hidden="1" x14ac:dyDescent="0.25">
      <c r="B929" s="221"/>
      <c r="C929" s="221"/>
      <c r="D929" s="221"/>
      <c r="E929" s="221"/>
      <c r="F929" s="212"/>
      <c r="G929" s="221"/>
      <c r="H929" s="212" t="s">
        <v>552</v>
      </c>
      <c r="J929" s="281"/>
      <c r="K929" s="300"/>
      <c r="L929" s="283"/>
      <c r="M929" s="300"/>
      <c r="N929" s="281"/>
      <c r="R929" s="732"/>
      <c r="S929" s="732"/>
      <c r="T929" s="732"/>
      <c r="U929" s="732"/>
      <c r="V929" s="732"/>
      <c r="W929" s="732"/>
      <c r="X929" s="732"/>
      <c r="Y929" s="501"/>
      <c r="BI929" s="106"/>
      <c r="BJ929" s="106"/>
      <c r="BK929" s="106"/>
      <c r="BL929" s="106"/>
      <c r="BM929" s="106"/>
      <c r="BN929" s="106"/>
      <c r="BO929" s="106"/>
    </row>
    <row r="930" spans="2:67" hidden="1" x14ac:dyDescent="0.25">
      <c r="B930" s="221"/>
      <c r="C930" s="221"/>
      <c r="D930" s="221"/>
      <c r="E930" s="221"/>
      <c r="F930" s="212"/>
      <c r="G930" s="221"/>
      <c r="H930" s="212" t="s">
        <v>553</v>
      </c>
      <c r="J930" s="281"/>
      <c r="K930" s="300"/>
      <c r="L930" s="283"/>
      <c r="M930" s="300"/>
      <c r="N930" s="281"/>
      <c r="R930" s="732"/>
      <c r="S930" s="732"/>
      <c r="T930" s="732"/>
      <c r="U930" s="732"/>
      <c r="V930" s="732"/>
      <c r="W930" s="732"/>
      <c r="X930" s="732"/>
      <c r="Y930" s="501"/>
      <c r="BI930" s="106"/>
      <c r="BJ930" s="106"/>
      <c r="BK930" s="106"/>
      <c r="BL930" s="106"/>
      <c r="BM930" s="106"/>
      <c r="BN930" s="106"/>
      <c r="BO930" s="106"/>
    </row>
    <row r="931" spans="2:67" hidden="1" x14ac:dyDescent="0.25">
      <c r="B931" s="221"/>
      <c r="C931" s="221"/>
      <c r="D931" s="221"/>
      <c r="E931" s="221"/>
      <c r="F931" s="212"/>
      <c r="G931" s="221"/>
      <c r="H931" s="212" t="s">
        <v>554</v>
      </c>
      <c r="J931" s="281"/>
      <c r="K931" s="300"/>
      <c r="L931" s="283"/>
      <c r="M931" s="300"/>
      <c r="N931" s="281"/>
      <c r="R931" s="732"/>
      <c r="S931" s="732"/>
      <c r="T931" s="732"/>
      <c r="U931" s="732"/>
      <c r="V931" s="732"/>
      <c r="W931" s="732"/>
      <c r="X931" s="732"/>
      <c r="Y931" s="501"/>
      <c r="BI931" s="106"/>
      <c r="BJ931" s="106"/>
      <c r="BK931" s="106"/>
      <c r="BL931" s="106"/>
      <c r="BM931" s="106"/>
      <c r="BN931" s="106"/>
      <c r="BO931" s="106"/>
    </row>
    <row r="932" spans="2:67" hidden="1" x14ac:dyDescent="0.25">
      <c r="B932" s="221"/>
      <c r="C932" s="221"/>
      <c r="D932" s="221"/>
      <c r="E932" s="221"/>
      <c r="F932" s="212"/>
      <c r="G932" s="221"/>
      <c r="H932" s="212" t="s">
        <v>555</v>
      </c>
      <c r="J932" s="281"/>
      <c r="K932" s="300"/>
      <c r="L932" s="283"/>
      <c r="M932" s="300"/>
      <c r="N932" s="281"/>
      <c r="R932" s="732"/>
      <c r="S932" s="732"/>
      <c r="T932" s="732"/>
      <c r="U932" s="732"/>
      <c r="V932" s="732"/>
      <c r="W932" s="732"/>
      <c r="X932" s="732"/>
      <c r="Y932" s="501"/>
      <c r="BI932" s="106"/>
      <c r="BJ932" s="106"/>
      <c r="BK932" s="106"/>
      <c r="BL932" s="106"/>
      <c r="BM932" s="106"/>
      <c r="BN932" s="106"/>
      <c r="BO932" s="106"/>
    </row>
    <row r="933" spans="2:67" ht="24.95" hidden="1" customHeight="1" x14ac:dyDescent="0.25">
      <c r="B933" s="238" t="s">
        <v>556</v>
      </c>
      <c r="J933" s="252"/>
      <c r="K933" s="215"/>
      <c r="L933" s="301"/>
      <c r="M933" s="252"/>
      <c r="N933" s="252"/>
      <c r="R933" s="210"/>
      <c r="S933" s="54"/>
      <c r="T933" s="54"/>
      <c r="U933" s="54"/>
      <c r="V933" s="54"/>
      <c r="W933" s="54"/>
      <c r="Y933" s="501"/>
      <c r="BI933" s="106"/>
      <c r="BJ933" s="106"/>
      <c r="BK933" s="106"/>
      <c r="BL933" s="106"/>
      <c r="BM933" s="106"/>
      <c r="BN933" s="106"/>
      <c r="BO933" s="106"/>
    </row>
    <row r="934" spans="2:67" ht="3" hidden="1" customHeight="1" x14ac:dyDescent="0.25">
      <c r="B934" s="238"/>
      <c r="J934" s="252"/>
      <c r="K934" s="215"/>
      <c r="L934" s="301"/>
      <c r="M934" s="252"/>
      <c r="N934" s="252"/>
      <c r="R934" s="210"/>
      <c r="S934" s="54"/>
      <c r="T934" s="54"/>
      <c r="U934" s="54"/>
      <c r="V934" s="54"/>
      <c r="W934" s="54"/>
      <c r="Y934" s="501"/>
      <c r="BI934" s="106"/>
      <c r="BJ934" s="106"/>
      <c r="BK934" s="106"/>
      <c r="BL934" s="106"/>
      <c r="BM934" s="106"/>
      <c r="BN934" s="106"/>
      <c r="BO934" s="106"/>
    </row>
    <row r="935" spans="2:67" ht="18" hidden="1" customHeight="1" x14ac:dyDescent="0.35">
      <c r="B935" s="221"/>
      <c r="C935" s="221"/>
      <c r="D935" s="221"/>
      <c r="E935" s="221"/>
      <c r="F935" s="212"/>
      <c r="G935" s="221"/>
      <c r="H935" s="212" t="s">
        <v>557</v>
      </c>
      <c r="J935" s="224" t="str">
        <f>IF(Mat01_datacheck=AIS_No,AIS_Missing_data,SUM(Mat01_totalimpact))</f>
        <v>Missing data</v>
      </c>
      <c r="K935" s="215"/>
      <c r="L935" s="209" t="s">
        <v>558</v>
      </c>
      <c r="N935" s="302" t="str">
        <f>IF(Mat01_KPI01=AIS_Missing_data,"",(Mat01_KPI01/AD_GIA))</f>
        <v/>
      </c>
      <c r="O935" s="215"/>
      <c r="P935" s="209" t="s">
        <v>559</v>
      </c>
      <c r="Q935" s="209"/>
      <c r="R935" s="210"/>
      <c r="S935" s="54"/>
      <c r="T935" s="54"/>
      <c r="U935" s="54"/>
      <c r="V935" s="54"/>
      <c r="W935" s="54"/>
      <c r="Y935" s="501"/>
      <c r="BI935" s="106"/>
      <c r="BJ935" s="106"/>
      <c r="BK935" s="106"/>
      <c r="BL935" s="106"/>
      <c r="BM935" s="106"/>
      <c r="BN935" s="106"/>
      <c r="BO935" s="106"/>
    </row>
    <row r="936" spans="2:67" ht="18" hidden="1" customHeight="1" x14ac:dyDescent="0.25">
      <c r="B936" s="221"/>
      <c r="C936" s="221"/>
      <c r="D936" s="221"/>
      <c r="E936" s="221"/>
      <c r="F936" s="212"/>
      <c r="G936" s="221"/>
      <c r="H936" s="212" t="s">
        <v>560</v>
      </c>
      <c r="J936" s="303" t="str">
        <f>IF(Mat01_KPI01=AIS_Missing_data,"",SUM(Mat01_dataapp)/SUM(Mat01_totalarea))</f>
        <v/>
      </c>
      <c r="K936" s="215"/>
      <c r="M936" s="215"/>
      <c r="N936" s="215"/>
      <c r="R936" s="210"/>
      <c r="S936" s="54"/>
      <c r="T936" s="54"/>
      <c r="U936" s="54"/>
      <c r="V936" s="54"/>
      <c r="W936" s="54"/>
      <c r="Y936" s="501"/>
      <c r="BI936" s="106"/>
      <c r="BJ936" s="106"/>
      <c r="BK936" s="106"/>
      <c r="BL936" s="106"/>
      <c r="BM936" s="106"/>
      <c r="BN936" s="106"/>
      <c r="BO936" s="106"/>
    </row>
    <row r="937" spans="2:67" x14ac:dyDescent="0.25">
      <c r="M937" s="215"/>
      <c r="N937" s="215"/>
      <c r="R937" s="317"/>
      <c r="S937" s="56"/>
      <c r="T937" s="56"/>
      <c r="U937" s="56"/>
      <c r="V937" s="56"/>
      <c r="W937" s="56"/>
      <c r="Y937" s="501"/>
      <c r="BI937" s="106"/>
      <c r="BJ937" s="106"/>
      <c r="BK937" s="106"/>
      <c r="BL937" s="106"/>
      <c r="BM937" s="106"/>
      <c r="BN937" s="106"/>
      <c r="BO937" s="106"/>
    </row>
    <row r="938" spans="2:67" x14ac:dyDescent="0.25">
      <c r="B938" s="221"/>
      <c r="C938" s="222"/>
      <c r="D938" s="222"/>
      <c r="E938" s="221"/>
      <c r="F938" s="212" t="s">
        <v>296</v>
      </c>
      <c r="G938" s="215"/>
      <c r="H938" s="216">
        <f>(Mat01_03+IF(Mat01_06=AIS_Yes,1,0))</f>
        <v>0</v>
      </c>
      <c r="J938" s="203"/>
      <c r="K938" s="215"/>
      <c r="M938" s="215"/>
      <c r="N938" s="264"/>
      <c r="O938" s="215"/>
      <c r="P938" s="215"/>
      <c r="Q938" s="215"/>
      <c r="Y938" s="501"/>
      <c r="BI938" s="106"/>
      <c r="BJ938" s="106"/>
      <c r="BK938" s="106"/>
      <c r="BL938" s="106"/>
      <c r="BM938" s="106"/>
      <c r="BN938" s="106"/>
      <c r="BO938" s="106"/>
    </row>
    <row r="939" spans="2:67" ht="3" customHeight="1" x14ac:dyDescent="0.25">
      <c r="B939" s="215"/>
      <c r="E939" s="215"/>
      <c r="F939" s="225"/>
      <c r="G939" s="215"/>
      <c r="H939" s="252"/>
      <c r="J939" s="203"/>
      <c r="K939" s="215"/>
      <c r="M939" s="215"/>
      <c r="N939" s="264"/>
      <c r="O939" s="215"/>
      <c r="P939" s="215"/>
      <c r="Q939" s="215"/>
      <c r="Y939" s="501"/>
      <c r="BI939" s="106"/>
      <c r="BJ939" s="106"/>
      <c r="BK939" s="106"/>
      <c r="BL939" s="106"/>
      <c r="BM939" s="106"/>
      <c r="BN939" s="106"/>
      <c r="BO939" s="106"/>
    </row>
    <row r="940" spans="2:67" x14ac:dyDescent="0.25">
      <c r="B940" s="221"/>
      <c r="C940" s="222"/>
      <c r="D940" s="222"/>
      <c r="E940" s="221"/>
      <c r="F940" s="212" t="s">
        <v>297</v>
      </c>
      <c r="G940" s="215"/>
      <c r="H940" s="217">
        <f>(Mat01_27/Mat01_credits)*Mat01_tot</f>
        <v>0</v>
      </c>
      <c r="J940" s="203"/>
      <c r="K940" s="215"/>
      <c r="M940" s="215"/>
      <c r="N940" s="264"/>
      <c r="O940" s="215"/>
      <c r="P940" s="215"/>
      <c r="Q940" s="215"/>
      <c r="Y940" s="501"/>
      <c r="BI940" s="106"/>
      <c r="BJ940" s="106"/>
      <c r="BK940" s="106"/>
      <c r="BL940" s="106"/>
      <c r="BM940" s="106"/>
      <c r="BN940" s="106"/>
      <c r="BO940" s="106"/>
    </row>
    <row r="941" spans="2:67" ht="3" customHeight="1" x14ac:dyDescent="0.25">
      <c r="K941" s="215"/>
      <c r="M941" s="215"/>
      <c r="N941" s="215"/>
      <c r="O941" s="215"/>
      <c r="P941" s="215"/>
      <c r="Q941" s="215"/>
      <c r="Y941" s="501"/>
      <c r="BI941" s="106"/>
      <c r="BJ941" s="106"/>
      <c r="BK941" s="106"/>
      <c r="BL941" s="106"/>
      <c r="BM941" s="106"/>
      <c r="BN941" s="106"/>
      <c r="BO941" s="106"/>
    </row>
    <row r="942" spans="2:67" x14ac:dyDescent="0.25">
      <c r="B942" s="221"/>
      <c r="C942" s="222"/>
      <c r="D942" s="222"/>
      <c r="E942" s="221"/>
      <c r="F942" s="212" t="s">
        <v>298</v>
      </c>
      <c r="H942" s="216">
        <f>Mat01_Exemp_tot</f>
        <v>0</v>
      </c>
      <c r="K942" s="215"/>
      <c r="M942" s="215"/>
      <c r="N942" s="215"/>
      <c r="O942" s="215"/>
      <c r="P942" s="215"/>
      <c r="Q942" s="215"/>
      <c r="Y942" s="501"/>
      <c r="BI942" s="106"/>
      <c r="BJ942" s="106"/>
      <c r="BK942" s="106"/>
      <c r="BL942" s="106"/>
      <c r="BM942" s="106"/>
      <c r="BN942" s="106"/>
      <c r="BO942" s="106"/>
    </row>
    <row r="943" spans="2:67" ht="3" customHeight="1" x14ac:dyDescent="0.25">
      <c r="K943" s="215"/>
      <c r="M943" s="215"/>
      <c r="N943" s="215"/>
      <c r="O943" s="215"/>
      <c r="P943" s="215"/>
      <c r="Q943" s="215"/>
      <c r="Y943" s="501"/>
      <c r="BI943" s="106"/>
      <c r="BJ943" s="106"/>
      <c r="BK943" s="106"/>
      <c r="BL943" s="106"/>
      <c r="BM943" s="106"/>
      <c r="BN943" s="106"/>
      <c r="BO943" s="106"/>
    </row>
    <row r="944" spans="2:67" x14ac:dyDescent="0.25">
      <c r="B944" s="221"/>
      <c r="C944" s="222"/>
      <c r="D944" s="221"/>
      <c r="E944" s="221"/>
      <c r="F944" s="212" t="s">
        <v>299</v>
      </c>
      <c r="H944" s="216" t="s">
        <v>300</v>
      </c>
      <c r="K944" s="215"/>
      <c r="M944" s="215"/>
      <c r="N944" s="215"/>
      <c r="O944" s="215"/>
      <c r="P944" s="215"/>
      <c r="Q944" s="215"/>
      <c r="Y944" s="501"/>
      <c r="BI944" s="106"/>
      <c r="BJ944" s="106"/>
      <c r="BK944" s="106"/>
      <c r="BL944" s="106"/>
      <c r="BM944" s="106"/>
      <c r="BN944" s="106"/>
      <c r="BO944" s="106"/>
    </row>
    <row r="945" spans="2:67" x14ac:dyDescent="0.25">
      <c r="M945" s="215"/>
      <c r="N945" s="215"/>
      <c r="O945" s="215"/>
      <c r="P945" s="215"/>
      <c r="Q945" s="215"/>
      <c r="Y945" s="501"/>
      <c r="BI945" s="106"/>
      <c r="BJ945" s="106"/>
      <c r="BK945" s="106"/>
      <c r="BL945" s="106"/>
      <c r="BM945" s="106"/>
      <c r="BN945" s="106"/>
      <c r="BO945" s="106"/>
    </row>
    <row r="946" spans="2:67" x14ac:dyDescent="0.25">
      <c r="B946" s="235" t="s">
        <v>301</v>
      </c>
      <c r="C946" s="215"/>
      <c r="D946" s="215"/>
      <c r="E946" s="215"/>
      <c r="F946" s="225"/>
      <c r="G946" s="215"/>
      <c r="H946" s="215"/>
      <c r="I946" s="215"/>
      <c r="J946" s="215"/>
      <c r="K946" s="215"/>
      <c r="L946" s="215"/>
      <c r="M946" s="215"/>
      <c r="N946" s="215"/>
      <c r="O946" s="215"/>
      <c r="P946" s="215"/>
      <c r="Q946" s="215"/>
      <c r="Y946" s="501"/>
      <c r="BI946" s="106"/>
      <c r="BJ946" s="106"/>
      <c r="BK946" s="106"/>
      <c r="BL946" s="106"/>
      <c r="BM946" s="106"/>
      <c r="BN946" s="106"/>
      <c r="BO946" s="106"/>
    </row>
    <row r="947" spans="2:67" ht="159.94999999999999" customHeight="1" x14ac:dyDescent="0.25">
      <c r="B947" s="736"/>
      <c r="C947" s="737"/>
      <c r="D947" s="737"/>
      <c r="E947" s="737"/>
      <c r="F947" s="737"/>
      <c r="G947" s="737"/>
      <c r="H947" s="737"/>
      <c r="I947" s="737"/>
      <c r="J947" s="737"/>
      <c r="K947" s="737"/>
      <c r="L947" s="737"/>
      <c r="M947" s="737"/>
      <c r="N947" s="737"/>
      <c r="O947" s="737"/>
      <c r="P947" s="738"/>
      <c r="Q947" s="416"/>
      <c r="Y947" s="501"/>
      <c r="BI947" s="106"/>
      <c r="BJ947" s="106"/>
      <c r="BK947" s="106"/>
      <c r="BL947" s="106"/>
      <c r="BM947" s="106"/>
      <c r="BN947" s="106"/>
      <c r="BO947" s="106"/>
    </row>
    <row r="948" spans="2:67" ht="36" hidden="1" customHeight="1" x14ac:dyDescent="0.25">
      <c r="B948" s="27" t="s">
        <v>561</v>
      </c>
      <c r="C948" s="13"/>
      <c r="D948" s="236"/>
      <c r="E948" s="237"/>
      <c r="F948" s="237"/>
      <c r="G948" s="237"/>
      <c r="H948" s="237"/>
      <c r="I948" s="237"/>
      <c r="J948" s="237"/>
      <c r="K948" s="237"/>
      <c r="L948" s="237"/>
      <c r="M948" s="237"/>
      <c r="N948" s="237"/>
      <c r="O948" s="237"/>
      <c r="P948" s="237"/>
      <c r="Q948" s="215"/>
      <c r="Y948" s="501"/>
      <c r="BI948" s="106"/>
      <c r="BJ948" s="106"/>
      <c r="BK948" s="106"/>
      <c r="BL948" s="106"/>
      <c r="BM948" s="106"/>
      <c r="BN948" s="106"/>
      <c r="BO948" s="106"/>
    </row>
    <row r="949" spans="2:67" hidden="1" x14ac:dyDescent="0.25">
      <c r="B949" s="215"/>
      <c r="C949" s="215"/>
      <c r="D949" s="215"/>
      <c r="E949" s="215"/>
      <c r="F949" s="215"/>
      <c r="G949" s="215"/>
      <c r="H949" s="215"/>
      <c r="I949" s="215"/>
      <c r="J949" s="215"/>
      <c r="K949" s="215"/>
      <c r="L949" s="215"/>
      <c r="M949" s="215"/>
      <c r="N949" s="215"/>
      <c r="O949" s="215"/>
      <c r="P949" s="215"/>
      <c r="Q949" s="215"/>
      <c r="Y949" s="501"/>
      <c r="BI949" s="106"/>
      <c r="BJ949" s="106"/>
      <c r="BK949" s="106"/>
      <c r="BL949" s="106"/>
      <c r="BM949" s="106"/>
      <c r="BN949" s="106"/>
      <c r="BO949" s="106"/>
    </row>
    <row r="950" spans="2:67" hidden="1" x14ac:dyDescent="0.25">
      <c r="B950" s="222"/>
      <c r="C950" s="222"/>
      <c r="D950" s="221"/>
      <c r="E950" s="221"/>
      <c r="F950" s="212" t="s">
        <v>284</v>
      </c>
      <c r="G950" s="215"/>
      <c r="H950" s="216">
        <v>1</v>
      </c>
      <c r="J950" s="222"/>
      <c r="K950" s="222"/>
      <c r="L950" s="222"/>
      <c r="M950" s="222"/>
      <c r="N950" s="212" t="s">
        <v>285</v>
      </c>
      <c r="P950" s="217">
        <f>(BP_38/BP_06)*Mat02_credits</f>
        <v>0</v>
      </c>
      <c r="Q950" s="217"/>
      <c r="Y950" s="501"/>
      <c r="BI950" s="106"/>
      <c r="BJ950" s="106"/>
      <c r="BK950" s="106"/>
      <c r="BL950" s="106"/>
      <c r="BM950" s="106"/>
      <c r="BN950" s="106"/>
      <c r="BO950" s="106"/>
    </row>
    <row r="951" spans="2:67" ht="3.75" hidden="1" customHeight="1" x14ac:dyDescent="0.25">
      <c r="Y951" s="501"/>
      <c r="BI951" s="106"/>
      <c r="BJ951" s="106"/>
      <c r="BK951" s="106"/>
      <c r="BL951" s="106"/>
      <c r="BM951" s="106"/>
      <c r="BN951" s="106"/>
      <c r="BO951" s="106"/>
    </row>
    <row r="952" spans="2:67" hidden="1" x14ac:dyDescent="0.25">
      <c r="B952" s="222"/>
      <c r="C952" s="222"/>
      <c r="D952" s="221"/>
      <c r="E952" s="221"/>
      <c r="F952" s="212" t="s">
        <v>286</v>
      </c>
      <c r="G952" s="215"/>
      <c r="H952" s="216">
        <v>0</v>
      </c>
      <c r="J952" s="221"/>
      <c r="K952" s="221"/>
      <c r="L952" s="221"/>
      <c r="M952" s="221"/>
      <c r="N952" s="212" t="s">
        <v>287</v>
      </c>
      <c r="O952" s="215"/>
      <c r="P952" s="216" t="s">
        <v>125</v>
      </c>
      <c r="Q952" s="216"/>
      <c r="Y952" s="501"/>
      <c r="BI952" s="106"/>
      <c r="BJ952" s="106"/>
      <c r="BK952" s="106"/>
      <c r="BL952" s="106"/>
      <c r="BM952" s="106"/>
      <c r="BN952" s="106"/>
      <c r="BO952" s="106"/>
    </row>
    <row r="953" spans="2:67" ht="47.25" hidden="1" customHeight="1" x14ac:dyDescent="0.25">
      <c r="B953" s="238" t="s">
        <v>288</v>
      </c>
      <c r="C953" s="239"/>
      <c r="D953" s="235"/>
      <c r="E953" s="239"/>
      <c r="F953" s="240"/>
      <c r="G953" s="238"/>
      <c r="H953" s="238"/>
      <c r="I953" s="238"/>
      <c r="J953" s="241" t="s">
        <v>289</v>
      </c>
      <c r="K953" s="241"/>
      <c r="L953" s="242" t="s">
        <v>290</v>
      </c>
      <c r="N953" s="242" t="s">
        <v>291</v>
      </c>
      <c r="P953" s="242"/>
      <c r="Q953" s="242"/>
      <c r="Y953" s="501"/>
      <c r="BI953" s="106"/>
      <c r="BJ953" s="106"/>
      <c r="BK953" s="106"/>
      <c r="BL953" s="106"/>
      <c r="BM953" s="106"/>
      <c r="BN953" s="106"/>
      <c r="BO953" s="106"/>
    </row>
    <row r="954" spans="2:67" ht="3" hidden="1" customHeight="1" x14ac:dyDescent="0.25">
      <c r="B954" s="215"/>
      <c r="C954" s="218"/>
      <c r="D954" s="215"/>
      <c r="E954" s="218"/>
      <c r="F954" s="244"/>
      <c r="G954" s="215"/>
      <c r="J954" s="245"/>
      <c r="K954" s="245"/>
      <c r="L954" s="215"/>
      <c r="M954" s="215"/>
      <c r="N954" s="246"/>
      <c r="O954" s="218"/>
      <c r="P954" s="246"/>
      <c r="Q954" s="246"/>
      <c r="Y954" s="501"/>
      <c r="BI954" s="106"/>
      <c r="BJ954" s="106"/>
      <c r="BK954" s="106"/>
      <c r="BL954" s="106"/>
      <c r="BM954" s="106"/>
      <c r="BN954" s="106"/>
      <c r="BO954" s="106"/>
    </row>
    <row r="955" spans="2:67" hidden="1" x14ac:dyDescent="0.25">
      <c r="B955" s="221"/>
      <c r="C955" s="221"/>
      <c r="D955" s="221"/>
      <c r="E955" s="221"/>
      <c r="F955" s="212"/>
      <c r="G955" s="221"/>
      <c r="H955" s="212" t="s">
        <v>562</v>
      </c>
      <c r="J955" s="223"/>
      <c r="K955" s="215"/>
      <c r="L955" s="224">
        <f>Mat02_credits</f>
        <v>1</v>
      </c>
      <c r="M955" s="215"/>
      <c r="N955" s="224">
        <f>IF(Mat02_02=AIS_Yes,Mat02_03,0)</f>
        <v>0</v>
      </c>
      <c r="O955" s="215"/>
      <c r="P955" s="252"/>
      <c r="Q955" s="252"/>
      <c r="Y955" s="501"/>
      <c r="BI955" s="106"/>
      <c r="BJ955" s="106"/>
      <c r="BK955" s="106"/>
      <c r="BL955" s="106"/>
      <c r="BM955" s="106"/>
      <c r="BN955" s="106"/>
      <c r="BO955" s="106"/>
    </row>
    <row r="956" spans="2:67" hidden="1" x14ac:dyDescent="0.25">
      <c r="Y956" s="501"/>
      <c r="BI956" s="106"/>
      <c r="BJ956" s="106"/>
      <c r="BK956" s="106"/>
      <c r="BL956" s="106"/>
      <c r="BM956" s="106"/>
      <c r="BN956" s="106"/>
      <c r="BO956" s="106"/>
    </row>
    <row r="957" spans="2:67" hidden="1" x14ac:dyDescent="0.25">
      <c r="B957" s="221"/>
      <c r="C957" s="222"/>
      <c r="D957" s="222"/>
      <c r="E957" s="221"/>
      <c r="F957" s="212" t="s">
        <v>296</v>
      </c>
      <c r="G957" s="215"/>
      <c r="H957" s="216">
        <f>IF(ISERROR(Mat02_04),0,Mat02_04)</f>
        <v>0</v>
      </c>
      <c r="J957" s="203"/>
      <c r="K957" s="215"/>
      <c r="M957" s="215"/>
      <c r="N957" s="215"/>
      <c r="O957" s="215"/>
      <c r="P957" s="215"/>
      <c r="Q957" s="215"/>
      <c r="Y957" s="501"/>
      <c r="BI957" s="106"/>
      <c r="BJ957" s="106"/>
      <c r="BK957" s="106"/>
      <c r="BL957" s="106"/>
      <c r="BM957" s="106"/>
      <c r="BN957" s="106"/>
      <c r="BO957" s="106"/>
    </row>
    <row r="958" spans="2:67" ht="3" hidden="1" customHeight="1" x14ac:dyDescent="0.25">
      <c r="B958" s="215"/>
      <c r="E958" s="215"/>
      <c r="F958" s="225"/>
      <c r="G958" s="215"/>
      <c r="H958" s="252"/>
      <c r="J958" s="203"/>
      <c r="K958" s="215"/>
      <c r="M958" s="215"/>
      <c r="N958" s="215"/>
      <c r="O958" s="215"/>
      <c r="P958" s="215"/>
      <c r="Q958" s="215"/>
      <c r="Y958" s="501"/>
      <c r="BI958" s="106"/>
      <c r="BJ958" s="106"/>
      <c r="BK958" s="106"/>
      <c r="BL958" s="106"/>
      <c r="BM958" s="106"/>
      <c r="BN958" s="106"/>
      <c r="BO958" s="106"/>
    </row>
    <row r="959" spans="2:67" hidden="1" x14ac:dyDescent="0.25">
      <c r="B959" s="221"/>
      <c r="C959" s="222"/>
      <c r="D959" s="222"/>
      <c r="E959" s="221"/>
      <c r="F959" s="212" t="s">
        <v>297</v>
      </c>
      <c r="G959" s="215"/>
      <c r="H959" s="217">
        <f>(Mat02_05/Mat02_credits)*Mat02_tot</f>
        <v>0</v>
      </c>
      <c r="J959" s="203"/>
      <c r="K959" s="215"/>
      <c r="M959" s="215"/>
      <c r="N959" s="215"/>
      <c r="O959" s="215"/>
      <c r="P959" s="215"/>
      <c r="Q959" s="215"/>
      <c r="Y959" s="501"/>
      <c r="BI959" s="106"/>
      <c r="BJ959" s="106"/>
      <c r="BK959" s="106"/>
      <c r="BL959" s="106"/>
      <c r="BM959" s="106"/>
      <c r="BN959" s="106"/>
      <c r="BO959" s="106"/>
    </row>
    <row r="960" spans="2:67" ht="3" hidden="1" customHeight="1" x14ac:dyDescent="0.25">
      <c r="K960" s="215"/>
      <c r="M960" s="215"/>
      <c r="N960" s="215"/>
      <c r="O960" s="215"/>
      <c r="P960" s="215"/>
      <c r="Q960" s="215"/>
      <c r="Y960" s="501"/>
      <c r="BI960" s="106"/>
      <c r="BJ960" s="106"/>
      <c r="BK960" s="106"/>
      <c r="BL960" s="106"/>
      <c r="BM960" s="106"/>
      <c r="BN960" s="106"/>
      <c r="BO960" s="106"/>
    </row>
    <row r="961" spans="2:67" hidden="1" x14ac:dyDescent="0.25">
      <c r="B961" s="221"/>
      <c r="C961" s="222"/>
      <c r="D961" s="222"/>
      <c r="E961" s="221"/>
      <c r="F961" s="212" t="s">
        <v>298</v>
      </c>
      <c r="H961" s="216" t="s">
        <v>300</v>
      </c>
      <c r="K961" s="215"/>
      <c r="M961" s="215"/>
      <c r="N961" s="215"/>
      <c r="O961" s="215"/>
      <c r="P961" s="215"/>
      <c r="Q961" s="215"/>
      <c r="Y961" s="501"/>
      <c r="BI961" s="106"/>
      <c r="BJ961" s="106"/>
      <c r="BK961" s="106"/>
      <c r="BL961" s="106"/>
      <c r="BM961" s="106"/>
      <c r="BN961" s="106"/>
      <c r="BO961" s="106"/>
    </row>
    <row r="962" spans="2:67" ht="3" hidden="1" customHeight="1" x14ac:dyDescent="0.25">
      <c r="K962" s="215"/>
      <c r="M962" s="215"/>
      <c r="N962" s="215"/>
      <c r="O962" s="215"/>
      <c r="P962" s="215"/>
      <c r="Q962" s="215"/>
      <c r="Y962" s="501"/>
      <c r="BI962" s="106"/>
      <c r="BJ962" s="106"/>
      <c r="BK962" s="106"/>
      <c r="BL962" s="106"/>
      <c r="BM962" s="106"/>
      <c r="BN962" s="106"/>
      <c r="BO962" s="106"/>
    </row>
    <row r="963" spans="2:67" hidden="1" x14ac:dyDescent="0.25">
      <c r="B963" s="221"/>
      <c r="C963" s="222"/>
      <c r="D963" s="221"/>
      <c r="E963" s="221"/>
      <c r="F963" s="212" t="s">
        <v>299</v>
      </c>
      <c r="H963" s="216" t="s">
        <v>300</v>
      </c>
      <c r="K963" s="215"/>
      <c r="M963" s="215"/>
      <c r="N963" s="215"/>
      <c r="O963" s="215"/>
      <c r="P963" s="215"/>
      <c r="Q963" s="215"/>
      <c r="Y963" s="501"/>
      <c r="BI963" s="106"/>
      <c r="BJ963" s="106"/>
      <c r="BK963" s="106"/>
      <c r="BL963" s="106"/>
      <c r="BM963" s="106"/>
      <c r="BN963" s="106"/>
      <c r="BO963" s="106"/>
    </row>
    <row r="964" spans="2:67" hidden="1" x14ac:dyDescent="0.25">
      <c r="M964" s="215"/>
      <c r="N964" s="215"/>
      <c r="O964" s="215"/>
      <c r="P964" s="215"/>
      <c r="Q964" s="215"/>
      <c r="Y964" s="501"/>
      <c r="BI964" s="106"/>
      <c r="BJ964" s="106"/>
      <c r="BK964" s="106"/>
      <c r="BL964" s="106"/>
      <c r="BM964" s="106"/>
      <c r="BN964" s="106"/>
      <c r="BO964" s="106"/>
    </row>
    <row r="965" spans="2:67" hidden="1" x14ac:dyDescent="0.25">
      <c r="B965" s="235" t="s">
        <v>301</v>
      </c>
      <c r="C965" s="215"/>
      <c r="D965" s="215"/>
      <c r="E965" s="215"/>
      <c r="F965" s="225"/>
      <c r="G965" s="215"/>
      <c r="H965" s="215"/>
      <c r="I965" s="215"/>
      <c r="J965" s="215"/>
      <c r="K965" s="215"/>
      <c r="L965" s="215"/>
      <c r="M965" s="215"/>
      <c r="N965" s="215"/>
      <c r="O965" s="215"/>
      <c r="P965" s="215"/>
      <c r="Q965" s="215"/>
      <c r="Y965" s="501"/>
      <c r="BI965" s="106"/>
      <c r="BJ965" s="106"/>
      <c r="BK965" s="106"/>
      <c r="BL965" s="106"/>
      <c r="BM965" s="106"/>
      <c r="BN965" s="106"/>
      <c r="BO965" s="106"/>
    </row>
    <row r="966" spans="2:67" ht="159.94999999999999" hidden="1" customHeight="1" x14ac:dyDescent="0.25">
      <c r="B966" s="736"/>
      <c r="C966" s="737"/>
      <c r="D966" s="737"/>
      <c r="E966" s="737"/>
      <c r="F966" s="737"/>
      <c r="G966" s="737"/>
      <c r="H966" s="737"/>
      <c r="I966" s="737"/>
      <c r="J966" s="737"/>
      <c r="K966" s="737"/>
      <c r="L966" s="737"/>
      <c r="M966" s="737"/>
      <c r="N966" s="737"/>
      <c r="O966" s="737"/>
      <c r="P966" s="738"/>
      <c r="Q966" s="416"/>
      <c r="Y966" s="501"/>
      <c r="BI966" s="106"/>
      <c r="BJ966" s="106"/>
      <c r="BK966" s="106"/>
      <c r="BL966" s="106"/>
      <c r="BM966" s="106"/>
      <c r="BN966" s="106"/>
      <c r="BO966" s="106"/>
    </row>
    <row r="967" spans="2:67" ht="36" customHeight="1" x14ac:dyDescent="0.25">
      <c r="B967" s="27" t="s">
        <v>563</v>
      </c>
      <c r="C967" s="13"/>
      <c r="D967" s="236"/>
      <c r="E967" s="237"/>
      <c r="F967" s="237"/>
      <c r="G967" s="237"/>
      <c r="H967" s="237"/>
      <c r="I967" s="237"/>
      <c r="J967" s="237"/>
      <c r="K967" s="237"/>
      <c r="L967" s="237"/>
      <c r="M967" s="237"/>
      <c r="N967" s="237"/>
      <c r="O967" s="237"/>
      <c r="P967" s="237"/>
      <c r="Q967" s="215"/>
      <c r="Y967" s="501"/>
      <c r="BI967" s="106"/>
      <c r="BJ967" s="106"/>
      <c r="BK967" s="106"/>
      <c r="BL967" s="106"/>
      <c r="BM967" s="106"/>
      <c r="BN967" s="106"/>
      <c r="BO967" s="106"/>
    </row>
    <row r="968" spans="2:67" x14ac:dyDescent="0.25">
      <c r="B968" s="215"/>
      <c r="C968" s="215"/>
      <c r="D968" s="215"/>
      <c r="E968" s="215"/>
      <c r="F968" s="215"/>
      <c r="G968" s="215"/>
      <c r="H968" s="215"/>
      <c r="I968" s="215"/>
      <c r="J968" s="215"/>
      <c r="K968" s="215"/>
      <c r="L968" s="215"/>
      <c r="M968" s="215"/>
      <c r="N968" s="215"/>
      <c r="O968" s="215"/>
      <c r="P968" s="215"/>
      <c r="Q968" s="215"/>
      <c r="Y968" s="501"/>
      <c r="BI968" s="106"/>
      <c r="BJ968" s="106"/>
      <c r="BK968" s="106"/>
      <c r="BL968" s="106"/>
      <c r="BM968" s="106"/>
      <c r="BN968" s="106"/>
      <c r="BO968" s="106"/>
    </row>
    <row r="969" spans="2:67" x14ac:dyDescent="0.25">
      <c r="B969" s="222"/>
      <c r="C969" s="222"/>
      <c r="D969" s="221"/>
      <c r="E969" s="221"/>
      <c r="F969" s="212" t="s">
        <v>284</v>
      </c>
      <c r="G969" s="215"/>
      <c r="H969" s="216">
        <v>4</v>
      </c>
      <c r="J969" s="222"/>
      <c r="K969" s="222"/>
      <c r="L969" s="222"/>
      <c r="M969" s="222"/>
      <c r="N969" s="212" t="s">
        <v>285</v>
      </c>
      <c r="P969" s="217">
        <f>(BP_38/BP_06)*Mat03_credits</f>
        <v>0</v>
      </c>
      <c r="Q969" s="217"/>
      <c r="R969" s="209" t="s">
        <v>564</v>
      </c>
      <c r="Y969" s="501"/>
      <c r="BI969" s="106"/>
      <c r="BJ969" s="106"/>
      <c r="BK969" s="106"/>
      <c r="BL969" s="106"/>
      <c r="BM969" s="106"/>
      <c r="BN969" s="106"/>
      <c r="BO969" s="106"/>
    </row>
    <row r="970" spans="2:67" ht="3.75" customHeight="1" x14ac:dyDescent="0.25">
      <c r="Y970" s="501"/>
      <c r="BI970" s="106"/>
      <c r="BJ970" s="106"/>
      <c r="BK970" s="106"/>
      <c r="BL970" s="106"/>
      <c r="BM970" s="106"/>
      <c r="BN970" s="106"/>
      <c r="BO970" s="106"/>
    </row>
    <row r="971" spans="2:67" x14ac:dyDescent="0.25">
      <c r="B971" s="222"/>
      <c r="C971" s="222"/>
      <c r="D971" s="221"/>
      <c r="E971" s="221"/>
      <c r="F971" s="212" t="s">
        <v>286</v>
      </c>
      <c r="G971" s="215"/>
      <c r="H971" s="216">
        <v>1</v>
      </c>
      <c r="J971" s="221"/>
      <c r="K971" s="221"/>
      <c r="L971" s="221"/>
      <c r="M971" s="221"/>
      <c r="N971" s="212" t="s">
        <v>287</v>
      </c>
      <c r="O971" s="215"/>
      <c r="P971" s="216" t="s">
        <v>121</v>
      </c>
      <c r="Q971" s="216"/>
      <c r="Y971" s="501"/>
      <c r="BI971" s="106"/>
      <c r="BJ971" s="106"/>
      <c r="BK971" s="106"/>
      <c r="BL971" s="106"/>
      <c r="BM971" s="106"/>
      <c r="BN971" s="106"/>
      <c r="BO971" s="106"/>
    </row>
    <row r="972" spans="2:67" ht="47.25" customHeight="1" x14ac:dyDescent="0.25">
      <c r="B972" s="238" t="s">
        <v>288</v>
      </c>
      <c r="C972" s="203"/>
      <c r="D972" s="203"/>
      <c r="E972" s="203"/>
      <c r="F972" s="203"/>
      <c r="G972" s="203"/>
      <c r="H972" s="203"/>
      <c r="I972" s="203"/>
      <c r="J972" s="242" t="s">
        <v>480</v>
      </c>
      <c r="K972" s="203"/>
      <c r="L972" s="242" t="s">
        <v>290</v>
      </c>
      <c r="N972" s="242" t="s">
        <v>291</v>
      </c>
      <c r="P972" s="242"/>
      <c r="Q972" s="242"/>
      <c r="Y972" s="501"/>
      <c r="BI972" s="106"/>
      <c r="BJ972" s="106"/>
      <c r="BK972" s="106"/>
      <c r="BL972" s="106"/>
      <c r="BM972" s="106"/>
      <c r="BN972" s="106"/>
      <c r="BO972" s="106"/>
    </row>
    <row r="973" spans="2:67" ht="3" customHeight="1" x14ac:dyDescent="0.25">
      <c r="B973" s="238"/>
      <c r="C973" s="203"/>
      <c r="D973" s="203"/>
      <c r="E973" s="203"/>
      <c r="F973" s="203"/>
      <c r="G973" s="203"/>
      <c r="H973" s="203"/>
      <c r="I973" s="203"/>
      <c r="J973" s="203"/>
      <c r="K973" s="203"/>
      <c r="L973" s="242"/>
      <c r="N973" s="242"/>
      <c r="P973" s="242"/>
      <c r="Q973" s="242"/>
      <c r="Y973" s="501"/>
      <c r="BI973" s="106"/>
      <c r="BJ973" s="106"/>
      <c r="BK973" s="106"/>
      <c r="BL973" s="106"/>
      <c r="BM973" s="106"/>
      <c r="BN973" s="106"/>
      <c r="BO973" s="106"/>
    </row>
    <row r="974" spans="2:67" ht="15.75" customHeight="1" x14ac:dyDescent="0.25">
      <c r="B974" s="812" t="s">
        <v>565</v>
      </c>
      <c r="C974" s="812"/>
      <c r="D974" s="812"/>
      <c r="E974" s="812"/>
      <c r="F974" s="812"/>
      <c r="G974" s="812"/>
      <c r="H974" s="812"/>
      <c r="J974" s="223"/>
      <c r="K974" s="203"/>
      <c r="L974" s="203" t="s">
        <v>566</v>
      </c>
      <c r="M974" s="203"/>
      <c r="N974" s="203"/>
      <c r="O974" s="203"/>
      <c r="P974" s="203"/>
      <c r="Q974" s="203"/>
      <c r="Y974" s="501"/>
      <c r="BI974" s="106"/>
      <c r="BJ974" s="106"/>
      <c r="BK974" s="106"/>
      <c r="BL974" s="106"/>
      <c r="BM974" s="106"/>
      <c r="BN974" s="106"/>
      <c r="BO974" s="106"/>
    </row>
    <row r="975" spans="2:67" ht="15.75" customHeight="1" x14ac:dyDescent="0.25">
      <c r="B975" s="812" t="s">
        <v>567</v>
      </c>
      <c r="C975" s="812"/>
      <c r="D975" s="812"/>
      <c r="E975" s="812"/>
      <c r="F975" s="812"/>
      <c r="G975" s="812"/>
      <c r="H975" s="812"/>
      <c r="J975" s="223"/>
      <c r="K975" s="203"/>
      <c r="L975" s="203" t="s">
        <v>568</v>
      </c>
      <c r="M975" s="203"/>
      <c r="N975" s="203"/>
      <c r="O975" s="203"/>
      <c r="P975" s="203"/>
      <c r="Q975" s="203"/>
      <c r="Y975" s="501"/>
      <c r="BI975" s="106"/>
      <c r="BJ975" s="106"/>
      <c r="BK975" s="106"/>
      <c r="BL975" s="106"/>
      <c r="BM975" s="106"/>
      <c r="BN975" s="106"/>
      <c r="BO975" s="106"/>
    </row>
    <row r="976" spans="2:67" x14ac:dyDescent="0.25">
      <c r="B976" s="221"/>
      <c r="C976" s="221"/>
      <c r="D976" s="221"/>
      <c r="E976" s="221"/>
      <c r="F976" s="212"/>
      <c r="G976" s="221"/>
      <c r="H976" s="212" t="s">
        <v>569</v>
      </c>
      <c r="J976" s="223"/>
      <c r="L976" s="224">
        <v>1</v>
      </c>
      <c r="M976" s="215"/>
      <c r="N976" s="270">
        <f>IF(OR(Mat03_06&lt;&gt;AIS_Yes,J975&lt;&gt;AIS_Yes),0,IF(J976=AIS_Yes,L976,0))</f>
        <v>0</v>
      </c>
      <c r="Y976" s="501"/>
      <c r="BI976" s="106"/>
      <c r="BJ976" s="106"/>
      <c r="BK976" s="106"/>
      <c r="BL976" s="106"/>
      <c r="BM976" s="106"/>
      <c r="BN976" s="106"/>
      <c r="BO976" s="106"/>
    </row>
    <row r="977" spans="2:67" x14ac:dyDescent="0.25">
      <c r="B977" s="221"/>
      <c r="C977" s="221"/>
      <c r="D977" s="221"/>
      <c r="E977" s="221"/>
      <c r="F977" s="212"/>
      <c r="G977" s="221"/>
      <c r="H977" s="212" t="s">
        <v>570</v>
      </c>
      <c r="J977" s="267"/>
      <c r="K977" s="215"/>
      <c r="L977" s="224">
        <v>3</v>
      </c>
      <c r="M977" s="215"/>
      <c r="N977" s="270">
        <f>IF(OR(Mat03_06&lt;&gt;AIS_Yes,J975&lt;&gt;AIS_Yes),0,VLOOKUP(Mat03_03,Mat03_credit_benchmarks,2,TRUE))</f>
        <v>0</v>
      </c>
      <c r="O977" s="215"/>
      <c r="P977" s="252"/>
      <c r="Q977" s="252"/>
      <c r="Y977" s="501"/>
      <c r="BI977" s="106"/>
      <c r="BJ977" s="106"/>
      <c r="BK977" s="106"/>
      <c r="BL977" s="106"/>
      <c r="BM977" s="106"/>
      <c r="BN977" s="106"/>
      <c r="BO977" s="106"/>
    </row>
    <row r="978" spans="2:67" x14ac:dyDescent="0.25">
      <c r="B978" s="3"/>
      <c r="C978" s="3"/>
      <c r="D978" s="3"/>
      <c r="E978" s="3"/>
      <c r="F978" s="3"/>
      <c r="G978" s="3"/>
      <c r="H978" s="3"/>
      <c r="I978" s="3"/>
      <c r="J978" s="3"/>
      <c r="K978" s="3"/>
      <c r="L978" s="3"/>
      <c r="M978" s="3"/>
      <c r="N978" s="3"/>
      <c r="O978" s="3"/>
      <c r="P978" s="252"/>
      <c r="Q978" s="252"/>
      <c r="Y978" s="501"/>
      <c r="BI978" s="106"/>
      <c r="BJ978" s="106"/>
      <c r="BK978" s="106"/>
      <c r="BL978" s="106"/>
      <c r="BM978" s="106"/>
      <c r="BN978" s="106"/>
      <c r="BO978" s="106"/>
    </row>
    <row r="979" spans="2:67" x14ac:dyDescent="0.25">
      <c r="B979" s="221"/>
      <c r="C979" s="221"/>
      <c r="D979" s="221"/>
      <c r="E979" s="221"/>
      <c r="F979" s="212"/>
      <c r="G979" s="221"/>
      <c r="H979" s="212" t="s">
        <v>571</v>
      </c>
      <c r="J979" s="834" t="s">
        <v>488</v>
      </c>
      <c r="K979" s="835"/>
      <c r="L979" s="835"/>
      <c r="M979" s="835"/>
      <c r="N979" s="836"/>
      <c r="O979" s="475"/>
      <c r="P979" s="252"/>
      <c r="Q979" s="252"/>
      <c r="Y979" s="501"/>
      <c r="BI979" s="106"/>
      <c r="BJ979" s="106"/>
      <c r="BK979" s="106"/>
      <c r="BL979" s="106"/>
      <c r="BM979" s="106"/>
      <c r="BN979" s="106"/>
      <c r="BO979" s="106"/>
    </row>
    <row r="980" spans="2:67" x14ac:dyDescent="0.25">
      <c r="L980" s="3"/>
      <c r="Y980" s="501"/>
      <c r="BI980" s="106"/>
      <c r="BJ980" s="106"/>
      <c r="BK980" s="106"/>
      <c r="BL980" s="106"/>
      <c r="BM980" s="106"/>
      <c r="BN980" s="106"/>
      <c r="BO980" s="106"/>
    </row>
    <row r="981" spans="2:67" x14ac:dyDescent="0.25">
      <c r="B981" s="221"/>
      <c r="C981" s="222"/>
      <c r="D981" s="222"/>
      <c r="E981" s="221"/>
      <c r="F981" s="212" t="s">
        <v>296</v>
      </c>
      <c r="G981" s="215"/>
      <c r="H981" s="216">
        <f>IF(ISERROR(Mat03_05),0,Mat03_05+N976)</f>
        <v>0</v>
      </c>
      <c r="J981" s="203"/>
      <c r="K981" s="215"/>
      <c r="L981" s="3"/>
      <c r="M981" s="215"/>
      <c r="N981" s="215"/>
      <c r="O981" s="215"/>
      <c r="P981" s="215"/>
      <c r="Q981" s="215"/>
      <c r="Y981" s="501"/>
      <c r="BI981" s="106"/>
      <c r="BJ981" s="106"/>
      <c r="BK981" s="106"/>
      <c r="BL981" s="106"/>
      <c r="BM981" s="106"/>
      <c r="BN981" s="106"/>
      <c r="BO981" s="106"/>
    </row>
    <row r="982" spans="2:67" ht="3" customHeight="1" x14ac:dyDescent="0.25">
      <c r="B982" s="215"/>
      <c r="E982" s="215"/>
      <c r="F982" s="225"/>
      <c r="G982" s="215"/>
      <c r="H982" s="252"/>
      <c r="J982" s="203"/>
      <c r="K982" s="215"/>
      <c r="L982" s="3"/>
      <c r="M982" s="215"/>
      <c r="N982" s="215"/>
      <c r="O982" s="215"/>
      <c r="P982" s="215"/>
      <c r="Q982" s="215"/>
      <c r="Y982" s="501"/>
      <c r="BI982" s="106"/>
      <c r="BJ982" s="106"/>
      <c r="BK982" s="106"/>
      <c r="BL982" s="106"/>
      <c r="BM982" s="106"/>
      <c r="BN982" s="106"/>
      <c r="BO982" s="106"/>
    </row>
    <row r="983" spans="2:67" x14ac:dyDescent="0.25">
      <c r="B983" s="221"/>
      <c r="C983" s="222"/>
      <c r="D983" s="222"/>
      <c r="E983" s="221"/>
      <c r="F983" s="212" t="s">
        <v>297</v>
      </c>
      <c r="G983" s="215"/>
      <c r="H983" s="217">
        <f>(Mat03_37/Mat03_credits)*Mat03_tot</f>
        <v>0</v>
      </c>
      <c r="J983" s="203"/>
      <c r="K983" s="215"/>
      <c r="M983" s="215"/>
      <c r="N983" s="215"/>
      <c r="O983" s="215"/>
      <c r="P983" s="215"/>
      <c r="Q983" s="215"/>
      <c r="Y983" s="501"/>
      <c r="BI983" s="106"/>
      <c r="BJ983" s="106"/>
      <c r="BK983" s="106"/>
      <c r="BL983" s="106"/>
      <c r="BM983" s="106"/>
      <c r="BN983" s="106"/>
      <c r="BO983" s="106"/>
    </row>
    <row r="984" spans="2:67" ht="3" customHeight="1" x14ac:dyDescent="0.25">
      <c r="K984" s="215"/>
      <c r="M984" s="215"/>
      <c r="N984" s="215"/>
      <c r="O984" s="215"/>
      <c r="P984" s="215"/>
      <c r="Q984" s="215"/>
      <c r="Y984" s="501"/>
      <c r="BI984" s="106"/>
      <c r="BJ984" s="106"/>
      <c r="BK984" s="106"/>
      <c r="BL984" s="106"/>
      <c r="BM984" s="106"/>
      <c r="BN984" s="106"/>
      <c r="BO984" s="106"/>
    </row>
    <row r="985" spans="2:67" x14ac:dyDescent="0.25">
      <c r="B985" s="221"/>
      <c r="C985" s="222"/>
      <c r="D985" s="222"/>
      <c r="E985" s="221"/>
      <c r="F985" s="212" t="s">
        <v>298</v>
      </c>
      <c r="H985" s="216">
        <f>IF(OR(Mat03_03=AIS_No,Mat03_03=AIS_Error),0,IF(Mat03_03&gt;=Mat03_exemp,Mat03_02,0))</f>
        <v>0</v>
      </c>
      <c r="K985" s="215"/>
      <c r="M985" s="215"/>
      <c r="N985" s="215"/>
      <c r="O985" s="215"/>
      <c r="P985" s="215"/>
      <c r="Q985" s="215"/>
      <c r="Y985" s="501"/>
      <c r="BI985" s="106"/>
      <c r="BJ985" s="106"/>
      <c r="BK985" s="106"/>
      <c r="BL985" s="106"/>
      <c r="BM985" s="106"/>
      <c r="BN985" s="106"/>
      <c r="BO985" s="106"/>
    </row>
    <row r="986" spans="2:67" ht="3" customHeight="1" x14ac:dyDescent="0.25">
      <c r="K986" s="215"/>
      <c r="M986" s="215"/>
      <c r="N986" s="215"/>
      <c r="O986" s="215"/>
      <c r="P986" s="215"/>
      <c r="Q986" s="215"/>
      <c r="Y986" s="501"/>
      <c r="BI986" s="106"/>
      <c r="BJ986" s="106"/>
      <c r="BK986" s="106"/>
      <c r="BL986" s="106"/>
      <c r="BM986" s="106"/>
      <c r="BN986" s="106"/>
      <c r="BO986" s="106"/>
    </row>
    <row r="987" spans="2:67" x14ac:dyDescent="0.25">
      <c r="B987" s="221"/>
      <c r="C987" s="222"/>
      <c r="D987" s="221"/>
      <c r="E987" s="221"/>
      <c r="F987" s="212" t="s">
        <v>299</v>
      </c>
      <c r="H987" s="226" t="str">
        <f>VLOOKUP(MinSt_11,AIS_MinSt_benchmarks,2,FALSE)</f>
        <v>Minimum standards not met for certification</v>
      </c>
      <c r="I987" s="227"/>
      <c r="J987" s="227"/>
      <c r="K987" s="227"/>
      <c r="L987" s="227"/>
      <c r="M987" s="227"/>
      <c r="N987" s="227"/>
      <c r="O987" s="215"/>
      <c r="P987" s="215"/>
      <c r="Q987" s="215"/>
      <c r="Y987" s="501"/>
      <c r="BI987" s="106"/>
      <c r="BJ987" s="106"/>
      <c r="BK987" s="106"/>
      <c r="BL987" s="106"/>
      <c r="BM987" s="106"/>
      <c r="BN987" s="106"/>
      <c r="BO987" s="106"/>
    </row>
    <row r="988" spans="2:67" x14ac:dyDescent="0.25">
      <c r="M988" s="215"/>
      <c r="N988" s="215"/>
      <c r="O988" s="215"/>
      <c r="P988" s="215"/>
      <c r="Q988" s="215"/>
      <c r="Y988" s="501"/>
      <c r="BI988" s="106"/>
      <c r="BJ988" s="106"/>
      <c r="BK988" s="106"/>
      <c r="BL988" s="106"/>
      <c r="BM988" s="106"/>
      <c r="BN988" s="106"/>
      <c r="BO988" s="106"/>
    </row>
    <row r="989" spans="2:67" x14ac:dyDescent="0.25">
      <c r="B989" s="235" t="s">
        <v>301</v>
      </c>
      <c r="C989" s="215"/>
      <c r="D989" s="215"/>
      <c r="E989" s="215"/>
      <c r="F989" s="225"/>
      <c r="G989" s="215"/>
      <c r="H989" s="215"/>
      <c r="I989" s="215"/>
      <c r="J989" s="215"/>
      <c r="K989" s="215"/>
      <c r="L989" s="215"/>
      <c r="M989" s="215"/>
      <c r="N989" s="215"/>
      <c r="O989" s="215"/>
      <c r="P989" s="215"/>
      <c r="Q989" s="215"/>
      <c r="Y989" s="501"/>
      <c r="BI989" s="106"/>
      <c r="BJ989" s="106"/>
      <c r="BK989" s="106"/>
      <c r="BL989" s="106"/>
      <c r="BM989" s="106"/>
      <c r="BN989" s="106"/>
      <c r="BO989" s="106"/>
    </row>
    <row r="990" spans="2:67" ht="159.94999999999999" customHeight="1" x14ac:dyDescent="0.25">
      <c r="B990" s="736"/>
      <c r="C990" s="737"/>
      <c r="D990" s="737"/>
      <c r="E990" s="737"/>
      <c r="F990" s="737"/>
      <c r="G990" s="737"/>
      <c r="H990" s="737"/>
      <c r="I990" s="737"/>
      <c r="J990" s="737"/>
      <c r="K990" s="737"/>
      <c r="L990" s="737"/>
      <c r="M990" s="737"/>
      <c r="N990" s="737"/>
      <c r="O990" s="737"/>
      <c r="P990" s="738"/>
      <c r="Q990" s="416"/>
      <c r="Y990" s="501"/>
      <c r="BI990" s="106"/>
      <c r="BJ990" s="106"/>
      <c r="BK990" s="106"/>
      <c r="BL990" s="106"/>
      <c r="BM990" s="106"/>
      <c r="BN990" s="106"/>
      <c r="BO990" s="106"/>
    </row>
    <row r="991" spans="2:67" ht="36" hidden="1" customHeight="1" x14ac:dyDescent="0.25">
      <c r="B991" s="27" t="s">
        <v>572</v>
      </c>
      <c r="C991" s="13"/>
      <c r="D991" s="236"/>
      <c r="E991" s="237"/>
      <c r="F991" s="237"/>
      <c r="G991" s="237"/>
      <c r="H991" s="237"/>
      <c r="I991" s="237"/>
      <c r="J991" s="237"/>
      <c r="K991" s="237"/>
      <c r="L991" s="237"/>
      <c r="M991" s="237"/>
      <c r="N991" s="237"/>
      <c r="O991" s="237"/>
      <c r="P991" s="237"/>
      <c r="Q991" s="215"/>
      <c r="Y991" s="501"/>
      <c r="BI991" s="106"/>
      <c r="BJ991" s="106"/>
      <c r="BK991" s="106"/>
      <c r="BL991" s="106"/>
      <c r="BM991" s="106"/>
      <c r="BN991" s="106"/>
      <c r="BO991" s="106"/>
    </row>
    <row r="992" spans="2:67" hidden="1" x14ac:dyDescent="0.25">
      <c r="B992" s="215"/>
      <c r="C992" s="215"/>
      <c r="D992" s="215"/>
      <c r="E992" s="215"/>
      <c r="F992" s="215"/>
      <c r="G992" s="215"/>
      <c r="H992" s="215"/>
      <c r="I992" s="215"/>
      <c r="J992" s="215"/>
      <c r="K992" s="215"/>
      <c r="L992" s="215"/>
      <c r="M992" s="215"/>
      <c r="N992" s="215"/>
      <c r="O992" s="215"/>
      <c r="P992" s="215"/>
      <c r="Q992" s="215"/>
      <c r="Y992" s="501"/>
      <c r="BI992" s="106"/>
      <c r="BJ992" s="106"/>
      <c r="BK992" s="106"/>
      <c r="BL992" s="106"/>
      <c r="BM992" s="106"/>
      <c r="BN992" s="106"/>
      <c r="BO992" s="106"/>
    </row>
    <row r="993" spans="2:67" hidden="1" x14ac:dyDescent="0.25">
      <c r="B993" s="222"/>
      <c r="C993" s="222"/>
      <c r="D993" s="221"/>
      <c r="E993" s="221"/>
      <c r="F993" s="212" t="s">
        <v>284</v>
      </c>
      <c r="G993" s="215"/>
      <c r="H993" s="216">
        <v>1</v>
      </c>
      <c r="J993" s="222"/>
      <c r="K993" s="222"/>
      <c r="L993" s="222"/>
      <c r="M993" s="222"/>
      <c r="N993" s="212" t="s">
        <v>285</v>
      </c>
      <c r="P993" s="217">
        <f>(BP_38/BP_06)*Mat04_credits</f>
        <v>0</v>
      </c>
      <c r="Q993" s="217"/>
      <c r="R993" s="209" t="s">
        <v>573</v>
      </c>
      <c r="Y993" s="501"/>
      <c r="BI993" s="106"/>
      <c r="BJ993" s="106"/>
      <c r="BK993" s="106"/>
      <c r="BL993" s="106"/>
      <c r="BM993" s="106"/>
      <c r="BN993" s="106"/>
      <c r="BO993" s="106"/>
    </row>
    <row r="994" spans="2:67" ht="3.75" hidden="1" customHeight="1" x14ac:dyDescent="0.25">
      <c r="Y994" s="501"/>
      <c r="BI994" s="106"/>
      <c r="BJ994" s="106"/>
      <c r="BK994" s="106"/>
      <c r="BL994" s="106"/>
      <c r="BM994" s="106"/>
      <c r="BN994" s="106"/>
      <c r="BO994" s="106"/>
    </row>
    <row r="995" spans="2:67" hidden="1" x14ac:dyDescent="0.25">
      <c r="B995" s="222"/>
      <c r="C995" s="222"/>
      <c r="D995" s="221"/>
      <c r="E995" s="221"/>
      <c r="F995" s="212" t="s">
        <v>286</v>
      </c>
      <c r="G995" s="215"/>
      <c r="H995" s="216">
        <v>0</v>
      </c>
      <c r="J995" s="221"/>
      <c r="K995" s="221"/>
      <c r="L995" s="221"/>
      <c r="M995" s="221"/>
      <c r="N995" s="212" t="s">
        <v>287</v>
      </c>
      <c r="O995" s="215"/>
      <c r="P995" s="216" t="s">
        <v>125</v>
      </c>
      <c r="Q995" s="216"/>
      <c r="Y995" s="501"/>
      <c r="BI995" s="106"/>
      <c r="BJ995" s="106"/>
      <c r="BK995" s="106"/>
      <c r="BL995" s="106"/>
      <c r="BM995" s="106"/>
      <c r="BN995" s="106"/>
      <c r="BO995" s="106"/>
    </row>
    <row r="996" spans="2:67" ht="47.25" hidden="1" customHeight="1" x14ac:dyDescent="0.25">
      <c r="B996" s="238" t="s">
        <v>288</v>
      </c>
      <c r="C996" s="239"/>
      <c r="D996" s="235"/>
      <c r="E996" s="239"/>
      <c r="F996" s="240"/>
      <c r="G996" s="238"/>
      <c r="H996" s="238"/>
      <c r="I996" s="238"/>
      <c r="J996" s="241"/>
      <c r="K996" s="241"/>
      <c r="L996" s="242" t="s">
        <v>290</v>
      </c>
      <c r="N996" s="242" t="s">
        <v>291</v>
      </c>
      <c r="P996" s="242"/>
      <c r="Q996" s="242"/>
      <c r="Y996" s="501"/>
      <c r="BI996" s="106"/>
      <c r="BJ996" s="106"/>
      <c r="BK996" s="106"/>
      <c r="BL996" s="106"/>
      <c r="BM996" s="106"/>
      <c r="BN996" s="106"/>
      <c r="BO996" s="106"/>
    </row>
    <row r="997" spans="2:67" ht="3" hidden="1" customHeight="1" x14ac:dyDescent="0.25">
      <c r="B997" s="215"/>
      <c r="C997" s="218"/>
      <c r="D997" s="215"/>
      <c r="E997" s="218"/>
      <c r="F997" s="244"/>
      <c r="G997" s="215"/>
      <c r="J997" s="245"/>
      <c r="K997" s="245"/>
      <c r="L997" s="215"/>
      <c r="M997" s="215"/>
      <c r="N997" s="246"/>
      <c r="O997" s="218"/>
      <c r="P997" s="246"/>
      <c r="Q997" s="246"/>
      <c r="Y997" s="501"/>
      <c r="BI997" s="106"/>
      <c r="BJ997" s="106"/>
      <c r="BK997" s="106"/>
      <c r="BL997" s="106"/>
      <c r="BM997" s="106"/>
      <c r="BN997" s="106"/>
      <c r="BO997" s="106"/>
    </row>
    <row r="998" spans="2:67" hidden="1" x14ac:dyDescent="0.25">
      <c r="B998" s="221"/>
      <c r="C998" s="221"/>
      <c r="D998" s="221"/>
      <c r="E998" s="221"/>
      <c r="F998" s="212"/>
      <c r="G998" s="221"/>
      <c r="H998" s="212" t="s">
        <v>574</v>
      </c>
      <c r="J998" s="304"/>
      <c r="K998" s="215"/>
      <c r="L998" s="224">
        <v>1</v>
      </c>
      <c r="M998" s="215"/>
      <c r="N998" s="224">
        <f>IF(AND(Mat04_01&gt;=2.5,OR(Mat04_07=AIS_option00,Mat04_07=AIS_option01,Mat04_07=AIS_option03,Mat04_07=AIS_option05)),Mat04_03,IF(AND(Mat04_01&gt;=2.5,Mat04_07=AIS_option02),Mat04_03*0.5,0))</f>
        <v>0</v>
      </c>
      <c r="O998" s="215"/>
      <c r="P998" s="400"/>
      <c r="Q998" s="400"/>
      <c r="R998" s="209" t="str">
        <f>AIS_statement63</f>
        <v>Note: An insulation index the same as or greater than 2.5 is required to achieve this credit.</v>
      </c>
      <c r="Y998" s="501"/>
      <c r="BI998" s="106"/>
      <c r="BJ998" s="106"/>
      <c r="BK998" s="106"/>
      <c r="BL998" s="106"/>
      <c r="BM998" s="106"/>
      <c r="BN998" s="106"/>
      <c r="BO998" s="106"/>
    </row>
    <row r="999" spans="2:67" hidden="1" x14ac:dyDescent="0.25">
      <c r="Y999" s="501"/>
      <c r="BI999" s="106"/>
      <c r="BJ999" s="106"/>
      <c r="BK999" s="106"/>
      <c r="BL999" s="106"/>
      <c r="BM999" s="106"/>
      <c r="BN999" s="106"/>
      <c r="BO999" s="106"/>
    </row>
    <row r="1000" spans="2:67" hidden="1" x14ac:dyDescent="0.25">
      <c r="B1000" s="221"/>
      <c r="C1000" s="222"/>
      <c r="D1000" s="222"/>
      <c r="E1000" s="221"/>
      <c r="F1000" s="212" t="s">
        <v>296</v>
      </c>
      <c r="G1000" s="215"/>
      <c r="H1000" s="216">
        <f>IF(ISERROR(Mat04_05),0,Mat04_05)</f>
        <v>0</v>
      </c>
      <c r="J1000" s="203"/>
      <c r="K1000" s="215"/>
      <c r="M1000" s="215"/>
      <c r="N1000" s="215"/>
      <c r="O1000" s="215"/>
      <c r="P1000" s="215"/>
      <c r="Q1000" s="215"/>
      <c r="Y1000" s="501"/>
      <c r="BI1000" s="106"/>
      <c r="BJ1000" s="106"/>
      <c r="BK1000" s="106"/>
      <c r="BL1000" s="106"/>
      <c r="BM1000" s="106"/>
      <c r="BN1000" s="106"/>
      <c r="BO1000" s="106"/>
    </row>
    <row r="1001" spans="2:67" ht="3" hidden="1" customHeight="1" x14ac:dyDescent="0.25">
      <c r="B1001" s="215"/>
      <c r="E1001" s="215"/>
      <c r="F1001" s="225"/>
      <c r="G1001" s="215"/>
      <c r="H1001" s="252"/>
      <c r="J1001" s="203"/>
      <c r="K1001" s="215"/>
      <c r="M1001" s="215"/>
      <c r="N1001" s="215"/>
      <c r="O1001" s="215"/>
      <c r="P1001" s="215"/>
      <c r="Q1001" s="215"/>
      <c r="Y1001" s="501"/>
      <c r="BI1001" s="106"/>
      <c r="BJ1001" s="106"/>
      <c r="BK1001" s="106"/>
      <c r="BL1001" s="106"/>
      <c r="BM1001" s="106"/>
      <c r="BN1001" s="106"/>
      <c r="BO1001" s="106"/>
    </row>
    <row r="1002" spans="2:67" hidden="1" x14ac:dyDescent="0.25">
      <c r="B1002" s="221"/>
      <c r="C1002" s="222"/>
      <c r="D1002" s="222"/>
      <c r="E1002" s="221"/>
      <c r="F1002" s="212" t="s">
        <v>297</v>
      </c>
      <c r="G1002" s="215"/>
      <c r="H1002" s="217">
        <f>(Mat04_09/Mat04_credits)*Mat04_tot</f>
        <v>0</v>
      </c>
      <c r="J1002" s="203"/>
      <c r="K1002" s="215"/>
      <c r="M1002" s="215"/>
      <c r="N1002" s="215"/>
      <c r="O1002" s="215"/>
      <c r="P1002" s="215"/>
      <c r="Q1002" s="215"/>
      <c r="Y1002" s="501"/>
      <c r="BI1002" s="106"/>
      <c r="BJ1002" s="106"/>
      <c r="BK1002" s="106"/>
      <c r="BL1002" s="106"/>
      <c r="BM1002" s="106"/>
      <c r="BN1002" s="106"/>
      <c r="BO1002" s="106"/>
    </row>
    <row r="1003" spans="2:67" ht="3" hidden="1" customHeight="1" x14ac:dyDescent="0.25">
      <c r="K1003" s="215"/>
      <c r="M1003" s="215"/>
      <c r="N1003" s="215"/>
      <c r="O1003" s="215"/>
      <c r="P1003" s="215"/>
      <c r="Q1003" s="215"/>
      <c r="Y1003" s="501"/>
      <c r="BI1003" s="106"/>
      <c r="BJ1003" s="106"/>
      <c r="BK1003" s="106"/>
      <c r="BL1003" s="106"/>
      <c r="BM1003" s="106"/>
      <c r="BN1003" s="106"/>
      <c r="BO1003" s="106"/>
    </row>
    <row r="1004" spans="2:67" hidden="1" x14ac:dyDescent="0.25">
      <c r="B1004" s="221"/>
      <c r="C1004" s="222"/>
      <c r="D1004" s="222"/>
      <c r="E1004" s="221"/>
      <c r="F1004" s="212" t="s">
        <v>298</v>
      </c>
      <c r="H1004" s="216" t="s">
        <v>300</v>
      </c>
      <c r="K1004" s="215"/>
      <c r="M1004" s="215"/>
      <c r="N1004" s="215"/>
      <c r="O1004" s="215"/>
      <c r="P1004" s="215"/>
      <c r="Q1004" s="215"/>
      <c r="Y1004" s="501"/>
      <c r="BI1004" s="106"/>
      <c r="BJ1004" s="106"/>
      <c r="BK1004" s="106"/>
      <c r="BL1004" s="106"/>
      <c r="BM1004" s="106"/>
      <c r="BN1004" s="106"/>
      <c r="BO1004" s="106"/>
    </row>
    <row r="1005" spans="2:67" ht="3" hidden="1" customHeight="1" x14ac:dyDescent="0.25">
      <c r="K1005" s="215"/>
      <c r="M1005" s="215"/>
      <c r="N1005" s="215"/>
      <c r="O1005" s="215"/>
      <c r="P1005" s="215"/>
      <c r="Q1005" s="215"/>
      <c r="Y1005" s="501"/>
      <c r="BI1005" s="106"/>
      <c r="BJ1005" s="106"/>
      <c r="BK1005" s="106"/>
      <c r="BL1005" s="106"/>
      <c r="BM1005" s="106"/>
      <c r="BN1005" s="106"/>
      <c r="BO1005" s="106"/>
    </row>
    <row r="1006" spans="2:67" hidden="1" x14ac:dyDescent="0.25">
      <c r="B1006" s="221"/>
      <c r="C1006" s="222"/>
      <c r="D1006" s="221"/>
      <c r="E1006" s="221"/>
      <c r="F1006" s="212" t="s">
        <v>299</v>
      </c>
      <c r="H1006" s="216" t="s">
        <v>300</v>
      </c>
      <c r="K1006" s="215"/>
      <c r="M1006" s="215"/>
      <c r="N1006" s="215"/>
      <c r="O1006" s="215"/>
      <c r="P1006" s="215"/>
      <c r="Q1006" s="215"/>
      <c r="Y1006" s="501"/>
      <c r="BI1006" s="106"/>
      <c r="BJ1006" s="106"/>
      <c r="BK1006" s="106"/>
      <c r="BL1006" s="106"/>
      <c r="BM1006" s="106"/>
      <c r="BN1006" s="106"/>
      <c r="BO1006" s="106"/>
    </row>
    <row r="1007" spans="2:67" hidden="1" x14ac:dyDescent="0.25">
      <c r="M1007" s="215"/>
      <c r="N1007" s="215"/>
      <c r="O1007" s="215"/>
      <c r="P1007" s="215"/>
      <c r="Q1007" s="215"/>
      <c r="Y1007" s="501"/>
      <c r="BI1007" s="106"/>
      <c r="BJ1007" s="106"/>
      <c r="BK1007" s="106"/>
      <c r="BL1007" s="106"/>
      <c r="BM1007" s="106"/>
      <c r="BN1007" s="106"/>
      <c r="BO1007" s="106"/>
    </row>
    <row r="1008" spans="2:67" hidden="1" x14ac:dyDescent="0.25">
      <c r="B1008" s="235" t="s">
        <v>301</v>
      </c>
      <c r="C1008" s="215"/>
      <c r="D1008" s="215"/>
      <c r="E1008" s="215"/>
      <c r="F1008" s="225"/>
      <c r="G1008" s="215"/>
      <c r="H1008" s="215"/>
      <c r="I1008" s="215"/>
      <c r="J1008" s="215"/>
      <c r="K1008" s="215"/>
      <c r="L1008" s="215"/>
      <c r="M1008" s="215"/>
      <c r="N1008" s="215"/>
      <c r="O1008" s="215"/>
      <c r="P1008" s="215"/>
      <c r="Q1008" s="215"/>
      <c r="Y1008" s="501"/>
      <c r="BI1008" s="106"/>
      <c r="BJ1008" s="106"/>
      <c r="BK1008" s="106"/>
      <c r="BL1008" s="106"/>
      <c r="BM1008" s="106"/>
      <c r="BN1008" s="106"/>
      <c r="BO1008" s="106"/>
    </row>
    <row r="1009" spans="1:67" ht="159.94999999999999" hidden="1" customHeight="1" x14ac:dyDescent="0.25">
      <c r="B1009" s="736"/>
      <c r="C1009" s="737"/>
      <c r="D1009" s="737"/>
      <c r="E1009" s="737"/>
      <c r="F1009" s="737"/>
      <c r="G1009" s="737"/>
      <c r="H1009" s="737"/>
      <c r="I1009" s="737"/>
      <c r="J1009" s="737"/>
      <c r="K1009" s="737"/>
      <c r="L1009" s="737"/>
      <c r="M1009" s="737"/>
      <c r="N1009" s="737"/>
      <c r="O1009" s="737"/>
      <c r="P1009" s="738"/>
      <c r="Q1009" s="416"/>
      <c r="Y1009" s="501"/>
      <c r="BI1009" s="106"/>
      <c r="BJ1009" s="106"/>
      <c r="BK1009" s="106"/>
      <c r="BL1009" s="106"/>
      <c r="BM1009" s="106"/>
      <c r="BN1009" s="106"/>
      <c r="BO1009" s="106"/>
    </row>
    <row r="1010" spans="1:67" ht="15.75" customHeight="1" x14ac:dyDescent="0.25">
      <c r="A1010" s="209"/>
      <c r="B1010" s="209"/>
      <c r="C1010" s="209"/>
      <c r="D1010" s="209"/>
      <c r="E1010" s="209"/>
      <c r="F1010" s="209"/>
      <c r="G1010" s="209"/>
      <c r="H1010" s="209"/>
      <c r="I1010" s="209"/>
      <c r="J1010" s="209"/>
      <c r="K1010" s="209"/>
      <c r="L1010" s="209"/>
      <c r="M1010" s="209"/>
      <c r="N1010" s="209"/>
      <c r="O1010" s="209"/>
      <c r="P1010" s="209"/>
      <c r="Q1010" s="209"/>
      <c r="Y1010" s="501"/>
      <c r="BI1010" s="106"/>
      <c r="BJ1010" s="106"/>
      <c r="BK1010" s="106"/>
      <c r="BL1010" s="106"/>
      <c r="BM1010" s="106"/>
      <c r="BN1010" s="106"/>
      <c r="BO1010" s="106"/>
    </row>
    <row r="1011" spans="1:67" ht="36" customHeight="1" x14ac:dyDescent="0.25">
      <c r="B1011" s="27" t="s">
        <v>575</v>
      </c>
      <c r="C1011" s="13"/>
      <c r="D1011" s="236"/>
      <c r="E1011" s="237"/>
      <c r="F1011" s="237"/>
      <c r="G1011" s="237"/>
      <c r="H1011" s="237"/>
      <c r="I1011" s="237"/>
      <c r="J1011" s="237"/>
      <c r="K1011" s="237"/>
      <c r="L1011" s="237"/>
      <c r="M1011" s="237"/>
      <c r="N1011" s="237"/>
      <c r="O1011" s="237"/>
      <c r="P1011" s="237"/>
      <c r="Q1011" s="215"/>
      <c r="Y1011" s="501"/>
      <c r="BI1011" s="106"/>
      <c r="BJ1011" s="106"/>
      <c r="BK1011" s="106"/>
      <c r="BL1011" s="106"/>
      <c r="BM1011" s="106"/>
      <c r="BN1011" s="106"/>
      <c r="BO1011" s="106"/>
    </row>
    <row r="1012" spans="1:67" x14ac:dyDescent="0.25">
      <c r="B1012" s="215"/>
      <c r="C1012" s="215"/>
      <c r="D1012" s="215"/>
      <c r="E1012" s="215"/>
      <c r="F1012" s="215"/>
      <c r="G1012" s="215"/>
      <c r="H1012" s="215"/>
      <c r="I1012" s="215"/>
      <c r="J1012" s="215"/>
      <c r="K1012" s="215"/>
      <c r="L1012" s="215"/>
      <c r="M1012" s="215"/>
      <c r="N1012" s="215"/>
      <c r="O1012" s="215"/>
      <c r="P1012" s="215"/>
      <c r="Q1012" s="215"/>
      <c r="Y1012" s="501"/>
      <c r="BI1012" s="106"/>
      <c r="BJ1012" s="106"/>
      <c r="BK1012" s="106"/>
      <c r="BL1012" s="106"/>
      <c r="BM1012" s="106"/>
      <c r="BN1012" s="106"/>
      <c r="BO1012" s="106"/>
    </row>
    <row r="1013" spans="1:67" x14ac:dyDescent="0.25">
      <c r="B1013" s="222"/>
      <c r="C1013" s="222"/>
      <c r="D1013" s="221"/>
      <c r="E1013" s="221"/>
      <c r="F1013" s="212" t="s">
        <v>284</v>
      </c>
      <c r="G1013" s="215"/>
      <c r="H1013" s="216">
        <v>1</v>
      </c>
      <c r="J1013" s="222"/>
      <c r="K1013" s="222"/>
      <c r="L1013" s="222"/>
      <c r="M1013" s="222"/>
      <c r="N1013" s="212" t="s">
        <v>285</v>
      </c>
      <c r="P1013" s="217">
        <f>(BP_38/BP_06)*Mat05_credits</f>
        <v>0</v>
      </c>
      <c r="Q1013" s="217"/>
      <c r="Y1013" s="501"/>
      <c r="BI1013" s="106"/>
      <c r="BJ1013" s="106"/>
      <c r="BK1013" s="106"/>
      <c r="BL1013" s="106"/>
      <c r="BM1013" s="106"/>
      <c r="BN1013" s="106"/>
      <c r="BO1013" s="106"/>
    </row>
    <row r="1014" spans="1:67" ht="3.75" customHeight="1" x14ac:dyDescent="0.25">
      <c r="Y1014" s="501"/>
      <c r="BI1014" s="106"/>
      <c r="BJ1014" s="106"/>
      <c r="BK1014" s="106"/>
      <c r="BL1014" s="106"/>
      <c r="BM1014" s="106"/>
      <c r="BN1014" s="106"/>
      <c r="BO1014" s="106"/>
    </row>
    <row r="1015" spans="1:67" x14ac:dyDescent="0.25">
      <c r="B1015" s="222"/>
      <c r="C1015" s="222"/>
      <c r="D1015" s="221"/>
      <c r="E1015" s="221"/>
      <c r="F1015" s="212" t="s">
        <v>286</v>
      </c>
      <c r="G1015" s="215"/>
      <c r="H1015" s="216">
        <v>0</v>
      </c>
      <c r="J1015" s="221"/>
      <c r="K1015" s="221"/>
      <c r="L1015" s="221"/>
      <c r="M1015" s="221"/>
      <c r="N1015" s="212" t="s">
        <v>287</v>
      </c>
      <c r="O1015" s="215"/>
      <c r="P1015" s="216" t="s">
        <v>300</v>
      </c>
      <c r="Q1015" s="216"/>
      <c r="Y1015" s="501"/>
      <c r="BI1015" s="106"/>
      <c r="BJ1015" s="106"/>
      <c r="BK1015" s="106"/>
      <c r="BL1015" s="106"/>
      <c r="BM1015" s="106"/>
      <c r="BN1015" s="106"/>
      <c r="BO1015" s="106"/>
    </row>
    <row r="1016" spans="1:67" ht="47.25" customHeight="1" x14ac:dyDescent="0.25">
      <c r="B1016" s="238" t="s">
        <v>288</v>
      </c>
      <c r="C1016" s="239"/>
      <c r="D1016" s="235"/>
      <c r="E1016" s="239"/>
      <c r="F1016" s="240"/>
      <c r="G1016" s="238"/>
      <c r="H1016" s="238"/>
      <c r="I1016" s="238"/>
      <c r="J1016" s="241" t="s">
        <v>289</v>
      </c>
      <c r="K1016" s="241"/>
      <c r="L1016" s="242" t="s">
        <v>290</v>
      </c>
      <c r="N1016" s="242" t="s">
        <v>291</v>
      </c>
      <c r="P1016" s="242"/>
      <c r="Q1016" s="242"/>
      <c r="Y1016" s="501"/>
      <c r="BI1016" s="106"/>
      <c r="BJ1016" s="106"/>
      <c r="BK1016" s="106"/>
      <c r="BL1016" s="106"/>
      <c r="BM1016" s="106"/>
      <c r="BN1016" s="106"/>
      <c r="BO1016" s="106"/>
    </row>
    <row r="1017" spans="1:67" ht="3" customHeight="1" x14ac:dyDescent="0.25">
      <c r="B1017" s="215"/>
      <c r="C1017" s="218"/>
      <c r="D1017" s="215"/>
      <c r="E1017" s="218"/>
      <c r="F1017" s="244"/>
      <c r="G1017" s="215"/>
      <c r="J1017" s="245"/>
      <c r="K1017" s="245"/>
      <c r="L1017" s="215"/>
      <c r="M1017" s="215"/>
      <c r="N1017" s="246"/>
      <c r="O1017" s="218"/>
      <c r="P1017" s="246"/>
      <c r="Q1017" s="246"/>
      <c r="Y1017" s="501"/>
      <c r="BI1017" s="106"/>
      <c r="BJ1017" s="106"/>
      <c r="BK1017" s="106"/>
      <c r="BL1017" s="106"/>
      <c r="BM1017" s="106"/>
      <c r="BN1017" s="106"/>
      <c r="BO1017" s="106"/>
    </row>
    <row r="1018" spans="1:67" x14ac:dyDescent="0.25">
      <c r="B1018" s="221"/>
      <c r="C1018" s="221"/>
      <c r="D1018" s="221"/>
      <c r="E1018" s="221"/>
      <c r="F1018" s="212"/>
      <c r="G1018" s="221"/>
      <c r="H1018" s="212" t="s">
        <v>576</v>
      </c>
      <c r="J1018" s="223"/>
      <c r="K1018" s="215"/>
      <c r="L1018" s="794">
        <f>Mat05_credits</f>
        <v>1</v>
      </c>
      <c r="M1018" s="215"/>
      <c r="N1018" s="794">
        <f>IF(ADPT&lt;&gt;ADPT01,+IF(AND(OR(Mat05_01=AIS_Yes,Mat05_01=AIS_NA),Mat05_01a=AIS_Yes),Mat05_02,0),IF(AND(Mat05_01=AIS_Yes,Mat05_01a=AIS_Yes),Mat05_02,0))</f>
        <v>0</v>
      </c>
      <c r="O1018" s="215"/>
      <c r="P1018" s="400"/>
      <c r="Q1018" s="400"/>
      <c r="R1018" s="209" t="str">
        <f>IF(ADPT&lt;&gt;ADPT01,"",IF(OR(Mat05_01=AIS_No,Mat05_01=AIS_NA,Mat05_01a=AIS_No),"Note: Both criteria have to be met to achieve the available credit credit",""))</f>
        <v/>
      </c>
      <c r="Y1018" s="501"/>
      <c r="BI1018" s="106"/>
      <c r="BJ1018" s="106"/>
      <c r="BK1018" s="106"/>
      <c r="BL1018" s="106"/>
      <c r="BM1018" s="106"/>
      <c r="BN1018" s="106"/>
      <c r="BO1018" s="106"/>
    </row>
    <row r="1019" spans="1:67" x14ac:dyDescent="0.25">
      <c r="B1019" s="221"/>
      <c r="C1019" s="221"/>
      <c r="D1019" s="221"/>
      <c r="E1019" s="221"/>
      <c r="F1019" s="212"/>
      <c r="G1019" s="221"/>
      <c r="H1019" s="212" t="s">
        <v>577</v>
      </c>
      <c r="J1019" s="223"/>
      <c r="K1019" s="215"/>
      <c r="L1019" s="795"/>
      <c r="M1019" s="215"/>
      <c r="N1019" s="820"/>
      <c r="O1019" s="215"/>
      <c r="P1019" s="400"/>
      <c r="Q1019" s="400"/>
      <c r="Y1019" s="501"/>
      <c r="BI1019" s="106"/>
      <c r="BJ1019" s="106"/>
      <c r="BK1019" s="106"/>
      <c r="BL1019" s="106"/>
      <c r="BM1019" s="106"/>
      <c r="BN1019" s="106"/>
      <c r="BO1019" s="106"/>
    </row>
    <row r="1020" spans="1:67" x14ac:dyDescent="0.25">
      <c r="Y1020" s="501"/>
      <c r="BI1020" s="106"/>
      <c r="BJ1020" s="106"/>
      <c r="BK1020" s="106"/>
      <c r="BL1020" s="106"/>
      <c r="BM1020" s="106"/>
      <c r="BN1020" s="106"/>
      <c r="BO1020" s="106"/>
    </row>
    <row r="1021" spans="1:67" x14ac:dyDescent="0.25">
      <c r="B1021" s="221"/>
      <c r="C1021" s="222"/>
      <c r="D1021" s="222"/>
      <c r="E1021" s="221"/>
      <c r="F1021" s="212" t="s">
        <v>296</v>
      </c>
      <c r="G1021" s="215"/>
      <c r="H1021" s="216">
        <f>IF(ISERROR(Mat05_03),0,Mat05_03)</f>
        <v>0</v>
      </c>
      <c r="J1021" s="203"/>
      <c r="K1021" s="215"/>
      <c r="M1021" s="215"/>
      <c r="N1021" s="215"/>
      <c r="O1021" s="215"/>
      <c r="P1021" s="215"/>
      <c r="Q1021" s="215"/>
      <c r="Y1021" s="501"/>
      <c r="BI1021" s="106"/>
      <c r="BJ1021" s="106"/>
      <c r="BK1021" s="106"/>
      <c r="BL1021" s="106"/>
      <c r="BM1021" s="106"/>
      <c r="BN1021" s="106"/>
      <c r="BO1021" s="106"/>
    </row>
    <row r="1022" spans="1:67" ht="3" customHeight="1" x14ac:dyDescent="0.25">
      <c r="B1022" s="215"/>
      <c r="E1022" s="215"/>
      <c r="F1022" s="225"/>
      <c r="G1022" s="215"/>
      <c r="H1022" s="252"/>
      <c r="J1022" s="203"/>
      <c r="K1022" s="215"/>
      <c r="M1022" s="215"/>
      <c r="N1022" s="215"/>
      <c r="O1022" s="215"/>
      <c r="P1022" s="215"/>
      <c r="Q1022" s="215"/>
      <c r="Y1022" s="501"/>
      <c r="BI1022" s="106"/>
      <c r="BJ1022" s="106"/>
      <c r="BK1022" s="106"/>
      <c r="BL1022" s="106"/>
      <c r="BM1022" s="106"/>
      <c r="BN1022" s="106"/>
      <c r="BO1022" s="106"/>
    </row>
    <row r="1023" spans="1:67" x14ac:dyDescent="0.25">
      <c r="B1023" s="221"/>
      <c r="C1023" s="222"/>
      <c r="D1023" s="222"/>
      <c r="E1023" s="221"/>
      <c r="F1023" s="212" t="s">
        <v>297</v>
      </c>
      <c r="G1023" s="215"/>
      <c r="H1023" s="217">
        <f>(Mat05_05/Mat05_credits)*Mat05_tot</f>
        <v>0</v>
      </c>
      <c r="J1023" s="203"/>
      <c r="K1023" s="215"/>
      <c r="M1023" s="215"/>
      <c r="N1023" s="215"/>
      <c r="O1023" s="215"/>
      <c r="P1023" s="215"/>
      <c r="Q1023" s="215"/>
      <c r="Y1023" s="501"/>
      <c r="BI1023" s="106"/>
      <c r="BJ1023" s="106"/>
      <c r="BK1023" s="106"/>
      <c r="BL1023" s="106"/>
      <c r="BM1023" s="106"/>
      <c r="BN1023" s="106"/>
      <c r="BO1023" s="106"/>
    </row>
    <row r="1024" spans="1:67" ht="3" customHeight="1" x14ac:dyDescent="0.25">
      <c r="K1024" s="215"/>
      <c r="M1024" s="215"/>
      <c r="N1024" s="215"/>
      <c r="O1024" s="215"/>
      <c r="P1024" s="215"/>
      <c r="Q1024" s="215"/>
      <c r="Y1024" s="501"/>
      <c r="BI1024" s="106"/>
      <c r="BJ1024" s="106"/>
      <c r="BK1024" s="106"/>
      <c r="BL1024" s="106"/>
      <c r="BM1024" s="106"/>
      <c r="BN1024" s="106"/>
      <c r="BO1024" s="106"/>
    </row>
    <row r="1025" spans="2:67" x14ac:dyDescent="0.25">
      <c r="B1025" s="221"/>
      <c r="C1025" s="222"/>
      <c r="D1025" s="222"/>
      <c r="E1025" s="221"/>
      <c r="F1025" s="212" t="s">
        <v>298</v>
      </c>
      <c r="H1025" s="216" t="s">
        <v>300</v>
      </c>
      <c r="K1025" s="215"/>
      <c r="M1025" s="215"/>
      <c r="N1025" s="215"/>
      <c r="O1025" s="215"/>
      <c r="P1025" s="215"/>
      <c r="Q1025" s="215"/>
      <c r="Y1025" s="501"/>
      <c r="BI1025" s="106"/>
      <c r="BJ1025" s="106"/>
      <c r="BK1025" s="106"/>
      <c r="BL1025" s="106"/>
      <c r="BM1025" s="106"/>
      <c r="BN1025" s="106"/>
      <c r="BO1025" s="106"/>
    </row>
    <row r="1026" spans="2:67" ht="3" customHeight="1" x14ac:dyDescent="0.25">
      <c r="K1026" s="215"/>
      <c r="M1026" s="215"/>
      <c r="N1026" s="215"/>
      <c r="O1026" s="215"/>
      <c r="P1026" s="215"/>
      <c r="Q1026" s="215"/>
      <c r="Y1026" s="501"/>
      <c r="BI1026" s="106"/>
      <c r="BJ1026" s="106"/>
      <c r="BK1026" s="106"/>
      <c r="BL1026" s="106"/>
      <c r="BM1026" s="106"/>
      <c r="BN1026" s="106"/>
      <c r="BO1026" s="106"/>
    </row>
    <row r="1027" spans="2:67" x14ac:dyDescent="0.25">
      <c r="B1027" s="221"/>
      <c r="C1027" s="222"/>
      <c r="D1027" s="221"/>
      <c r="E1027" s="221"/>
      <c r="F1027" s="212" t="s">
        <v>299</v>
      </c>
      <c r="H1027" s="216" t="s">
        <v>300</v>
      </c>
      <c r="K1027" s="215"/>
      <c r="M1027" s="215"/>
      <c r="N1027" s="215"/>
      <c r="O1027" s="215"/>
      <c r="P1027" s="215"/>
      <c r="Q1027" s="215"/>
      <c r="Y1027" s="501"/>
      <c r="BI1027" s="106"/>
      <c r="BJ1027" s="106"/>
      <c r="BK1027" s="106"/>
      <c r="BL1027" s="106"/>
      <c r="BM1027" s="106"/>
      <c r="BN1027" s="106"/>
      <c r="BO1027" s="106"/>
    </row>
    <row r="1028" spans="2:67" x14ac:dyDescent="0.25">
      <c r="M1028" s="215"/>
      <c r="N1028" s="215"/>
      <c r="O1028" s="215"/>
      <c r="P1028" s="215"/>
      <c r="Q1028" s="215"/>
      <c r="Y1028" s="501"/>
      <c r="BI1028" s="106"/>
      <c r="BJ1028" s="106"/>
      <c r="BK1028" s="106"/>
      <c r="BL1028" s="106"/>
      <c r="BM1028" s="106"/>
      <c r="BN1028" s="106"/>
      <c r="BO1028" s="106"/>
    </row>
    <row r="1029" spans="2:67" x14ac:dyDescent="0.25">
      <c r="B1029" s="235" t="s">
        <v>301</v>
      </c>
      <c r="C1029" s="215"/>
      <c r="D1029" s="215"/>
      <c r="E1029" s="215"/>
      <c r="F1029" s="225"/>
      <c r="G1029" s="215"/>
      <c r="H1029" s="215"/>
      <c r="I1029" s="215"/>
      <c r="J1029" s="215"/>
      <c r="K1029" s="215"/>
      <c r="L1029" s="215"/>
      <c r="M1029" s="215"/>
      <c r="N1029" s="215"/>
      <c r="O1029" s="215"/>
      <c r="P1029" s="215"/>
      <c r="Q1029" s="215"/>
      <c r="Y1029" s="501"/>
      <c r="BI1029" s="106"/>
      <c r="BJ1029" s="106"/>
      <c r="BK1029" s="106"/>
      <c r="BL1029" s="106"/>
      <c r="BM1029" s="106"/>
      <c r="BN1029" s="106"/>
      <c r="BO1029" s="106"/>
    </row>
    <row r="1030" spans="2:67" ht="159.94999999999999" customHeight="1" x14ac:dyDescent="0.25">
      <c r="B1030" s="736"/>
      <c r="C1030" s="737"/>
      <c r="D1030" s="737"/>
      <c r="E1030" s="737"/>
      <c r="F1030" s="737"/>
      <c r="G1030" s="737"/>
      <c r="H1030" s="737"/>
      <c r="I1030" s="737"/>
      <c r="J1030" s="737"/>
      <c r="K1030" s="737"/>
      <c r="L1030" s="737"/>
      <c r="M1030" s="737"/>
      <c r="N1030" s="737"/>
      <c r="O1030" s="737"/>
      <c r="P1030" s="738"/>
      <c r="Q1030" s="416"/>
      <c r="Y1030" s="501"/>
      <c r="BI1030" s="106"/>
      <c r="BJ1030" s="106"/>
      <c r="BK1030" s="106"/>
      <c r="BL1030" s="106"/>
      <c r="BM1030" s="106"/>
      <c r="BN1030" s="106"/>
      <c r="BO1030" s="106"/>
    </row>
    <row r="1031" spans="2:67" ht="15.75" customHeight="1" x14ac:dyDescent="0.25">
      <c r="B1031" s="3"/>
      <c r="C1031" s="3"/>
      <c r="D1031" s="3"/>
      <c r="E1031" s="3"/>
      <c r="F1031" s="3"/>
      <c r="G1031" s="3"/>
      <c r="H1031" s="3"/>
      <c r="I1031" s="3"/>
      <c r="J1031" s="3"/>
      <c r="K1031" s="3"/>
      <c r="L1031" s="3"/>
      <c r="M1031" s="3"/>
      <c r="N1031" s="3"/>
      <c r="O1031" s="3"/>
      <c r="P1031" s="3"/>
      <c r="Q1031" s="3"/>
      <c r="R1031" s="3"/>
      <c r="Y1031" s="501"/>
      <c r="BI1031" s="106"/>
      <c r="BJ1031" s="106"/>
      <c r="BK1031" s="106"/>
      <c r="BL1031" s="106"/>
      <c r="BM1031" s="106"/>
      <c r="BN1031" s="106"/>
      <c r="BO1031" s="106"/>
    </row>
    <row r="1032" spans="2:67" ht="36" customHeight="1" x14ac:dyDescent="0.25">
      <c r="B1032" s="27" t="s">
        <v>578</v>
      </c>
      <c r="C1032" s="13"/>
      <c r="D1032" s="236"/>
      <c r="E1032" s="237"/>
      <c r="F1032" s="237"/>
      <c r="G1032" s="237"/>
      <c r="H1032" s="237"/>
      <c r="I1032" s="237"/>
      <c r="J1032" s="237"/>
      <c r="K1032" s="237"/>
      <c r="L1032" s="237"/>
      <c r="M1032" s="237"/>
      <c r="N1032" s="237"/>
      <c r="O1032" s="237"/>
      <c r="P1032" s="237"/>
      <c r="Q1032" s="215"/>
      <c r="Y1032" s="501"/>
      <c r="BI1032" s="106"/>
      <c r="BJ1032" s="106"/>
      <c r="BK1032" s="106"/>
      <c r="BL1032" s="106"/>
      <c r="BM1032" s="106"/>
      <c r="BN1032" s="106"/>
      <c r="BO1032" s="106"/>
    </row>
    <row r="1033" spans="2:67" x14ac:dyDescent="0.25">
      <c r="B1033" s="215"/>
      <c r="C1033" s="215"/>
      <c r="D1033" s="215"/>
      <c r="E1033" s="215"/>
      <c r="F1033" s="215"/>
      <c r="G1033" s="215"/>
      <c r="H1033" s="215"/>
      <c r="I1033" s="215"/>
      <c r="J1033" s="215"/>
      <c r="K1033" s="215"/>
      <c r="L1033" s="215"/>
      <c r="M1033" s="215"/>
      <c r="N1033" s="215"/>
      <c r="O1033" s="215"/>
      <c r="P1033" s="215"/>
      <c r="Q1033" s="215"/>
      <c r="Y1033" s="501"/>
      <c r="BI1033" s="106"/>
      <c r="BJ1033" s="106"/>
      <c r="BK1033" s="106"/>
      <c r="BL1033" s="106"/>
      <c r="BM1033" s="106"/>
      <c r="BN1033" s="106"/>
      <c r="BO1033" s="106"/>
    </row>
    <row r="1034" spans="2:67" x14ac:dyDescent="0.25">
      <c r="B1034" s="222"/>
      <c r="C1034" s="222"/>
      <c r="D1034" s="221"/>
      <c r="E1034" s="221"/>
      <c r="F1034" s="212" t="s">
        <v>284</v>
      </c>
      <c r="G1034" s="215"/>
      <c r="H1034" s="216">
        <v>1</v>
      </c>
      <c r="J1034" s="222"/>
      <c r="K1034" s="222"/>
      <c r="L1034" s="222"/>
      <c r="M1034" s="222"/>
      <c r="N1034" s="212" t="s">
        <v>285</v>
      </c>
      <c r="P1034" s="217">
        <f>(BP_38/BP_06)*Mat06_Credits</f>
        <v>0</v>
      </c>
      <c r="Q1034" s="217"/>
      <c r="Y1034" s="501"/>
      <c r="BI1034" s="106"/>
      <c r="BJ1034" s="106"/>
      <c r="BK1034" s="106"/>
      <c r="BL1034" s="106"/>
      <c r="BM1034" s="106"/>
      <c r="BN1034" s="106"/>
      <c r="BO1034" s="106"/>
    </row>
    <row r="1035" spans="2:67" ht="3.75" customHeight="1" x14ac:dyDescent="0.25">
      <c r="Y1035" s="501"/>
      <c r="BI1035" s="106"/>
      <c r="BJ1035" s="106"/>
      <c r="BK1035" s="106"/>
      <c r="BL1035" s="106"/>
      <c r="BM1035" s="106"/>
      <c r="BN1035" s="106"/>
      <c r="BO1035" s="106"/>
    </row>
    <row r="1036" spans="2:67" x14ac:dyDescent="0.25">
      <c r="B1036" s="222"/>
      <c r="C1036" s="222"/>
      <c r="D1036" s="221"/>
      <c r="E1036" s="221"/>
      <c r="F1036" s="212" t="s">
        <v>286</v>
      </c>
      <c r="G1036" s="215"/>
      <c r="H1036" s="216">
        <v>0</v>
      </c>
      <c r="J1036" s="221"/>
      <c r="K1036" s="221"/>
      <c r="L1036" s="221"/>
      <c r="M1036" s="221"/>
      <c r="N1036" s="212" t="s">
        <v>287</v>
      </c>
      <c r="O1036" s="215"/>
      <c r="P1036" s="216" t="s">
        <v>125</v>
      </c>
      <c r="Q1036" s="216"/>
      <c r="Y1036" s="501"/>
      <c r="BI1036" s="106"/>
      <c r="BJ1036" s="106"/>
      <c r="BK1036" s="106"/>
      <c r="BL1036" s="106"/>
      <c r="BM1036" s="106"/>
      <c r="BN1036" s="106"/>
      <c r="BO1036" s="106"/>
    </row>
    <row r="1037" spans="2:67" ht="47.25" customHeight="1" x14ac:dyDescent="0.25">
      <c r="B1037" s="238" t="s">
        <v>288</v>
      </c>
      <c r="C1037" s="239"/>
      <c r="D1037" s="235"/>
      <c r="E1037" s="239"/>
      <c r="F1037" s="240"/>
      <c r="G1037" s="238"/>
      <c r="H1037" s="238"/>
      <c r="I1037" s="238"/>
      <c r="J1037" s="241" t="s">
        <v>289</v>
      </c>
      <c r="K1037" s="241"/>
      <c r="L1037" s="242" t="s">
        <v>290</v>
      </c>
      <c r="N1037" s="242" t="s">
        <v>291</v>
      </c>
      <c r="P1037" s="242"/>
      <c r="Q1037" s="242"/>
      <c r="Y1037" s="501"/>
      <c r="BI1037" s="106"/>
      <c r="BJ1037" s="106"/>
      <c r="BK1037" s="106"/>
      <c r="BL1037" s="106"/>
      <c r="BM1037" s="106"/>
      <c r="BN1037" s="106"/>
      <c r="BO1037" s="106"/>
    </row>
    <row r="1038" spans="2:67" ht="3" customHeight="1" x14ac:dyDescent="0.25">
      <c r="B1038" s="215"/>
      <c r="C1038" s="218"/>
      <c r="D1038" s="215"/>
      <c r="E1038" s="218"/>
      <c r="F1038" s="244"/>
      <c r="G1038" s="215"/>
      <c r="J1038" s="245"/>
      <c r="K1038" s="245"/>
      <c r="L1038" s="215"/>
      <c r="M1038" s="215"/>
      <c r="N1038" s="246"/>
      <c r="O1038" s="218"/>
      <c r="P1038" s="246"/>
      <c r="Q1038" s="246"/>
      <c r="Y1038" s="501"/>
      <c r="BI1038" s="106"/>
      <c r="BJ1038" s="106"/>
      <c r="BK1038" s="106"/>
      <c r="BL1038" s="106"/>
      <c r="BM1038" s="106"/>
      <c r="BN1038" s="106"/>
      <c r="BO1038" s="106"/>
    </row>
    <row r="1039" spans="2:67" ht="15" customHeight="1" x14ac:dyDescent="0.25">
      <c r="B1039" s="760" t="s">
        <v>579</v>
      </c>
      <c r="C1039" s="761"/>
      <c r="D1039" s="761"/>
      <c r="E1039" s="761"/>
      <c r="F1039" s="761"/>
      <c r="G1039" s="761"/>
      <c r="H1039" s="761"/>
      <c r="J1039" s="223"/>
      <c r="K1039" s="215"/>
      <c r="L1039" s="224">
        <v>1</v>
      </c>
      <c r="M1039" s="215"/>
      <c r="N1039" s="224">
        <f>IF(J1039=AIS_Yes,1,0)</f>
        <v>0</v>
      </c>
      <c r="O1039" s="215"/>
      <c r="P1039" s="400"/>
      <c r="Q1039" s="400"/>
      <c r="Y1039" s="501"/>
      <c r="BI1039" s="106"/>
      <c r="BJ1039" s="106"/>
      <c r="BK1039" s="106"/>
      <c r="BL1039" s="106"/>
      <c r="BM1039" s="106"/>
      <c r="BN1039" s="106"/>
      <c r="BO1039" s="106"/>
    </row>
    <row r="1040" spans="2:67" x14ac:dyDescent="0.25">
      <c r="Y1040" s="501"/>
      <c r="BI1040" s="106"/>
      <c r="BJ1040" s="106"/>
      <c r="BK1040" s="106"/>
      <c r="BL1040" s="106"/>
      <c r="BM1040" s="106"/>
      <c r="BN1040" s="106"/>
      <c r="BO1040" s="106"/>
    </row>
    <row r="1041" spans="2:67" x14ac:dyDescent="0.25">
      <c r="B1041" s="221"/>
      <c r="C1041" s="222"/>
      <c r="D1041" s="222"/>
      <c r="E1041" s="221"/>
      <c r="F1041" s="212" t="s">
        <v>296</v>
      </c>
      <c r="G1041" s="215"/>
      <c r="H1041" s="216">
        <f>N1039</f>
        <v>0</v>
      </c>
      <c r="J1041" s="203"/>
      <c r="K1041" s="215"/>
      <c r="M1041" s="215"/>
      <c r="N1041" s="215"/>
      <c r="O1041" s="215"/>
      <c r="P1041" s="215"/>
      <c r="Q1041" s="215"/>
      <c r="Y1041" s="501"/>
      <c r="BI1041" s="106"/>
      <c r="BJ1041" s="106"/>
      <c r="BK1041" s="106"/>
      <c r="BL1041" s="106"/>
      <c r="BM1041" s="106"/>
      <c r="BN1041" s="106"/>
      <c r="BO1041" s="106"/>
    </row>
    <row r="1042" spans="2:67" ht="3" customHeight="1" x14ac:dyDescent="0.25">
      <c r="B1042" s="215"/>
      <c r="E1042" s="215"/>
      <c r="F1042" s="225"/>
      <c r="G1042" s="215"/>
      <c r="H1042" s="252"/>
      <c r="J1042" s="203"/>
      <c r="K1042" s="215"/>
      <c r="M1042" s="215"/>
      <c r="N1042" s="215"/>
      <c r="O1042" s="215"/>
      <c r="P1042" s="215"/>
      <c r="Q1042" s="215"/>
      <c r="Y1042" s="501"/>
      <c r="BI1042" s="106"/>
      <c r="BJ1042" s="106"/>
      <c r="BK1042" s="106"/>
      <c r="BL1042" s="106"/>
      <c r="BM1042" s="106"/>
      <c r="BN1042" s="106"/>
      <c r="BO1042" s="106"/>
    </row>
    <row r="1043" spans="2:67" x14ac:dyDescent="0.25">
      <c r="B1043" s="221"/>
      <c r="C1043" s="222"/>
      <c r="D1043" s="222"/>
      <c r="E1043" s="221"/>
      <c r="F1043" s="212" t="s">
        <v>297</v>
      </c>
      <c r="G1043" s="215"/>
      <c r="H1043" s="217">
        <f>(MAt06_09/Mat06_Credits)*Mat06_tot</f>
        <v>0</v>
      </c>
      <c r="J1043" s="203"/>
      <c r="K1043" s="215"/>
      <c r="M1043" s="215"/>
      <c r="N1043" s="215"/>
      <c r="O1043" s="215"/>
      <c r="P1043" s="215"/>
      <c r="Q1043" s="215"/>
      <c r="Y1043" s="501"/>
      <c r="BI1043" s="106"/>
      <c r="BJ1043" s="106"/>
      <c r="BK1043" s="106"/>
      <c r="BL1043" s="106"/>
      <c r="BM1043" s="106"/>
      <c r="BN1043" s="106"/>
      <c r="BO1043" s="106"/>
    </row>
    <row r="1044" spans="2:67" ht="3" customHeight="1" x14ac:dyDescent="0.25">
      <c r="K1044" s="215"/>
      <c r="M1044" s="215"/>
      <c r="N1044" s="215"/>
      <c r="O1044" s="215"/>
      <c r="P1044" s="215"/>
      <c r="Q1044" s="215"/>
      <c r="Y1044" s="501"/>
      <c r="BI1044" s="106"/>
      <c r="BJ1044" s="106"/>
      <c r="BK1044" s="106"/>
      <c r="BL1044" s="106"/>
      <c r="BM1044" s="106"/>
      <c r="BN1044" s="106"/>
      <c r="BO1044" s="106"/>
    </row>
    <row r="1045" spans="2:67" x14ac:dyDescent="0.25">
      <c r="B1045" s="221"/>
      <c r="C1045" s="222"/>
      <c r="D1045" s="222"/>
      <c r="E1045" s="221"/>
      <c r="F1045" s="212" t="s">
        <v>298</v>
      </c>
      <c r="H1045" s="216" t="s">
        <v>300</v>
      </c>
      <c r="K1045" s="215"/>
      <c r="M1045" s="215"/>
      <c r="N1045" s="215"/>
      <c r="O1045" s="215"/>
      <c r="P1045" s="215"/>
      <c r="Q1045" s="215"/>
      <c r="Y1045" s="501"/>
      <c r="BI1045" s="106"/>
      <c r="BJ1045" s="106"/>
      <c r="BK1045" s="106"/>
      <c r="BL1045" s="106"/>
      <c r="BM1045" s="106"/>
      <c r="BN1045" s="106"/>
      <c r="BO1045" s="106"/>
    </row>
    <row r="1046" spans="2:67" ht="3" customHeight="1" x14ac:dyDescent="0.25">
      <c r="K1046" s="215"/>
      <c r="M1046" s="215"/>
      <c r="N1046" s="215"/>
      <c r="O1046" s="215"/>
      <c r="P1046" s="215"/>
      <c r="Q1046" s="215"/>
      <c r="Y1046" s="501"/>
      <c r="BI1046" s="106"/>
      <c r="BJ1046" s="106"/>
      <c r="BK1046" s="106"/>
      <c r="BL1046" s="106"/>
      <c r="BM1046" s="106"/>
      <c r="BN1046" s="106"/>
      <c r="BO1046" s="106"/>
    </row>
    <row r="1047" spans="2:67" x14ac:dyDescent="0.25">
      <c r="B1047" s="221"/>
      <c r="C1047" s="222"/>
      <c r="D1047" s="221"/>
      <c r="E1047" s="221"/>
      <c r="F1047" s="212" t="s">
        <v>299</v>
      </c>
      <c r="H1047" s="216" t="s">
        <v>300</v>
      </c>
      <c r="K1047" s="215"/>
      <c r="M1047" s="215"/>
      <c r="N1047" s="215"/>
      <c r="O1047" s="215"/>
      <c r="P1047" s="215"/>
      <c r="Q1047" s="215"/>
      <c r="Y1047" s="501"/>
      <c r="BI1047" s="106"/>
      <c r="BJ1047" s="106"/>
      <c r="BK1047" s="106"/>
      <c r="BL1047" s="106"/>
      <c r="BM1047" s="106"/>
      <c r="BN1047" s="106"/>
      <c r="BO1047" s="106"/>
    </row>
    <row r="1048" spans="2:67" x14ac:dyDescent="0.25">
      <c r="M1048" s="215"/>
      <c r="N1048" s="215"/>
      <c r="O1048" s="215"/>
      <c r="P1048" s="215"/>
      <c r="Q1048" s="215"/>
      <c r="Y1048" s="501"/>
      <c r="BI1048" s="106"/>
      <c r="BJ1048" s="106"/>
      <c r="BK1048" s="106"/>
      <c r="BL1048" s="106"/>
      <c r="BM1048" s="106"/>
      <c r="BN1048" s="106"/>
      <c r="BO1048" s="106"/>
    </row>
    <row r="1049" spans="2:67" x14ac:dyDescent="0.25">
      <c r="B1049" s="235" t="s">
        <v>301</v>
      </c>
      <c r="C1049" s="215"/>
      <c r="D1049" s="215"/>
      <c r="E1049" s="215"/>
      <c r="F1049" s="225"/>
      <c r="G1049" s="215"/>
      <c r="H1049" s="215"/>
      <c r="I1049" s="215"/>
      <c r="J1049" s="215"/>
      <c r="K1049" s="215"/>
      <c r="L1049" s="215"/>
      <c r="M1049" s="215"/>
      <c r="N1049" s="215"/>
      <c r="O1049" s="215"/>
      <c r="P1049" s="215"/>
      <c r="Q1049" s="215"/>
      <c r="Y1049" s="501"/>
      <c r="BI1049" s="106"/>
      <c r="BJ1049" s="106"/>
      <c r="BK1049" s="106"/>
      <c r="BL1049" s="106"/>
      <c r="BM1049" s="106"/>
      <c r="BN1049" s="106"/>
      <c r="BO1049" s="106"/>
    </row>
    <row r="1050" spans="2:67" ht="159.94999999999999" customHeight="1" x14ac:dyDescent="0.25">
      <c r="B1050" s="736"/>
      <c r="C1050" s="737"/>
      <c r="D1050" s="737"/>
      <c r="E1050" s="737"/>
      <c r="F1050" s="737"/>
      <c r="G1050" s="737"/>
      <c r="H1050" s="737"/>
      <c r="I1050" s="737"/>
      <c r="J1050" s="737"/>
      <c r="K1050" s="737"/>
      <c r="L1050" s="737"/>
      <c r="M1050" s="737"/>
      <c r="N1050" s="737"/>
      <c r="O1050" s="737"/>
      <c r="P1050" s="738"/>
      <c r="Q1050" s="416"/>
      <c r="Y1050" s="501"/>
      <c r="BI1050" s="106"/>
      <c r="BJ1050" s="106"/>
      <c r="BK1050" s="106"/>
      <c r="BL1050" s="106"/>
      <c r="BM1050" s="106"/>
      <c r="BN1050" s="106"/>
      <c r="BO1050" s="106"/>
    </row>
    <row r="1051" spans="2:67" ht="36" customHeight="1" x14ac:dyDescent="0.25">
      <c r="B1051" s="27" t="s">
        <v>580</v>
      </c>
      <c r="C1051" s="13"/>
      <c r="D1051" s="236"/>
      <c r="E1051" s="237"/>
      <c r="F1051" s="237"/>
      <c r="G1051" s="237"/>
      <c r="H1051" s="237"/>
      <c r="I1051" s="237"/>
      <c r="J1051" s="237"/>
      <c r="K1051" s="237"/>
      <c r="L1051" s="237"/>
      <c r="M1051" s="237"/>
      <c r="N1051" s="237"/>
      <c r="O1051" s="237"/>
      <c r="P1051" s="237"/>
      <c r="Q1051" s="215"/>
      <c r="Y1051" s="501"/>
      <c r="BI1051" s="106"/>
      <c r="BJ1051" s="106"/>
      <c r="BK1051" s="106"/>
      <c r="BL1051" s="106"/>
      <c r="BM1051" s="106"/>
      <c r="BN1051" s="106"/>
      <c r="BO1051" s="106"/>
    </row>
    <row r="1052" spans="2:67" x14ac:dyDescent="0.25">
      <c r="B1052" s="215"/>
      <c r="C1052" s="215"/>
      <c r="D1052" s="215"/>
      <c r="E1052" s="215"/>
      <c r="F1052" s="215"/>
      <c r="G1052" s="215"/>
      <c r="H1052" s="215"/>
      <c r="I1052" s="215"/>
      <c r="J1052" s="215"/>
      <c r="K1052" s="215"/>
      <c r="L1052" s="215"/>
      <c r="M1052" s="215"/>
      <c r="N1052" s="215"/>
      <c r="O1052" s="215"/>
      <c r="P1052" s="215"/>
      <c r="Q1052" s="215"/>
      <c r="Y1052" s="501"/>
      <c r="BI1052" s="106"/>
      <c r="BJ1052" s="106"/>
      <c r="BK1052" s="106"/>
      <c r="BL1052" s="106"/>
      <c r="BM1052" s="106"/>
      <c r="BN1052" s="106"/>
      <c r="BO1052" s="106"/>
    </row>
    <row r="1053" spans="2:67" x14ac:dyDescent="0.25">
      <c r="B1053" s="222"/>
      <c r="C1053" s="222"/>
      <c r="D1053" s="221"/>
      <c r="E1053" s="221"/>
      <c r="F1053" s="212" t="s">
        <v>284</v>
      </c>
      <c r="G1053" s="215"/>
      <c r="H1053" s="216">
        <v>2</v>
      </c>
      <c r="J1053" s="222"/>
      <c r="K1053" s="222"/>
      <c r="L1053" s="222"/>
      <c r="M1053" s="222"/>
      <c r="N1053" s="212" t="s">
        <v>285</v>
      </c>
      <c r="P1053" s="217">
        <f>(BP_38/BP_06)*Mat07_credits</f>
        <v>0</v>
      </c>
      <c r="Q1053" s="217"/>
      <c r="Y1053" s="501"/>
      <c r="BI1053" s="106"/>
      <c r="BJ1053" s="106"/>
      <c r="BK1053" s="106"/>
      <c r="BL1053" s="106"/>
      <c r="BM1053" s="106"/>
      <c r="BN1053" s="106"/>
      <c r="BO1053" s="106"/>
    </row>
    <row r="1054" spans="2:67" ht="3.75" customHeight="1" x14ac:dyDescent="0.25">
      <c r="Y1054" s="501"/>
      <c r="BI1054" s="106"/>
      <c r="BJ1054" s="106"/>
      <c r="BK1054" s="106"/>
      <c r="BL1054" s="106"/>
      <c r="BM1054" s="106"/>
      <c r="BN1054" s="106"/>
      <c r="BO1054" s="106"/>
    </row>
    <row r="1055" spans="2:67" x14ac:dyDescent="0.25">
      <c r="B1055" s="222"/>
      <c r="C1055" s="222"/>
      <c r="D1055" s="221"/>
      <c r="E1055" s="221"/>
      <c r="F1055" s="212" t="s">
        <v>286</v>
      </c>
      <c r="G1055" s="215"/>
      <c r="H1055" s="216">
        <v>1</v>
      </c>
      <c r="J1055" s="221"/>
      <c r="K1055" s="221"/>
      <c r="L1055" s="221"/>
      <c r="M1055" s="221"/>
      <c r="N1055" s="212" t="s">
        <v>287</v>
      </c>
      <c r="O1055" s="215"/>
      <c r="P1055" s="216" t="s">
        <v>125</v>
      </c>
      <c r="Q1055" s="216"/>
      <c r="Y1055" s="501"/>
      <c r="BI1055" s="106"/>
      <c r="BJ1055" s="106"/>
      <c r="BK1055" s="106"/>
      <c r="BL1055" s="106"/>
      <c r="BM1055" s="106"/>
      <c r="BN1055" s="106"/>
      <c r="BO1055" s="106"/>
    </row>
    <row r="1056" spans="2:67" ht="47.25" customHeight="1" x14ac:dyDescent="0.25">
      <c r="B1056" s="238" t="s">
        <v>288</v>
      </c>
      <c r="C1056" s="239"/>
      <c r="D1056" s="235"/>
      <c r="E1056" s="239"/>
      <c r="F1056" s="240"/>
      <c r="G1056" s="238"/>
      <c r="H1056" s="238"/>
      <c r="I1056" s="238"/>
      <c r="J1056" s="241" t="s">
        <v>289</v>
      </c>
      <c r="K1056" s="241"/>
      <c r="L1056" s="242" t="s">
        <v>290</v>
      </c>
      <c r="N1056" s="242" t="s">
        <v>291</v>
      </c>
      <c r="P1056" s="242"/>
      <c r="Q1056" s="242"/>
      <c r="Y1056" s="501"/>
      <c r="BI1056" s="106"/>
      <c r="BJ1056" s="106"/>
      <c r="BK1056" s="106"/>
      <c r="BL1056" s="106"/>
      <c r="BM1056" s="106"/>
      <c r="BN1056" s="106"/>
      <c r="BO1056" s="106"/>
    </row>
    <row r="1057" spans="2:67" ht="3" customHeight="1" x14ac:dyDescent="0.25">
      <c r="B1057" s="215"/>
      <c r="C1057" s="218"/>
      <c r="D1057" s="215"/>
      <c r="E1057" s="218"/>
      <c r="F1057" s="244"/>
      <c r="G1057" s="215"/>
      <c r="J1057" s="245"/>
      <c r="K1057" s="245"/>
      <c r="L1057" s="215"/>
      <c r="M1057" s="215"/>
      <c r="N1057" s="246"/>
      <c r="O1057" s="218"/>
      <c r="P1057" s="246"/>
      <c r="Q1057" s="246"/>
      <c r="Y1057" s="501"/>
      <c r="BI1057" s="106"/>
      <c r="BJ1057" s="106"/>
      <c r="BK1057" s="106"/>
      <c r="BL1057" s="106"/>
      <c r="BM1057" s="106"/>
      <c r="BN1057" s="106"/>
      <c r="BO1057" s="106"/>
    </row>
    <row r="1058" spans="2:67" ht="15" customHeight="1" x14ac:dyDescent="0.25">
      <c r="B1058" s="238" t="s">
        <v>581</v>
      </c>
      <c r="C1058" s="218"/>
      <c r="D1058" s="3"/>
      <c r="E1058" s="218"/>
      <c r="F1058" s="244"/>
      <c r="G1058" s="215"/>
      <c r="J1058" s="245"/>
      <c r="K1058" s="245"/>
      <c r="L1058" s="215"/>
      <c r="M1058" s="215"/>
      <c r="N1058" s="246"/>
      <c r="O1058" s="218"/>
      <c r="P1058" s="246"/>
      <c r="Q1058" s="246"/>
      <c r="Y1058" s="501"/>
      <c r="BI1058" s="106"/>
      <c r="BJ1058" s="106"/>
      <c r="BK1058" s="106"/>
      <c r="BL1058" s="106"/>
      <c r="BM1058" s="106"/>
      <c r="BN1058" s="106"/>
      <c r="BO1058" s="106"/>
    </row>
    <row r="1059" spans="2:67" ht="15" customHeight="1" x14ac:dyDescent="0.25">
      <c r="B1059" s="760" t="s">
        <v>582</v>
      </c>
      <c r="C1059" s="761"/>
      <c r="D1059" s="761"/>
      <c r="E1059" s="761"/>
      <c r="F1059" s="761"/>
      <c r="G1059" s="761"/>
      <c r="H1059" s="761"/>
      <c r="J1059" s="223"/>
      <c r="K1059" s="215"/>
      <c r="L1059" s="224">
        <v>1</v>
      </c>
      <c r="M1059" s="215"/>
      <c r="N1059" s="224">
        <f>IF(Mat07_01=AIS_Yes,1,0)</f>
        <v>0</v>
      </c>
      <c r="O1059" s="215"/>
      <c r="P1059" s="400"/>
      <c r="Q1059" s="400"/>
      <c r="Y1059" s="501"/>
      <c r="BI1059" s="106"/>
      <c r="BJ1059" s="106"/>
      <c r="BK1059" s="106"/>
      <c r="BL1059" s="106"/>
      <c r="BM1059" s="106"/>
      <c r="BN1059" s="106"/>
      <c r="BO1059" s="106"/>
    </row>
    <row r="1060" spans="2:67" ht="15" customHeight="1" x14ac:dyDescent="0.25">
      <c r="B1060" s="760" t="s">
        <v>583</v>
      </c>
      <c r="C1060" s="761"/>
      <c r="D1060" s="761"/>
      <c r="E1060" s="761"/>
      <c r="F1060" s="761"/>
      <c r="G1060" s="761"/>
      <c r="H1060" s="761"/>
      <c r="J1060" s="223"/>
      <c r="K1060" s="215"/>
      <c r="L1060" s="224">
        <v>1</v>
      </c>
      <c r="M1060" s="215"/>
      <c r="N1060" s="224">
        <f>IF(AND(Mat07_01=AIS_Yes,Mat07_04=AIS_Yes),1,0)</f>
        <v>0</v>
      </c>
      <c r="O1060" s="215"/>
      <c r="P1060" s="655" t="str">
        <f>IF(AND(Mat07_04=AIS_Yes,Mat07_01&lt;&gt;AIS_Yes),"The first credit must be achieved in order to award the second credit.","")</f>
        <v/>
      </c>
      <c r="Q1060" s="400"/>
      <c r="Y1060" s="501"/>
      <c r="BI1060" s="106"/>
      <c r="BJ1060" s="106"/>
      <c r="BK1060" s="106"/>
      <c r="BL1060" s="106"/>
      <c r="BM1060" s="106"/>
      <c r="BN1060" s="106"/>
      <c r="BO1060" s="106"/>
    </row>
    <row r="1061" spans="2:67" ht="15" customHeight="1" x14ac:dyDescent="0.25">
      <c r="B1061" s="760" t="s">
        <v>584</v>
      </c>
      <c r="C1061" s="761"/>
      <c r="D1061" s="761"/>
      <c r="E1061" s="761"/>
      <c r="F1061" s="761"/>
      <c r="G1061" s="761"/>
      <c r="H1061" s="761"/>
      <c r="J1061" s="223"/>
      <c r="K1061" s="215"/>
      <c r="L1061" s="400"/>
      <c r="M1061" s="400"/>
      <c r="N1061" s="400"/>
      <c r="O1061" s="400"/>
      <c r="P1061" s="655" t="str">
        <f>IF(AND(mat07_09=AIS_Yes,OR(Mat07_01&lt;&gt;AIS_Yes,Mat07_04&lt;&gt;AIS_Yes)),"The first and second credits must be achieved in order to award the Exemplary level credit.","")</f>
        <v/>
      </c>
      <c r="Q1061" s="400"/>
      <c r="Y1061" s="501"/>
      <c r="BI1061" s="106"/>
      <c r="BJ1061" s="106"/>
      <c r="BK1061" s="106"/>
      <c r="BL1061" s="106"/>
      <c r="BM1061" s="106"/>
      <c r="BN1061" s="106"/>
      <c r="BO1061" s="106"/>
    </row>
    <row r="1062" spans="2:67" x14ac:dyDescent="0.25">
      <c r="Y1062" s="501"/>
      <c r="BI1062" s="106"/>
      <c r="BJ1062" s="106"/>
      <c r="BK1062" s="106"/>
      <c r="BL1062" s="106"/>
      <c r="BM1062" s="106"/>
      <c r="BN1062" s="106"/>
      <c r="BO1062" s="106"/>
    </row>
    <row r="1063" spans="2:67" x14ac:dyDescent="0.25">
      <c r="B1063" s="221"/>
      <c r="C1063" s="222"/>
      <c r="D1063" s="222"/>
      <c r="E1063" s="221"/>
      <c r="F1063" s="212" t="s">
        <v>296</v>
      </c>
      <c r="G1063" s="215"/>
      <c r="H1063" s="216">
        <f>SUM(N1059:N1060)</f>
        <v>0</v>
      </c>
      <c r="J1063" s="203"/>
      <c r="K1063" s="215"/>
      <c r="M1063" s="215"/>
      <c r="N1063" s="215"/>
      <c r="O1063" s="215"/>
      <c r="P1063" s="215"/>
      <c r="Q1063" s="215"/>
      <c r="Y1063" s="501"/>
      <c r="BI1063" s="106"/>
      <c r="BJ1063" s="106"/>
      <c r="BK1063" s="106"/>
      <c r="BL1063" s="106"/>
      <c r="BM1063" s="106"/>
      <c r="BN1063" s="106"/>
      <c r="BO1063" s="106"/>
    </row>
    <row r="1064" spans="2:67" ht="3" customHeight="1" x14ac:dyDescent="0.25">
      <c r="B1064" s="215"/>
      <c r="E1064" s="215"/>
      <c r="F1064" s="225"/>
      <c r="G1064" s="215"/>
      <c r="H1064" s="252"/>
      <c r="J1064" s="203"/>
      <c r="K1064" s="215"/>
      <c r="M1064" s="215"/>
      <c r="N1064" s="215"/>
      <c r="O1064" s="215"/>
      <c r="P1064" s="215"/>
      <c r="Q1064" s="215"/>
      <c r="Y1064" s="501"/>
      <c r="BI1064" s="106"/>
      <c r="BJ1064" s="106"/>
      <c r="BK1064" s="106"/>
      <c r="BL1064" s="106"/>
      <c r="BM1064" s="106"/>
      <c r="BN1064" s="106"/>
      <c r="BO1064" s="106"/>
    </row>
    <row r="1065" spans="2:67" x14ac:dyDescent="0.25">
      <c r="B1065" s="221"/>
      <c r="C1065" s="222"/>
      <c r="D1065" s="222"/>
      <c r="E1065" s="221"/>
      <c r="F1065" s="212" t="s">
        <v>297</v>
      </c>
      <c r="G1065" s="215"/>
      <c r="H1065" s="217">
        <f>(Mat07_07/Mat07_credits)*Mat07_tot</f>
        <v>0</v>
      </c>
      <c r="J1065" s="203"/>
      <c r="K1065" s="215"/>
      <c r="M1065" s="215"/>
      <c r="N1065" s="215"/>
      <c r="O1065" s="215"/>
      <c r="P1065" s="215"/>
      <c r="Q1065" s="215"/>
      <c r="Y1065" s="501"/>
      <c r="BI1065" s="106"/>
      <c r="BJ1065" s="106"/>
      <c r="BK1065" s="106"/>
      <c r="BL1065" s="106"/>
      <c r="BM1065" s="106"/>
      <c r="BN1065" s="106"/>
      <c r="BO1065" s="106"/>
    </row>
    <row r="1066" spans="2:67" ht="3" customHeight="1" x14ac:dyDescent="0.25">
      <c r="K1066" s="215"/>
      <c r="M1066" s="215"/>
      <c r="N1066" s="215"/>
      <c r="O1066" s="215"/>
      <c r="P1066" s="215"/>
      <c r="Q1066" s="215"/>
      <c r="Y1066" s="501"/>
      <c r="BI1066" s="106"/>
      <c r="BJ1066" s="106"/>
      <c r="BK1066" s="106"/>
      <c r="BL1066" s="106"/>
      <c r="BM1066" s="106"/>
      <c r="BN1066" s="106"/>
      <c r="BO1066" s="106"/>
    </row>
    <row r="1067" spans="2:67" x14ac:dyDescent="0.25">
      <c r="B1067" s="221"/>
      <c r="C1067" s="222"/>
      <c r="D1067" s="222"/>
      <c r="E1067" s="221"/>
      <c r="F1067" s="212" t="s">
        <v>298</v>
      </c>
      <c r="H1067" s="216">
        <f>IF(AND(mat07_09=AIS_Yes,Mat07_tot=2),1,0)</f>
        <v>0</v>
      </c>
      <c r="K1067" s="215"/>
      <c r="M1067" s="215"/>
      <c r="N1067" s="215"/>
      <c r="O1067" s="215"/>
      <c r="P1067" s="215"/>
      <c r="Q1067" s="215"/>
      <c r="Y1067" s="501"/>
      <c r="BI1067" s="106"/>
      <c r="BJ1067" s="106"/>
      <c r="BK1067" s="106"/>
      <c r="BL1067" s="106"/>
      <c r="BM1067" s="106"/>
      <c r="BN1067" s="106"/>
      <c r="BO1067" s="106"/>
    </row>
    <row r="1068" spans="2:67" ht="3" customHeight="1" x14ac:dyDescent="0.25">
      <c r="K1068" s="215"/>
      <c r="M1068" s="215"/>
      <c r="N1068" s="215"/>
      <c r="O1068" s="215"/>
      <c r="P1068" s="215"/>
      <c r="Q1068" s="215"/>
      <c r="Y1068" s="501"/>
      <c r="BI1068" s="106"/>
      <c r="BJ1068" s="106"/>
      <c r="BK1068" s="106"/>
      <c r="BL1068" s="106"/>
      <c r="BM1068" s="106"/>
      <c r="BN1068" s="106"/>
      <c r="BO1068" s="106"/>
    </row>
    <row r="1069" spans="2:67" x14ac:dyDescent="0.25">
      <c r="B1069" s="221"/>
      <c r="C1069" s="222"/>
      <c r="D1069" s="221"/>
      <c r="E1069" s="221"/>
      <c r="F1069" s="212" t="s">
        <v>299</v>
      </c>
      <c r="H1069" s="216" t="s">
        <v>300</v>
      </c>
      <c r="K1069" s="215"/>
      <c r="M1069" s="215"/>
      <c r="N1069" s="215"/>
      <c r="O1069" s="215"/>
      <c r="P1069" s="215"/>
      <c r="Q1069" s="215"/>
      <c r="Y1069" s="501"/>
      <c r="BI1069" s="106"/>
      <c r="BJ1069" s="106"/>
      <c r="BK1069" s="106"/>
      <c r="BL1069" s="106"/>
      <c r="BM1069" s="106"/>
      <c r="BN1069" s="106"/>
      <c r="BO1069" s="106"/>
    </row>
    <row r="1070" spans="2:67" x14ac:dyDescent="0.25">
      <c r="M1070" s="215"/>
      <c r="N1070" s="215"/>
      <c r="O1070" s="215"/>
      <c r="P1070" s="215"/>
      <c r="Q1070" s="215"/>
      <c r="Y1070" s="501"/>
      <c r="BI1070" s="106"/>
      <c r="BJ1070" s="106"/>
      <c r="BK1070" s="106"/>
      <c r="BL1070" s="106"/>
      <c r="BM1070" s="106"/>
      <c r="BN1070" s="106"/>
      <c r="BO1070" s="106"/>
    </row>
    <row r="1071" spans="2:67" x14ac:dyDescent="0.25">
      <c r="B1071" s="235" t="s">
        <v>301</v>
      </c>
      <c r="C1071" s="215"/>
      <c r="D1071" s="215"/>
      <c r="E1071" s="215"/>
      <c r="F1071" s="225"/>
      <c r="G1071" s="215"/>
      <c r="H1071" s="215"/>
      <c r="I1071" s="215"/>
      <c r="J1071" s="215"/>
      <c r="K1071" s="215"/>
      <c r="L1071" s="215"/>
      <c r="M1071" s="215"/>
      <c r="N1071" s="215"/>
      <c r="O1071" s="215"/>
      <c r="P1071" s="215"/>
      <c r="Q1071" s="215"/>
      <c r="Y1071" s="501"/>
      <c r="BI1071" s="106"/>
      <c r="BJ1071" s="106"/>
      <c r="BK1071" s="106"/>
      <c r="BL1071" s="106"/>
      <c r="BM1071" s="106"/>
      <c r="BN1071" s="106"/>
      <c r="BO1071" s="106"/>
    </row>
    <row r="1072" spans="2:67" ht="159.94999999999999" customHeight="1" x14ac:dyDescent="0.25">
      <c r="B1072" s="736"/>
      <c r="C1072" s="737"/>
      <c r="D1072" s="737"/>
      <c r="E1072" s="737"/>
      <c r="F1072" s="737"/>
      <c r="G1072" s="737"/>
      <c r="H1072" s="737"/>
      <c r="I1072" s="737"/>
      <c r="J1072" s="737"/>
      <c r="K1072" s="737"/>
      <c r="L1072" s="737"/>
      <c r="M1072" s="737"/>
      <c r="N1072" s="737"/>
      <c r="O1072" s="737"/>
      <c r="P1072" s="738"/>
      <c r="Q1072" s="416"/>
      <c r="Y1072" s="501"/>
      <c r="BI1072" s="106"/>
      <c r="BJ1072" s="106"/>
      <c r="BK1072" s="106"/>
      <c r="BL1072" s="106"/>
      <c r="BM1072" s="106"/>
      <c r="BN1072" s="106"/>
      <c r="BO1072" s="106"/>
    </row>
    <row r="1073" spans="2:67" ht="24.95" customHeight="1" x14ac:dyDescent="0.25">
      <c r="B1073" s="204"/>
      <c r="C1073" s="294"/>
      <c r="D1073" s="294"/>
      <c r="E1073" s="294"/>
      <c r="F1073" s="294"/>
      <c r="G1073" s="294"/>
      <c r="H1073" s="294"/>
      <c r="I1073" s="294"/>
      <c r="J1073" s="294"/>
      <c r="K1073" s="294"/>
      <c r="L1073" s="294"/>
      <c r="M1073" s="294"/>
      <c r="N1073" s="294"/>
      <c r="O1073" s="294"/>
      <c r="P1073" s="294"/>
      <c r="Q1073" s="294"/>
      <c r="Y1073" s="501"/>
      <c r="BI1073" s="106"/>
      <c r="BJ1073" s="106"/>
      <c r="BK1073" s="106"/>
      <c r="BL1073" s="106"/>
      <c r="BM1073" s="106"/>
      <c r="BN1073" s="106"/>
      <c r="BO1073" s="106"/>
    </row>
    <row r="1074" spans="2:67" ht="24.95" customHeight="1" x14ac:dyDescent="0.25">
      <c r="B1074" s="341" t="s">
        <v>585</v>
      </c>
      <c r="C1074" s="342"/>
      <c r="D1074" s="342"/>
      <c r="E1074" s="342"/>
      <c r="F1074" s="342"/>
      <c r="G1074" s="342"/>
      <c r="H1074" s="342"/>
      <c r="I1074" s="342"/>
      <c r="J1074" s="342"/>
      <c r="K1074" s="342"/>
      <c r="L1074" s="342"/>
      <c r="M1074" s="342"/>
      <c r="N1074" s="325"/>
      <c r="O1074" s="325"/>
      <c r="P1074" s="354"/>
      <c r="Q1074" s="354"/>
      <c r="Y1074" s="501"/>
      <c r="BI1074" s="106"/>
      <c r="BJ1074" s="106"/>
      <c r="BK1074" s="106"/>
      <c r="BL1074" s="106"/>
      <c r="BM1074" s="106"/>
      <c r="BN1074" s="106"/>
      <c r="BO1074" s="106"/>
    </row>
    <row r="1075" spans="2:67" ht="15" customHeight="1" x14ac:dyDescent="0.25">
      <c r="Y1075" s="501"/>
      <c r="BI1075" s="106"/>
      <c r="BJ1075" s="106"/>
      <c r="BK1075" s="106"/>
      <c r="BL1075" s="106"/>
      <c r="BM1075" s="106"/>
      <c r="BN1075" s="106"/>
      <c r="BO1075" s="106"/>
    </row>
    <row r="1076" spans="2:67" ht="15" customHeight="1" x14ac:dyDescent="0.25">
      <c r="B1076" s="27" t="s">
        <v>586</v>
      </c>
      <c r="C1076" s="13"/>
      <c r="D1076" s="236"/>
      <c r="E1076" s="237"/>
      <c r="F1076" s="237"/>
      <c r="G1076" s="237"/>
      <c r="H1076" s="237"/>
      <c r="I1076" s="237"/>
      <c r="J1076" s="237"/>
      <c r="K1076" s="237"/>
      <c r="L1076" s="237"/>
      <c r="M1076" s="237"/>
      <c r="N1076" s="237"/>
      <c r="O1076" s="237"/>
      <c r="P1076" s="237"/>
      <c r="Q1076" s="215"/>
      <c r="Y1076" s="501"/>
      <c r="BI1076" s="106"/>
      <c r="BJ1076" s="106"/>
      <c r="BK1076" s="106"/>
      <c r="BL1076" s="106"/>
      <c r="BM1076" s="106"/>
      <c r="BN1076" s="106"/>
      <c r="BO1076" s="106"/>
    </row>
    <row r="1077" spans="2:67" x14ac:dyDescent="0.25">
      <c r="B1077" s="215"/>
      <c r="C1077" s="215"/>
      <c r="D1077" s="215"/>
      <c r="E1077" s="215"/>
      <c r="F1077" s="215"/>
      <c r="G1077" s="215"/>
      <c r="H1077" s="215"/>
      <c r="I1077" s="215"/>
      <c r="J1077" s="215"/>
      <c r="K1077" s="215"/>
      <c r="L1077" s="215"/>
      <c r="M1077" s="215"/>
      <c r="N1077" s="215"/>
      <c r="O1077" s="215"/>
      <c r="P1077" s="215"/>
      <c r="Q1077" s="215"/>
      <c r="Y1077" s="501"/>
      <c r="BI1077" s="106"/>
      <c r="BJ1077" s="106"/>
      <c r="BK1077" s="106"/>
      <c r="BL1077" s="106"/>
      <c r="BM1077" s="106"/>
      <c r="BN1077" s="106"/>
      <c r="BO1077" s="106"/>
    </row>
    <row r="1078" spans="2:67" x14ac:dyDescent="0.25">
      <c r="B1078" s="222"/>
      <c r="C1078" s="222"/>
      <c r="D1078" s="221"/>
      <c r="E1078" s="221"/>
      <c r="F1078" s="212" t="s">
        <v>284</v>
      </c>
      <c r="G1078" s="215"/>
      <c r="H1078" s="216">
        <v>3</v>
      </c>
      <c r="J1078" s="222"/>
      <c r="K1078" s="222"/>
      <c r="L1078" s="222"/>
      <c r="M1078" s="222"/>
      <c r="N1078" s="212" t="s">
        <v>285</v>
      </c>
      <c r="P1078" s="217">
        <f>(BP_39/BP_07)*Wst01_credits</f>
        <v>0</v>
      </c>
      <c r="Q1078" s="217"/>
      <c r="Y1078" s="501"/>
      <c r="BI1078" s="106"/>
      <c r="BJ1078" s="106"/>
      <c r="BK1078" s="106"/>
      <c r="BL1078" s="106"/>
      <c r="BM1078" s="106"/>
      <c r="BN1078" s="106"/>
      <c r="BO1078" s="106"/>
    </row>
    <row r="1079" spans="2:67" ht="3.75" customHeight="1" x14ac:dyDescent="0.25">
      <c r="Y1079" s="501"/>
      <c r="BI1079" s="106"/>
      <c r="BJ1079" s="106"/>
      <c r="BK1079" s="106"/>
      <c r="BL1079" s="106"/>
      <c r="BM1079" s="106"/>
      <c r="BN1079" s="106"/>
      <c r="BO1079" s="106"/>
    </row>
    <row r="1080" spans="2:67" x14ac:dyDescent="0.25">
      <c r="B1080" s="222"/>
      <c r="C1080" s="222"/>
      <c r="D1080" s="221"/>
      <c r="E1080" s="221"/>
      <c r="F1080" s="212" t="s">
        <v>286</v>
      </c>
      <c r="G1080" s="215"/>
      <c r="H1080" s="216">
        <v>1</v>
      </c>
      <c r="J1080" s="221"/>
      <c r="K1080" s="221"/>
      <c r="L1080" s="221"/>
      <c r="M1080" s="221"/>
      <c r="N1080" s="212" t="s">
        <v>287</v>
      </c>
      <c r="O1080" s="215"/>
      <c r="P1080" s="216" t="s">
        <v>121</v>
      </c>
      <c r="Q1080" s="216"/>
      <c r="Y1080" s="501"/>
      <c r="BI1080" s="106"/>
      <c r="BJ1080" s="106"/>
      <c r="BK1080" s="106"/>
      <c r="BL1080" s="106"/>
      <c r="BM1080" s="106"/>
      <c r="BN1080" s="106"/>
      <c r="BO1080" s="106"/>
    </row>
    <row r="1081" spans="2:67" ht="47.25" customHeight="1" x14ac:dyDescent="0.25">
      <c r="B1081" s="238" t="s">
        <v>288</v>
      </c>
      <c r="C1081" s="239"/>
      <c r="D1081" s="235"/>
      <c r="E1081" s="239"/>
      <c r="F1081" s="240"/>
      <c r="G1081" s="238"/>
      <c r="H1081" s="238"/>
      <c r="I1081" s="238"/>
      <c r="J1081" s="241" t="s">
        <v>289</v>
      </c>
      <c r="K1081" s="241"/>
      <c r="M1081" s="215"/>
      <c r="N1081" s="215"/>
      <c r="O1081" s="215"/>
      <c r="P1081" s="242"/>
      <c r="Q1081" s="242"/>
      <c r="Y1081" s="501"/>
      <c r="BI1081" s="106"/>
      <c r="BJ1081" s="106"/>
      <c r="BK1081" s="106"/>
      <c r="BL1081" s="106"/>
      <c r="BM1081" s="106"/>
      <c r="BN1081" s="106"/>
      <c r="BO1081" s="106"/>
    </row>
    <row r="1082" spans="2:67" ht="3" customHeight="1" x14ac:dyDescent="0.25">
      <c r="B1082" s="215"/>
      <c r="C1082" s="218"/>
      <c r="D1082" s="215"/>
      <c r="E1082" s="218"/>
      <c r="F1082" s="244"/>
      <c r="G1082" s="215"/>
      <c r="J1082" s="245"/>
      <c r="K1082" s="245"/>
      <c r="M1082" s="215"/>
      <c r="N1082" s="215"/>
      <c r="O1082" s="215"/>
      <c r="P1082" s="246"/>
      <c r="Q1082" s="246"/>
      <c r="Y1082" s="501"/>
      <c r="BI1082" s="106"/>
      <c r="BJ1082" s="106"/>
      <c r="BK1082" s="106"/>
      <c r="BL1082" s="106"/>
      <c r="BM1082" s="106"/>
      <c r="BN1082" s="106"/>
      <c r="BO1082" s="106"/>
    </row>
    <row r="1083" spans="2:67" s="656" customFormat="1" ht="15" customHeight="1" x14ac:dyDescent="0.25">
      <c r="B1083" s="658" t="s">
        <v>587</v>
      </c>
      <c r="C1083" s="658"/>
      <c r="D1083" s="658"/>
      <c r="E1083" s="428"/>
      <c r="F1083" s="428"/>
      <c r="G1083" s="428"/>
      <c r="H1083" s="428"/>
      <c r="I1083" s="428"/>
      <c r="J1083" s="659"/>
      <c r="K1083" s="660"/>
      <c r="L1083" s="824"/>
      <c r="M1083" s="825"/>
      <c r="N1083" s="825"/>
      <c r="O1083" s="660"/>
      <c r="P1083" s="661" t="s">
        <v>588</v>
      </c>
      <c r="Q1083" s="827" t="str">
        <f>IF(ADAS0=ADAS02,AIS_statement58,"")</f>
        <v/>
      </c>
      <c r="R1083" s="827"/>
      <c r="S1083" s="827"/>
      <c r="T1083" s="827"/>
      <c r="U1083" s="827"/>
      <c r="V1083" s="827"/>
      <c r="W1083" s="827"/>
      <c r="X1083" s="3"/>
      <c r="Y1083" s="501"/>
      <c r="Z1083" s="501"/>
      <c r="AA1083" s="501"/>
      <c r="AB1083" s="501"/>
      <c r="AC1083" s="501"/>
      <c r="AD1083" s="501"/>
      <c r="AE1083" s="501"/>
      <c r="AF1083" s="501"/>
      <c r="AG1083" s="501"/>
      <c r="AH1083" s="501"/>
      <c r="AI1083" s="501"/>
      <c r="AJ1083" s="501"/>
      <c r="AK1083" s="501"/>
      <c r="AL1083" s="501"/>
      <c r="AM1083" s="501"/>
      <c r="AN1083" s="501"/>
      <c r="AO1083" s="501"/>
      <c r="AP1083" s="501"/>
      <c r="AQ1083" s="501"/>
      <c r="AR1083" s="501"/>
      <c r="AS1083" s="501"/>
      <c r="AT1083" s="501"/>
      <c r="BI1083" s="106"/>
      <c r="BJ1083" s="106"/>
      <c r="BK1083" s="106"/>
      <c r="BL1083" s="106"/>
      <c r="BM1083" s="106"/>
      <c r="BN1083" s="106"/>
      <c r="BO1083" s="106"/>
    </row>
    <row r="1084" spans="2:67" s="656" customFormat="1" ht="3" customHeight="1" x14ac:dyDescent="0.25">
      <c r="B1084" s="662"/>
      <c r="C1084" s="428"/>
      <c r="D1084" s="428"/>
      <c r="E1084" s="428"/>
      <c r="F1084" s="428"/>
      <c r="G1084" s="428"/>
      <c r="H1084" s="428"/>
      <c r="I1084" s="428"/>
      <c r="J1084" s="428"/>
      <c r="K1084" s="660"/>
      <c r="L1084" s="428"/>
      <c r="M1084" s="660"/>
      <c r="N1084" s="660"/>
      <c r="O1084" s="660"/>
      <c r="P1084" s="429"/>
      <c r="Q1084" s="827"/>
      <c r="R1084" s="827"/>
      <c r="S1084" s="827"/>
      <c r="T1084" s="827"/>
      <c r="U1084" s="827"/>
      <c r="V1084" s="827"/>
      <c r="W1084" s="827"/>
      <c r="X1084" s="3"/>
      <c r="Y1084" s="501"/>
      <c r="Z1084" s="501"/>
      <c r="AA1084" s="501"/>
      <c r="AB1084" s="501"/>
      <c r="AC1084" s="501"/>
      <c r="AD1084" s="501"/>
      <c r="AE1084" s="501"/>
      <c r="AF1084" s="501"/>
      <c r="AG1084" s="501"/>
      <c r="AH1084" s="501"/>
      <c r="AI1084" s="501"/>
      <c r="AJ1084" s="501"/>
      <c r="AK1084" s="501"/>
      <c r="AL1084" s="501"/>
      <c r="AM1084" s="501"/>
      <c r="AN1084" s="501"/>
      <c r="AO1084" s="501"/>
      <c r="AP1084" s="501"/>
      <c r="AQ1084" s="501"/>
      <c r="AR1084" s="501"/>
      <c r="AS1084" s="501"/>
      <c r="AT1084" s="501"/>
      <c r="BI1084" s="106"/>
      <c r="BJ1084" s="106"/>
      <c r="BK1084" s="106"/>
      <c r="BL1084" s="106"/>
      <c r="BM1084" s="106"/>
      <c r="BN1084" s="106"/>
      <c r="BO1084" s="106"/>
    </row>
    <row r="1085" spans="2:67" s="656" customFormat="1" ht="15" customHeight="1" x14ac:dyDescent="0.25">
      <c r="B1085" s="663"/>
      <c r="C1085" s="663"/>
      <c r="D1085" s="663"/>
      <c r="E1085" s="663"/>
      <c r="F1085" s="663"/>
      <c r="G1085" s="663"/>
      <c r="H1085" s="664" t="s">
        <v>589</v>
      </c>
      <c r="I1085" s="428"/>
      <c r="J1085" s="223"/>
      <c r="K1085" s="660"/>
      <c r="L1085" s="665"/>
      <c r="M1085" s="660"/>
      <c r="N1085" s="660"/>
      <c r="O1085" s="660"/>
      <c r="P1085" s="666" t="s">
        <v>300</v>
      </c>
      <c r="Q1085" s="827"/>
      <c r="R1085" s="827"/>
      <c r="S1085" s="827"/>
      <c r="T1085" s="827"/>
      <c r="U1085" s="827"/>
      <c r="V1085" s="827"/>
      <c r="W1085" s="827"/>
      <c r="X1085" s="3"/>
      <c r="Y1085" s="501"/>
      <c r="Z1085" s="501"/>
      <c r="AA1085" s="501"/>
      <c r="AB1085" s="501"/>
      <c r="AC1085" s="501"/>
      <c r="AD1085" s="501"/>
      <c r="AE1085" s="501"/>
      <c r="AF1085" s="501"/>
      <c r="AG1085" s="501"/>
      <c r="AH1085" s="501"/>
      <c r="AI1085" s="501"/>
      <c r="AJ1085" s="501"/>
      <c r="AK1085" s="501"/>
      <c r="AL1085" s="501"/>
      <c r="AM1085" s="501"/>
      <c r="AN1085" s="501"/>
      <c r="AO1085" s="501"/>
      <c r="AP1085" s="501"/>
      <c r="AQ1085" s="501"/>
      <c r="AR1085" s="501"/>
      <c r="AS1085" s="501"/>
      <c r="AT1085" s="501"/>
      <c r="BI1085" s="106"/>
      <c r="BJ1085" s="106"/>
      <c r="BK1085" s="106"/>
      <c r="BL1085" s="106"/>
      <c r="BM1085" s="106"/>
      <c r="BN1085" s="106"/>
      <c r="BO1085" s="106"/>
    </row>
    <row r="1086" spans="2:67" s="656" customFormat="1" ht="15" customHeight="1" x14ac:dyDescent="0.25">
      <c r="B1086" s="667"/>
      <c r="C1086" s="667"/>
      <c r="D1086" s="667"/>
      <c r="E1086" s="667"/>
      <c r="F1086" s="668"/>
      <c r="G1086" s="667"/>
      <c r="H1086" s="621" t="s">
        <v>590</v>
      </c>
      <c r="I1086" s="428"/>
      <c r="J1086" s="223"/>
      <c r="K1086" s="660"/>
      <c r="L1086" s="665"/>
      <c r="M1086" s="428"/>
      <c r="N1086" s="428"/>
      <c r="O1086" s="660"/>
      <c r="P1086" s="660"/>
      <c r="Q1086" s="669" t="s">
        <v>591</v>
      </c>
      <c r="X1086" s="3"/>
      <c r="Y1086" s="501"/>
      <c r="Z1086" s="501"/>
      <c r="AA1086" s="501"/>
      <c r="AB1086" s="501"/>
      <c r="AC1086" s="501"/>
      <c r="AD1086" s="501"/>
      <c r="AE1086" s="501"/>
      <c r="AF1086" s="501"/>
      <c r="AG1086" s="501"/>
      <c r="AH1086" s="501"/>
      <c r="AI1086" s="501"/>
      <c r="AJ1086" s="501"/>
      <c r="AK1086" s="501"/>
      <c r="AL1086" s="501"/>
      <c r="AM1086" s="501"/>
      <c r="AN1086" s="501"/>
      <c r="AO1086" s="501"/>
      <c r="AP1086" s="501"/>
      <c r="AQ1086" s="501"/>
      <c r="AR1086" s="501"/>
      <c r="AS1086" s="501"/>
      <c r="AT1086" s="501"/>
      <c r="BI1086" s="106"/>
      <c r="BJ1086" s="106"/>
      <c r="BK1086" s="106"/>
      <c r="BL1086" s="106"/>
      <c r="BM1086" s="106"/>
      <c r="BN1086" s="106"/>
      <c r="BO1086" s="106"/>
    </row>
    <row r="1087" spans="2:67" s="656" customFormat="1" ht="15" customHeight="1" x14ac:dyDescent="0.25">
      <c r="B1087" s="667"/>
      <c r="C1087" s="667"/>
      <c r="D1087" s="667"/>
      <c r="E1087" s="667"/>
      <c r="F1087" s="668"/>
      <c r="G1087" s="667"/>
      <c r="H1087" s="621" t="s">
        <v>592</v>
      </c>
      <c r="I1087" s="428"/>
      <c r="J1087" s="223"/>
      <c r="K1087" s="660"/>
      <c r="L1087" s="670"/>
      <c r="M1087" s="428"/>
      <c r="N1087" s="428"/>
      <c r="O1087" s="660"/>
      <c r="P1087" s="660"/>
      <c r="Q1087" s="669"/>
      <c r="X1087" s="3"/>
      <c r="Y1087" s="501"/>
      <c r="Z1087" s="501"/>
      <c r="AA1087" s="501"/>
      <c r="AB1087" s="501"/>
      <c r="AC1087" s="501"/>
      <c r="AD1087" s="501"/>
      <c r="AE1087" s="501"/>
      <c r="AF1087" s="501"/>
      <c r="AG1087" s="501"/>
      <c r="AH1087" s="501"/>
      <c r="AI1087" s="501"/>
      <c r="AJ1087" s="501"/>
      <c r="AK1087" s="501"/>
      <c r="AL1087" s="501"/>
      <c r="AM1087" s="501"/>
      <c r="AN1087" s="501"/>
      <c r="AO1087" s="501"/>
      <c r="AP1087" s="501"/>
      <c r="AQ1087" s="501"/>
      <c r="AR1087" s="501"/>
      <c r="AS1087" s="501"/>
      <c r="AT1087" s="501"/>
      <c r="BI1087" s="106"/>
      <c r="BJ1087" s="106"/>
      <c r="BK1087" s="106"/>
      <c r="BL1087" s="106"/>
      <c r="BM1087" s="106"/>
      <c r="BN1087" s="106"/>
      <c r="BO1087" s="106"/>
    </row>
    <row r="1088" spans="2:67" s="656" customFormat="1" ht="15" customHeight="1" x14ac:dyDescent="0.25">
      <c r="B1088" s="667"/>
      <c r="C1088" s="667"/>
      <c r="D1088" s="667"/>
      <c r="E1088" s="667"/>
      <c r="F1088" s="668"/>
      <c r="G1088" s="667"/>
      <c r="H1088" s="621" t="s">
        <v>593</v>
      </c>
      <c r="I1088" s="428"/>
      <c r="J1088" s="223"/>
      <c r="K1088" s="660"/>
      <c r="L1088" s="669"/>
      <c r="M1088" s="428"/>
      <c r="N1088" s="428"/>
      <c r="O1088" s="660"/>
      <c r="P1088" s="660"/>
      <c r="Q1088" s="669"/>
      <c r="X1088" s="3"/>
      <c r="Y1088" s="501"/>
      <c r="Z1088" s="501"/>
      <c r="AA1088" s="501"/>
      <c r="AB1088" s="501"/>
      <c r="AC1088" s="501"/>
      <c r="AD1088" s="501"/>
      <c r="AE1088" s="501"/>
      <c r="AF1088" s="501"/>
      <c r="AG1088" s="501"/>
      <c r="AH1088" s="501"/>
      <c r="AI1088" s="501"/>
      <c r="AJ1088" s="501"/>
      <c r="AK1088" s="501"/>
      <c r="AL1088" s="501"/>
      <c r="AM1088" s="501"/>
      <c r="AN1088" s="501"/>
      <c r="AO1088" s="501"/>
      <c r="AP1088" s="501"/>
      <c r="AQ1088" s="501"/>
      <c r="AR1088" s="501"/>
      <c r="AS1088" s="501"/>
      <c r="AT1088" s="501"/>
      <c r="BI1088" s="106"/>
      <c r="BJ1088" s="106"/>
      <c r="BK1088" s="106"/>
      <c r="BL1088" s="106"/>
      <c r="BM1088" s="106"/>
      <c r="BN1088" s="106"/>
      <c r="BO1088" s="106"/>
    </row>
    <row r="1089" spans="1:67" s="656" customFormat="1" ht="15" customHeight="1" x14ac:dyDescent="0.25">
      <c r="B1089" s="667"/>
      <c r="C1089" s="667"/>
      <c r="D1089" s="667"/>
      <c r="E1089" s="667"/>
      <c r="F1089" s="668"/>
      <c r="G1089" s="667"/>
      <c r="H1089" s="621" t="s">
        <v>594</v>
      </c>
      <c r="I1089" s="428"/>
      <c r="J1089" s="223"/>
      <c r="K1089" s="660"/>
      <c r="L1089" s="670"/>
      <c r="M1089" s="428"/>
      <c r="N1089" s="671"/>
      <c r="O1089" s="660"/>
      <c r="P1089" s="660"/>
      <c r="Q1089" s="669"/>
      <c r="X1089" s="3"/>
      <c r="Y1089" s="501"/>
      <c r="Z1089" s="501"/>
      <c r="AA1089" s="501"/>
      <c r="AB1089" s="501"/>
      <c r="AC1089" s="501"/>
      <c r="AD1089" s="501"/>
      <c r="AE1089" s="501"/>
      <c r="AF1089" s="501"/>
      <c r="AG1089" s="501"/>
      <c r="AH1089" s="501"/>
      <c r="AI1089" s="501"/>
      <c r="AJ1089" s="501"/>
      <c r="AK1089" s="501"/>
      <c r="AL1089" s="501"/>
      <c r="AM1089" s="501"/>
      <c r="AN1089" s="501"/>
      <c r="AO1089" s="501"/>
      <c r="AP1089" s="501"/>
      <c r="AQ1089" s="501"/>
      <c r="AR1089" s="501"/>
      <c r="AS1089" s="501"/>
      <c r="AT1089" s="501"/>
      <c r="BI1089" s="106"/>
      <c r="BJ1089" s="106"/>
      <c r="BK1089" s="106"/>
      <c r="BL1089" s="106"/>
      <c r="BM1089" s="106"/>
      <c r="BN1089" s="106"/>
      <c r="BO1089" s="106"/>
    </row>
    <row r="1090" spans="1:67" s="656" customFormat="1" ht="15" customHeight="1" x14ac:dyDescent="0.25">
      <c r="B1090" s="667"/>
      <c r="C1090" s="667"/>
      <c r="D1090" s="667"/>
      <c r="E1090" s="667"/>
      <c r="F1090" s="668"/>
      <c r="G1090" s="667"/>
      <c r="H1090" s="621" t="s">
        <v>595</v>
      </c>
      <c r="I1090" s="428"/>
      <c r="J1090" s="223"/>
      <c r="K1090" s="660"/>
      <c r="L1090" s="669"/>
      <c r="M1090" s="428"/>
      <c r="N1090" s="428"/>
      <c r="O1090" s="660"/>
      <c r="P1090" s="660"/>
      <c r="Q1090" s="669"/>
      <c r="X1090" s="3"/>
      <c r="Y1090" s="501"/>
      <c r="Z1090" s="501"/>
      <c r="AA1090" s="501"/>
      <c r="AB1090" s="501"/>
      <c r="AC1090" s="501"/>
      <c r="AD1090" s="501"/>
      <c r="AE1090" s="501"/>
      <c r="AF1090" s="501"/>
      <c r="AG1090" s="501"/>
      <c r="AH1090" s="501"/>
      <c r="AI1090" s="501"/>
      <c r="AJ1090" s="501"/>
      <c r="AK1090" s="501"/>
      <c r="AL1090" s="501"/>
      <c r="AM1090" s="501"/>
      <c r="AN1090" s="501"/>
      <c r="AO1090" s="501"/>
      <c r="AP1090" s="501"/>
      <c r="AQ1090" s="501"/>
      <c r="AR1090" s="501"/>
      <c r="AS1090" s="501"/>
      <c r="AT1090" s="501"/>
      <c r="BI1090" s="106"/>
      <c r="BJ1090" s="106"/>
      <c r="BK1090" s="106"/>
      <c r="BL1090" s="106"/>
      <c r="BM1090" s="106"/>
      <c r="BN1090" s="106"/>
      <c r="BO1090" s="106"/>
    </row>
    <row r="1091" spans="1:67" s="656" customFormat="1" ht="15" customHeight="1" x14ac:dyDescent="0.25">
      <c r="B1091" s="672"/>
      <c r="C1091" s="672"/>
      <c r="D1091" s="672"/>
      <c r="E1091" s="672"/>
      <c r="F1091" s="673"/>
      <c r="G1091" s="672"/>
      <c r="H1091" s="674"/>
      <c r="I1091" s="428"/>
      <c r="J1091" s="675"/>
      <c r="K1091" s="660"/>
      <c r="L1091" s="669"/>
      <c r="M1091" s="428"/>
      <c r="N1091" s="428"/>
      <c r="O1091" s="660"/>
      <c r="P1091" s="660"/>
      <c r="Q1091" s="669"/>
      <c r="X1091" s="3"/>
      <c r="Y1091" s="501"/>
      <c r="Z1091" s="501"/>
      <c r="AA1091" s="501"/>
      <c r="AB1091" s="501"/>
      <c r="AC1091" s="501"/>
      <c r="AD1091" s="501"/>
      <c r="AE1091" s="501"/>
      <c r="AF1091" s="501"/>
      <c r="AG1091" s="501"/>
      <c r="AH1091" s="501"/>
      <c r="AI1091" s="501"/>
      <c r="AJ1091" s="501"/>
      <c r="AK1091" s="501"/>
      <c r="AL1091" s="501"/>
      <c r="AM1091" s="501"/>
      <c r="AN1091" s="501"/>
      <c r="AO1091" s="501"/>
      <c r="AP1091" s="501"/>
      <c r="AQ1091" s="501"/>
      <c r="AR1091" s="501"/>
      <c r="AS1091" s="501"/>
      <c r="AT1091" s="501"/>
      <c r="BI1091" s="106"/>
      <c r="BJ1091" s="106"/>
      <c r="BK1091" s="106"/>
      <c r="BL1091" s="106"/>
      <c r="BM1091" s="106"/>
      <c r="BN1091" s="106"/>
      <c r="BO1091" s="106"/>
    </row>
    <row r="1092" spans="1:67" s="656" customFormat="1" ht="15" customHeight="1" x14ac:dyDescent="0.25">
      <c r="B1092" s="667"/>
      <c r="C1092" s="667"/>
      <c r="D1092" s="667"/>
      <c r="E1092" s="667"/>
      <c r="F1092" s="668"/>
      <c r="G1092" s="667"/>
      <c r="H1092" s="621" t="s">
        <v>596</v>
      </c>
      <c r="I1092" s="428"/>
      <c r="J1092" s="676"/>
      <c r="K1092" s="660"/>
      <c r="L1092" s="693" t="s">
        <v>597</v>
      </c>
      <c r="M1092" s="428"/>
      <c r="N1092" s="428"/>
      <c r="O1092" s="660"/>
      <c r="P1092" s="660"/>
      <c r="Q1092" s="669"/>
      <c r="X1092" s="3"/>
      <c r="Y1092" s="501"/>
      <c r="Z1092" s="501"/>
      <c r="AA1092" s="501"/>
      <c r="AB1092" s="501"/>
      <c r="AC1092" s="501"/>
      <c r="AD1092" s="501"/>
      <c r="AE1092" s="501"/>
      <c r="AF1092" s="501"/>
      <c r="AG1092" s="501"/>
      <c r="AH1092" s="501"/>
      <c r="AI1092" s="501"/>
      <c r="AJ1092" s="501"/>
      <c r="AK1092" s="501"/>
      <c r="AL1092" s="501"/>
      <c r="AM1092" s="501"/>
      <c r="AN1092" s="501"/>
      <c r="AO1092" s="501"/>
      <c r="AP1092" s="501"/>
      <c r="AQ1092" s="501"/>
      <c r="AR1092" s="501"/>
      <c r="AS1092" s="501"/>
      <c r="AT1092" s="501"/>
      <c r="BI1092" s="106"/>
      <c r="BJ1092" s="106"/>
      <c r="BK1092" s="106"/>
      <c r="BL1092" s="106"/>
      <c r="BM1092" s="106"/>
      <c r="BN1092" s="106"/>
      <c r="BO1092" s="106"/>
    </row>
    <row r="1093" spans="1:67" s="18" customFormat="1" ht="15" customHeight="1" x14ac:dyDescent="0.25">
      <c r="A1093" s="428"/>
      <c r="B1093" s="428"/>
      <c r="C1093" s="428"/>
      <c r="D1093" s="428"/>
      <c r="E1093" s="428"/>
      <c r="F1093" s="428"/>
      <c r="G1093" s="428"/>
      <c r="H1093" s="428"/>
      <c r="I1093" s="428"/>
      <c r="J1093" s="428"/>
      <c r="K1093" s="428"/>
      <c r="L1093" s="428"/>
      <c r="M1093" s="428"/>
      <c r="N1093" s="428"/>
      <c r="O1093" s="660"/>
      <c r="P1093" s="660"/>
      <c r="Q1093" s="669"/>
      <c r="R1093" s="656"/>
      <c r="S1093" s="656"/>
      <c r="T1093" s="656"/>
      <c r="U1093" s="656"/>
      <c r="X1093" s="3"/>
      <c r="Y1093" s="501"/>
      <c r="Z1093" s="501"/>
      <c r="AA1093" s="501"/>
      <c r="AB1093" s="501"/>
      <c r="AC1093" s="501"/>
      <c r="AD1093" s="501"/>
      <c r="AE1093" s="501"/>
      <c r="AF1093" s="501"/>
      <c r="AG1093" s="501"/>
      <c r="AH1093" s="501"/>
      <c r="AI1093" s="501"/>
      <c r="AJ1093" s="501"/>
      <c r="AK1093" s="501"/>
      <c r="AL1093" s="501"/>
      <c r="AM1093" s="501"/>
      <c r="AN1093" s="501"/>
      <c r="AO1093" s="501"/>
      <c r="AP1093" s="501"/>
      <c r="AQ1093" s="501"/>
      <c r="AR1093" s="501"/>
      <c r="AS1093" s="501"/>
      <c r="AT1093" s="501"/>
      <c r="BI1093" s="106"/>
      <c r="BJ1093" s="106"/>
      <c r="BK1093" s="106"/>
      <c r="BL1093" s="106"/>
      <c r="BM1093" s="106"/>
      <c r="BN1093" s="106"/>
      <c r="BO1093" s="106"/>
    </row>
    <row r="1094" spans="1:67" s="656" customFormat="1" ht="15" customHeight="1" x14ac:dyDescent="0.25">
      <c r="B1094" s="677"/>
      <c r="C1094" s="677"/>
      <c r="D1094" s="677"/>
      <c r="E1094" s="677"/>
      <c r="F1094" s="621"/>
      <c r="G1094" s="677"/>
      <c r="H1094" s="621" t="s">
        <v>598</v>
      </c>
      <c r="I1094" s="428"/>
      <c r="J1094" s="678" t="str">
        <f>IF(AND(Wst01_61=AIS_Yes,Wst01_62=AIS_Yes,Wst01_63=AIS_Yes,Wst01_64=AIS_Yes,Wst01_66=AIS_Yes,OR(Wst01_65=AIS_Yes,Wst01_65=AIS_NA)),AIS_Yes,AIS_No)</f>
        <v>No</v>
      </c>
      <c r="K1094" s="660"/>
      <c r="L1094" s="669"/>
      <c r="M1094" s="428"/>
      <c r="N1094" s="428"/>
      <c r="O1094" s="660"/>
      <c r="P1094" s="660"/>
      <c r="Q1094" s="669"/>
      <c r="X1094" s="3"/>
      <c r="Y1094" s="501"/>
      <c r="Z1094" s="501"/>
      <c r="AA1094" s="501"/>
      <c r="AB1094" s="501"/>
      <c r="AC1094" s="501"/>
      <c r="AD1094" s="501"/>
      <c r="AE1094" s="501"/>
      <c r="AF1094" s="501"/>
      <c r="AG1094" s="501"/>
      <c r="AH1094" s="501"/>
      <c r="AI1094" s="501"/>
      <c r="AJ1094" s="501"/>
      <c r="AK1094" s="501"/>
      <c r="AL1094" s="501"/>
      <c r="AM1094" s="501"/>
      <c r="AN1094" s="501"/>
      <c r="AO1094" s="501"/>
      <c r="AP1094" s="501"/>
      <c r="AQ1094" s="501"/>
      <c r="AR1094" s="501"/>
      <c r="AS1094" s="501"/>
      <c r="AT1094" s="501"/>
      <c r="BI1094" s="106"/>
      <c r="BJ1094" s="106"/>
      <c r="BK1094" s="106"/>
      <c r="BL1094" s="106"/>
      <c r="BM1094" s="106"/>
      <c r="BN1094" s="106"/>
      <c r="BO1094" s="106"/>
    </row>
    <row r="1095" spans="1:67" s="656" customFormat="1" ht="15" customHeight="1" x14ac:dyDescent="0.25">
      <c r="B1095" s="669"/>
      <c r="C1095" s="669"/>
      <c r="D1095" s="669"/>
      <c r="E1095" s="669"/>
      <c r="F1095" s="669"/>
      <c r="G1095" s="669"/>
      <c r="H1095" s="669"/>
      <c r="I1095" s="669"/>
      <c r="J1095" s="669"/>
      <c r="K1095" s="669"/>
      <c r="L1095" s="669"/>
      <c r="M1095" s="428"/>
      <c r="N1095" s="428"/>
      <c r="O1095" s="660"/>
      <c r="P1095" s="660"/>
      <c r="Q1095" s="669"/>
      <c r="X1095" s="3"/>
      <c r="Y1095" s="501"/>
      <c r="Z1095" s="501"/>
      <c r="AA1095" s="501"/>
      <c r="AB1095" s="501"/>
      <c r="AC1095" s="501"/>
      <c r="AD1095" s="501"/>
      <c r="AE1095" s="501"/>
      <c r="AF1095" s="501"/>
      <c r="AG1095" s="501"/>
      <c r="AH1095" s="501"/>
      <c r="AI1095" s="501"/>
      <c r="AJ1095" s="501"/>
      <c r="AK1095" s="501"/>
      <c r="AL1095" s="501"/>
      <c r="AM1095" s="501"/>
      <c r="AN1095" s="501"/>
      <c r="AO1095" s="501"/>
      <c r="AP1095" s="501"/>
      <c r="AQ1095" s="501"/>
      <c r="AR1095" s="501"/>
      <c r="AS1095" s="501"/>
      <c r="AT1095" s="501"/>
      <c r="BI1095" s="106"/>
      <c r="BJ1095" s="106"/>
      <c r="BK1095" s="106"/>
      <c r="BL1095" s="106"/>
      <c r="BM1095" s="106"/>
      <c r="BN1095" s="106"/>
      <c r="BO1095" s="106"/>
    </row>
    <row r="1096" spans="1:67" s="656" customFormat="1" ht="15" customHeight="1" x14ac:dyDescent="0.25">
      <c r="B1096" s="677"/>
      <c r="C1096" s="677"/>
      <c r="D1096" s="677"/>
      <c r="E1096" s="677"/>
      <c r="F1096" s="621"/>
      <c r="G1096" s="677"/>
      <c r="H1096" s="621" t="s">
        <v>599</v>
      </c>
      <c r="I1096" s="428"/>
      <c r="J1096" s="223"/>
      <c r="K1096" s="660"/>
      <c r="L1096" s="669"/>
      <c r="M1096" s="428"/>
      <c r="N1096" s="428"/>
      <c r="O1096" s="660"/>
      <c r="P1096" s="660"/>
      <c r="Q1096" s="669"/>
      <c r="X1096" s="3"/>
      <c r="Y1096" s="501"/>
      <c r="Z1096" s="501"/>
      <c r="AA1096" s="501"/>
      <c r="AB1096" s="501"/>
      <c r="AC1096" s="501"/>
      <c r="AD1096" s="501"/>
      <c r="AE1096" s="501"/>
      <c r="AF1096" s="501"/>
      <c r="AG1096" s="501"/>
      <c r="AH1096" s="501"/>
      <c r="AI1096" s="501"/>
      <c r="AJ1096" s="501"/>
      <c r="AK1096" s="501"/>
      <c r="AL1096" s="501"/>
      <c r="AM1096" s="501"/>
      <c r="AN1096" s="501"/>
      <c r="AO1096" s="501"/>
      <c r="AP1096" s="501"/>
      <c r="AQ1096" s="501"/>
      <c r="AR1096" s="501"/>
      <c r="AS1096" s="501"/>
      <c r="AT1096" s="501"/>
      <c r="BI1096" s="106"/>
      <c r="BJ1096" s="106"/>
      <c r="BK1096" s="106"/>
      <c r="BL1096" s="106"/>
      <c r="BM1096" s="106"/>
      <c r="BN1096" s="106"/>
      <c r="BO1096" s="106"/>
    </row>
    <row r="1097" spans="1:67" s="656" customFormat="1" ht="15" customHeight="1" x14ac:dyDescent="0.25">
      <c r="B1097" s="669"/>
      <c r="C1097" s="669"/>
      <c r="D1097" s="669"/>
      <c r="E1097" s="669"/>
      <c r="F1097" s="669"/>
      <c r="G1097" s="669"/>
      <c r="H1097" s="669"/>
      <c r="I1097" s="669"/>
      <c r="J1097" s="669"/>
      <c r="K1097" s="669"/>
      <c r="L1097" s="669"/>
      <c r="M1097" s="428"/>
      <c r="N1097" s="428"/>
      <c r="O1097" s="660"/>
      <c r="P1097" s="660"/>
      <c r="Q1097" s="669"/>
      <c r="X1097" s="3"/>
      <c r="Y1097" s="501"/>
      <c r="Z1097" s="501"/>
      <c r="AA1097" s="501"/>
      <c r="AB1097" s="501"/>
      <c r="AC1097" s="501"/>
      <c r="AD1097" s="501"/>
      <c r="AE1097" s="501"/>
      <c r="AF1097" s="501"/>
      <c r="AG1097" s="501"/>
      <c r="AH1097" s="501"/>
      <c r="AI1097" s="501"/>
      <c r="AJ1097" s="501"/>
      <c r="AK1097" s="501"/>
      <c r="AL1097" s="501"/>
      <c r="AM1097" s="501"/>
      <c r="AN1097" s="501"/>
      <c r="AO1097" s="501"/>
      <c r="AP1097" s="501"/>
      <c r="AQ1097" s="501"/>
      <c r="AR1097" s="501"/>
      <c r="AS1097" s="501"/>
      <c r="AT1097" s="501"/>
      <c r="BI1097" s="106"/>
      <c r="BJ1097" s="106"/>
      <c r="BK1097" s="106"/>
      <c r="BL1097" s="106"/>
      <c r="BM1097" s="106"/>
      <c r="BN1097" s="106"/>
      <c r="BO1097" s="106"/>
    </row>
    <row r="1098" spans="1:67" s="656" customFormat="1" ht="15" customHeight="1" x14ac:dyDescent="0.25">
      <c r="B1098" s="657" t="s">
        <v>600</v>
      </c>
      <c r="C1098" s="679"/>
      <c r="D1098" s="669"/>
      <c r="E1098" s="669"/>
      <c r="F1098" s="669"/>
      <c r="G1098" s="669"/>
      <c r="H1098" s="669"/>
      <c r="I1098" s="669"/>
      <c r="J1098" s="669"/>
      <c r="K1098" s="669"/>
      <c r="L1098" s="669"/>
      <c r="M1098" s="428"/>
      <c r="N1098" s="428"/>
      <c r="O1098" s="660"/>
      <c r="P1098" s="660"/>
      <c r="Q1098" s="669"/>
      <c r="X1098" s="3"/>
      <c r="Y1098" s="501"/>
      <c r="Z1098" s="501"/>
      <c r="AA1098" s="501"/>
      <c r="AB1098" s="501"/>
      <c r="AC1098" s="501"/>
      <c r="AD1098" s="501"/>
      <c r="AE1098" s="501"/>
      <c r="AF1098" s="501"/>
      <c r="AG1098" s="501"/>
      <c r="AH1098" s="501"/>
      <c r="AI1098" s="501"/>
      <c r="AJ1098" s="501"/>
      <c r="AK1098" s="501"/>
      <c r="AL1098" s="501"/>
      <c r="AM1098" s="501"/>
      <c r="AN1098" s="501"/>
      <c r="AO1098" s="501"/>
      <c r="AP1098" s="501"/>
      <c r="AQ1098" s="501"/>
      <c r="AR1098" s="501"/>
      <c r="AS1098" s="501"/>
      <c r="AT1098" s="501"/>
      <c r="BI1098" s="106"/>
      <c r="BJ1098" s="106"/>
      <c r="BK1098" s="106"/>
      <c r="BL1098" s="106"/>
      <c r="BM1098" s="106"/>
      <c r="BN1098" s="106"/>
      <c r="BO1098" s="106"/>
    </row>
    <row r="1099" spans="1:67" s="656" customFormat="1" ht="15" customHeight="1" x14ac:dyDescent="0.25">
      <c r="B1099" s="677"/>
      <c r="C1099" s="677"/>
      <c r="D1099" s="677"/>
      <c r="E1099" s="677"/>
      <c r="F1099" s="621"/>
      <c r="G1099" s="677"/>
      <c r="H1099" s="621" t="s">
        <v>601</v>
      </c>
      <c r="I1099" s="428"/>
      <c r="J1099" s="692"/>
      <c r="K1099" s="660"/>
      <c r="L1099" s="660" t="s">
        <v>602</v>
      </c>
      <c r="M1099" s="660"/>
      <c r="N1099" s="660"/>
      <c r="O1099" s="660"/>
      <c r="P1099" s="660"/>
      <c r="Q1099" s="669"/>
      <c r="X1099" s="3"/>
      <c r="Y1099" s="501"/>
      <c r="Z1099" s="501"/>
      <c r="AA1099" s="501"/>
      <c r="AB1099" s="501"/>
      <c r="AC1099" s="501"/>
      <c r="AD1099" s="501"/>
      <c r="AE1099" s="501"/>
      <c r="AF1099" s="501"/>
      <c r="AG1099" s="501"/>
      <c r="AH1099" s="501"/>
      <c r="AI1099" s="501"/>
      <c r="AJ1099" s="501"/>
      <c r="AK1099" s="501"/>
      <c r="AL1099" s="501"/>
      <c r="AM1099" s="501"/>
      <c r="AN1099" s="501"/>
      <c r="AO1099" s="501"/>
      <c r="AP1099" s="501"/>
      <c r="AQ1099" s="501"/>
      <c r="AR1099" s="501"/>
      <c r="AS1099" s="501"/>
      <c r="AT1099" s="501"/>
      <c r="BI1099" s="106"/>
      <c r="BJ1099" s="106"/>
      <c r="BK1099" s="106"/>
      <c r="BL1099" s="106"/>
      <c r="BM1099" s="106"/>
      <c r="BN1099" s="106"/>
      <c r="BO1099" s="106"/>
    </row>
    <row r="1100" spans="1:67" s="656" customFormat="1" ht="15" customHeight="1" x14ac:dyDescent="0.25">
      <c r="A1100" s="669"/>
      <c r="B1100" s="669"/>
      <c r="C1100" s="669"/>
      <c r="D1100" s="669"/>
      <c r="E1100" s="669"/>
      <c r="F1100" s="669"/>
      <c r="G1100" s="669"/>
      <c r="H1100" s="669"/>
      <c r="I1100" s="669"/>
      <c r="J1100" s="669"/>
      <c r="K1100" s="669"/>
      <c r="L1100" s="669"/>
      <c r="M1100" s="428"/>
      <c r="N1100" s="428"/>
      <c r="O1100" s="660"/>
      <c r="P1100" s="660"/>
      <c r="Q1100" s="669"/>
      <c r="X1100" s="3"/>
      <c r="Y1100" s="501"/>
      <c r="Z1100" s="501"/>
      <c r="AA1100" s="501"/>
      <c r="AB1100" s="501"/>
      <c r="AC1100" s="501"/>
      <c r="AD1100" s="501"/>
      <c r="AE1100" s="501"/>
      <c r="AF1100" s="501"/>
      <c r="AG1100" s="501"/>
      <c r="AH1100" s="501"/>
      <c r="AI1100" s="501"/>
      <c r="AJ1100" s="501"/>
      <c r="AK1100" s="501"/>
      <c r="AL1100" s="501"/>
      <c r="AM1100" s="501"/>
      <c r="AN1100" s="501"/>
      <c r="AO1100" s="501"/>
      <c r="AP1100" s="501"/>
      <c r="AQ1100" s="501"/>
      <c r="AR1100" s="501"/>
      <c r="AS1100" s="501"/>
      <c r="AT1100" s="501"/>
      <c r="BI1100" s="106"/>
      <c r="BJ1100" s="106"/>
      <c r="BK1100" s="106"/>
      <c r="BL1100" s="106"/>
      <c r="BM1100" s="106"/>
      <c r="BN1100" s="106"/>
      <c r="BO1100" s="106"/>
    </row>
    <row r="1101" spans="1:67" s="656" customFormat="1" ht="30.75" customHeight="1" x14ac:dyDescent="0.25">
      <c r="B1101" s="677"/>
      <c r="C1101" s="677"/>
      <c r="D1101" s="677"/>
      <c r="E1101" s="677"/>
      <c r="F1101" s="621"/>
      <c r="G1101" s="677"/>
      <c r="H1101" s="621" t="s">
        <v>603</v>
      </c>
      <c r="I1101" s="428"/>
      <c r="J1101" s="828"/>
      <c r="K1101" s="829"/>
      <c r="L1101" s="829"/>
      <c r="M1101" s="829"/>
      <c r="N1101" s="830"/>
      <c r="O1101" s="660"/>
      <c r="P1101" s="660" t="str">
        <f>IF(J1101="","Enter destination address of non hazardous waste leaving the site","")</f>
        <v>Enter destination address of non hazardous waste leaving the site</v>
      </c>
      <c r="Q1101" s="669"/>
      <c r="X1101" s="3"/>
      <c r="Y1101" s="501"/>
      <c r="Z1101" s="501"/>
      <c r="AA1101" s="501"/>
      <c r="AB1101" s="501"/>
      <c r="AC1101" s="501"/>
      <c r="AD1101" s="501"/>
      <c r="AE1101" s="501"/>
      <c r="AF1101" s="501"/>
      <c r="AG1101" s="501"/>
      <c r="AH1101" s="501"/>
      <c r="AI1101" s="501"/>
      <c r="AJ1101" s="501"/>
      <c r="AK1101" s="501"/>
      <c r="AL1101" s="501"/>
      <c r="AM1101" s="501"/>
      <c r="AN1101" s="501"/>
      <c r="AO1101" s="501"/>
      <c r="AP1101" s="501"/>
      <c r="AQ1101" s="501"/>
      <c r="AR1101" s="501"/>
      <c r="AS1101" s="501"/>
      <c r="AT1101" s="501"/>
      <c r="BI1101" s="106"/>
      <c r="BJ1101" s="106"/>
      <c r="BK1101" s="106"/>
      <c r="BL1101" s="106"/>
      <c r="BM1101" s="106"/>
      <c r="BN1101" s="106"/>
      <c r="BO1101" s="106"/>
    </row>
    <row r="1102" spans="1:67" s="656" customFormat="1" ht="15" customHeight="1" x14ac:dyDescent="0.25">
      <c r="B1102" s="680"/>
      <c r="X1102" s="3"/>
      <c r="Y1102" s="501"/>
      <c r="Z1102" s="501"/>
      <c r="AA1102" s="501"/>
      <c r="AB1102" s="501"/>
      <c r="AC1102" s="501"/>
      <c r="AD1102" s="501"/>
      <c r="AE1102" s="501"/>
      <c r="AF1102" s="501"/>
      <c r="AG1102" s="501"/>
      <c r="AH1102" s="501"/>
      <c r="AI1102" s="501"/>
      <c r="AJ1102" s="501"/>
      <c r="AK1102" s="501"/>
      <c r="AL1102" s="501"/>
      <c r="AM1102" s="501"/>
      <c r="AN1102" s="501"/>
      <c r="AO1102" s="501"/>
      <c r="AP1102" s="501"/>
      <c r="AQ1102" s="501"/>
      <c r="AR1102" s="501"/>
      <c r="AS1102" s="501"/>
      <c r="AT1102" s="501"/>
      <c r="BI1102" s="106"/>
      <c r="BJ1102" s="106"/>
      <c r="BK1102" s="106"/>
      <c r="BL1102" s="106"/>
      <c r="BM1102" s="106"/>
      <c r="BN1102" s="106"/>
      <c r="BO1102" s="106"/>
    </row>
    <row r="1103" spans="1:67" s="656" customFormat="1" ht="15" customHeight="1" x14ac:dyDescent="0.25">
      <c r="B1103" s="677"/>
      <c r="C1103" s="677"/>
      <c r="D1103" s="677"/>
      <c r="E1103" s="677"/>
      <c r="F1103" s="621"/>
      <c r="G1103" s="677"/>
      <c r="H1103" s="621" t="s">
        <v>604</v>
      </c>
      <c r="I1103" s="428"/>
      <c r="J1103" s="681"/>
      <c r="K1103" s="627"/>
      <c r="L1103" s="682" t="s">
        <v>605</v>
      </c>
      <c r="M1103" s="660"/>
      <c r="N1103" s="660" t="s">
        <v>606</v>
      </c>
      <c r="O1103" s="660"/>
      <c r="P1103" s="660"/>
      <c r="Q1103" s="669"/>
      <c r="X1103" s="3"/>
      <c r="Y1103" s="501"/>
      <c r="Z1103" s="501"/>
      <c r="AA1103" s="501"/>
      <c r="AB1103" s="501"/>
      <c r="AC1103" s="501"/>
      <c r="AD1103" s="501"/>
      <c r="AE1103" s="501"/>
      <c r="AF1103" s="501"/>
      <c r="AG1103" s="501"/>
      <c r="AH1103" s="501"/>
      <c r="AI1103" s="501"/>
      <c r="AJ1103" s="501"/>
      <c r="AK1103" s="501"/>
      <c r="AL1103" s="501"/>
      <c r="AM1103" s="501"/>
      <c r="AN1103" s="501"/>
      <c r="AO1103" s="501"/>
      <c r="AP1103" s="501"/>
      <c r="AQ1103" s="501"/>
      <c r="AR1103" s="501"/>
      <c r="AS1103" s="501"/>
      <c r="AT1103" s="501"/>
      <c r="BI1103" s="106"/>
      <c r="BJ1103" s="106"/>
      <c r="BK1103" s="106"/>
      <c r="BL1103" s="106"/>
      <c r="BM1103" s="106"/>
      <c r="BN1103" s="106"/>
      <c r="BO1103" s="106"/>
    </row>
    <row r="1104" spans="1:67" hidden="1" x14ac:dyDescent="0.25">
      <c r="B1104" s="221"/>
      <c r="C1104" s="221"/>
      <c r="D1104" s="221"/>
      <c r="E1104" s="221"/>
      <c r="F1104" s="212"/>
      <c r="G1104" s="221"/>
      <c r="H1104" s="212" t="s">
        <v>607</v>
      </c>
      <c r="J1104" s="223"/>
      <c r="K1104" s="215"/>
      <c r="M1104" s="215"/>
      <c r="N1104" s="215"/>
      <c r="O1104" s="215"/>
      <c r="P1104" s="252"/>
      <c r="Q1104" s="252"/>
      <c r="Y1104" s="501"/>
      <c r="BI1104" s="106"/>
      <c r="BJ1104" s="106"/>
      <c r="BK1104" s="106"/>
      <c r="BL1104" s="106"/>
      <c r="BM1104" s="106"/>
      <c r="BN1104" s="106"/>
      <c r="BO1104" s="106"/>
    </row>
    <row r="1105" spans="2:67" hidden="1" x14ac:dyDescent="0.25">
      <c r="B1105" s="221"/>
      <c r="C1105" s="221"/>
      <c r="D1105" s="221"/>
      <c r="E1105" s="221"/>
      <c r="F1105" s="212"/>
      <c r="G1105" s="221"/>
      <c r="H1105" s="212" t="s">
        <v>608</v>
      </c>
      <c r="J1105" s="223"/>
      <c r="K1105" s="215"/>
      <c r="M1105" s="215"/>
      <c r="N1105" s="215"/>
      <c r="O1105" s="215"/>
      <c r="P1105" s="215"/>
      <c r="Q1105" s="215"/>
      <c r="Y1105" s="501"/>
      <c r="BI1105" s="106"/>
      <c r="BJ1105" s="106"/>
      <c r="BK1105" s="106"/>
      <c r="BL1105" s="106"/>
      <c r="BM1105" s="106"/>
      <c r="BN1105" s="106"/>
      <c r="BO1105" s="106"/>
    </row>
    <row r="1106" spans="2:67" hidden="1" x14ac:dyDescent="0.25">
      <c r="B1106" s="221"/>
      <c r="C1106" s="221"/>
      <c r="D1106" s="221"/>
      <c r="E1106" s="221"/>
      <c r="F1106" s="212"/>
      <c r="G1106" s="221"/>
      <c r="H1106" s="212" t="s">
        <v>609</v>
      </c>
      <c r="J1106" s="223"/>
      <c r="K1106" s="215"/>
      <c r="M1106" s="215"/>
      <c r="N1106" s="215"/>
      <c r="O1106" s="215"/>
      <c r="P1106" s="215"/>
      <c r="Q1106" s="215"/>
      <c r="Y1106" s="501"/>
      <c r="BI1106" s="106"/>
      <c r="BJ1106" s="106"/>
      <c r="BK1106" s="106"/>
      <c r="BL1106" s="106"/>
      <c r="BM1106" s="106"/>
      <c r="BN1106" s="106"/>
      <c r="BO1106" s="106"/>
    </row>
    <row r="1107" spans="2:67" hidden="1" x14ac:dyDescent="0.25">
      <c r="B1107" s="221"/>
      <c r="C1107" s="221"/>
      <c r="D1107" s="221"/>
      <c r="E1107" s="221"/>
      <c r="F1107" s="212"/>
      <c r="G1107" s="221"/>
      <c r="H1107" s="212" t="s">
        <v>610</v>
      </c>
      <c r="J1107" s="223"/>
      <c r="K1107" s="215"/>
      <c r="M1107" s="215"/>
      <c r="N1107" s="215"/>
      <c r="O1107" s="215"/>
      <c r="P1107" s="215"/>
      <c r="Q1107" s="215"/>
      <c r="Y1107" s="501"/>
      <c r="BI1107" s="106"/>
      <c r="BJ1107" s="106"/>
      <c r="BK1107" s="106"/>
      <c r="BL1107" s="106"/>
      <c r="BM1107" s="106"/>
      <c r="BN1107" s="106"/>
      <c r="BO1107" s="106"/>
    </row>
    <row r="1108" spans="2:67" s="18" customFormat="1" ht="24.95" hidden="1" customHeight="1" x14ac:dyDescent="0.25">
      <c r="B1108" s="686" t="s">
        <v>611</v>
      </c>
      <c r="C1108" s="411"/>
      <c r="D1108" s="411"/>
      <c r="E1108" s="411"/>
      <c r="F1108" s="411"/>
      <c r="G1108" s="411"/>
      <c r="H1108" s="411"/>
      <c r="I1108" s="411"/>
      <c r="J1108" s="411"/>
      <c r="K1108" s="412"/>
      <c r="L1108" s="818"/>
      <c r="M1108" s="819"/>
      <c r="N1108" s="819"/>
      <c r="O1108" s="412"/>
      <c r="P1108" s="709" t="str">
        <f>IF(ADAS0=ADAS02,AIS_statement58,"")</f>
        <v/>
      </c>
      <c r="Q1108" s="709"/>
      <c r="R1108" s="709"/>
      <c r="S1108" s="709"/>
      <c r="T1108" s="709"/>
      <c r="U1108" s="709"/>
      <c r="V1108" s="709"/>
      <c r="W1108" s="709"/>
      <c r="X1108" s="709"/>
      <c r="Y1108" s="501"/>
      <c r="Z1108" s="501"/>
      <c r="AA1108" s="501"/>
      <c r="AB1108" s="501"/>
      <c r="AC1108" s="501"/>
      <c r="AD1108" s="501"/>
      <c r="AE1108" s="501"/>
      <c r="AF1108" s="501"/>
      <c r="AG1108" s="501"/>
      <c r="AH1108" s="501"/>
      <c r="AI1108" s="501"/>
      <c r="AJ1108" s="501"/>
      <c r="AK1108" s="501"/>
      <c r="AL1108" s="501"/>
      <c r="AM1108" s="501"/>
      <c r="AN1108" s="501"/>
      <c r="AO1108" s="501"/>
      <c r="AP1108" s="501"/>
      <c r="AQ1108" s="501"/>
      <c r="AR1108" s="501"/>
      <c r="AS1108" s="501"/>
      <c r="AT1108" s="501"/>
      <c r="AU1108" s="501"/>
      <c r="AV1108" s="501"/>
      <c r="AW1108" s="502"/>
      <c r="AX1108" s="503"/>
      <c r="AY1108" s="503"/>
      <c r="AZ1108" s="503"/>
      <c r="BA1108" s="503"/>
      <c r="BB1108" s="503"/>
      <c r="BC1108" s="503"/>
      <c r="BD1108" s="503"/>
      <c r="BE1108" s="503"/>
      <c r="BF1108" s="503"/>
      <c r="BG1108" s="503"/>
      <c r="BH1108" s="503"/>
    </row>
    <row r="1109" spans="2:67" ht="3" hidden="1" customHeight="1" x14ac:dyDescent="0.25">
      <c r="B1109" s="238"/>
      <c r="K1109" s="215"/>
      <c r="M1109" s="215"/>
      <c r="N1109" s="215"/>
      <c r="O1109" s="215"/>
      <c r="P1109" s="709"/>
      <c r="Q1109" s="709"/>
      <c r="R1109" s="709"/>
      <c r="S1109" s="709"/>
      <c r="T1109" s="709"/>
      <c r="U1109" s="709"/>
      <c r="V1109" s="709"/>
      <c r="W1109" s="709"/>
      <c r="X1109" s="709"/>
      <c r="Y1109" s="501"/>
      <c r="BI1109" s="106"/>
      <c r="BJ1109" s="106"/>
      <c r="BK1109" s="106"/>
      <c r="BL1109" s="106"/>
      <c r="BM1109" s="106"/>
      <c r="BN1109" s="106"/>
      <c r="BO1109" s="106"/>
    </row>
    <row r="1110" spans="2:67" ht="15" hidden="1" customHeight="1" x14ac:dyDescent="0.25">
      <c r="B1110" s="222"/>
      <c r="C1110" s="222"/>
      <c r="D1110" s="222"/>
      <c r="E1110" s="222"/>
      <c r="F1110" s="222"/>
      <c r="G1110" s="222"/>
      <c r="H1110" s="328" t="s">
        <v>612</v>
      </c>
      <c r="J1110" s="305"/>
      <c r="K1110" s="215"/>
      <c r="L1110" s="320" t="str">
        <f>IF(Wst01_01=AIS_No,AIS_statement03,"")</f>
        <v/>
      </c>
      <c r="M1110" s="215"/>
      <c r="N1110" s="215"/>
      <c r="O1110" s="215"/>
      <c r="P1110" s="709"/>
      <c r="Q1110" s="709"/>
      <c r="R1110" s="709"/>
      <c r="S1110" s="709"/>
      <c r="T1110" s="709"/>
      <c r="U1110" s="709"/>
      <c r="V1110" s="709"/>
      <c r="W1110" s="709"/>
      <c r="X1110" s="709"/>
      <c r="Y1110" s="501"/>
      <c r="BI1110" s="106"/>
      <c r="BJ1110" s="106"/>
      <c r="BK1110" s="106"/>
      <c r="BL1110" s="106"/>
      <c r="BM1110" s="106"/>
      <c r="BN1110" s="106"/>
      <c r="BO1110" s="106"/>
    </row>
    <row r="1111" spans="2:67" ht="18" hidden="1" customHeight="1" x14ac:dyDescent="0.25">
      <c r="B1111" s="221"/>
      <c r="C1111" s="221"/>
      <c r="D1111" s="221"/>
      <c r="E1111" s="221"/>
      <c r="F1111" s="212"/>
      <c r="G1111" s="221"/>
      <c r="H1111" s="212" t="s">
        <v>613</v>
      </c>
      <c r="J1111" s="289"/>
      <c r="K1111" s="215"/>
      <c r="L1111" s="320" t="str">
        <f>IF(OR(Wst01_01=AIS_No,AND(Wst01_50=AIS_Yes,Wst01_15=AIS_No)),"INA",IF(Wst01_04=AIS_units18,AIS_units16,IF(Wst01_04=AIS_units21,AIS_units17,"Please Select Unit")))</f>
        <v>Please Select Unit</v>
      </c>
      <c r="O1111" s="215"/>
      <c r="P1111" s="209" t="s">
        <v>591</v>
      </c>
      <c r="Q1111" s="215"/>
      <c r="Y1111" s="501"/>
      <c r="BI1111" s="106"/>
      <c r="BJ1111" s="106"/>
      <c r="BK1111" s="106"/>
      <c r="BL1111" s="106"/>
      <c r="BM1111" s="106"/>
      <c r="BN1111" s="106"/>
      <c r="BO1111" s="106"/>
    </row>
    <row r="1112" spans="2:67" ht="15" hidden="1" customHeight="1" x14ac:dyDescent="0.25">
      <c r="B1112" s="221"/>
      <c r="C1112" s="221"/>
      <c r="D1112" s="221"/>
      <c r="E1112" s="221"/>
      <c r="F1112" s="212"/>
      <c r="G1112" s="221"/>
      <c r="H1112" s="212" t="s">
        <v>614</v>
      </c>
      <c r="J1112" s="251" t="str">
        <f>IF(OR(Wst01_02="",Wst01_02=AIS_units22),AIS_units22,Wst01_02*AD_GIA/100)</f>
        <v>INA</v>
      </c>
      <c r="K1112" s="215"/>
      <c r="L1112" s="314" t="str">
        <f>IF(Wst01_04=AIS_units21,AIS_units21,IF(Wst01_04=AIS_units18,AIS_units20,"Please Select Unit"))</f>
        <v>Please Select Unit</v>
      </c>
      <c r="O1112" s="215"/>
      <c r="P1112" s="209" t="str">
        <f>IF(ADAS0=ADAS01,AIS_statement56,"")</f>
        <v/>
      </c>
      <c r="Q1112" s="215"/>
      <c r="Y1112" s="501"/>
      <c r="BI1112" s="106"/>
      <c r="BJ1112" s="106"/>
      <c r="BK1112" s="106"/>
      <c r="BL1112" s="106"/>
      <c r="BM1112" s="106"/>
      <c r="BN1112" s="106"/>
      <c r="BO1112" s="106"/>
    </row>
    <row r="1113" spans="2:67" ht="15" hidden="1" customHeight="1" x14ac:dyDescent="0.25">
      <c r="B1113" s="221"/>
      <c r="C1113" s="221"/>
      <c r="D1113" s="221"/>
      <c r="E1113" s="221"/>
      <c r="F1113" s="212"/>
      <c r="G1113" s="221"/>
      <c r="H1113" s="212" t="s">
        <v>615</v>
      </c>
      <c r="J1113" s="306"/>
      <c r="K1113" s="215"/>
      <c r="L1113" s="209" t="str">
        <f>AIS_units12</f>
        <v>%</v>
      </c>
      <c r="O1113" s="215"/>
      <c r="P1113" s="209" t="str">
        <f>IF(ADAS0=ADAS01,AIS_statement55,"")</f>
        <v/>
      </c>
      <c r="Q1113" s="215"/>
      <c r="Y1113" s="501"/>
      <c r="BI1113" s="106"/>
      <c r="BJ1113" s="106"/>
      <c r="BK1113" s="106"/>
      <c r="BL1113" s="106"/>
      <c r="BM1113" s="106"/>
      <c r="BN1113" s="106"/>
      <c r="BO1113" s="106"/>
    </row>
    <row r="1114" spans="2:67" ht="15" hidden="1" customHeight="1" x14ac:dyDescent="0.25">
      <c r="B1114" s="221"/>
      <c r="C1114" s="221"/>
      <c r="D1114" s="221"/>
      <c r="E1114" s="221"/>
      <c r="F1114" s="212"/>
      <c r="G1114" s="221"/>
      <c r="H1114" s="212" t="s">
        <v>616</v>
      </c>
      <c r="J1114" s="307" t="str">
        <f>IF(OR(Wst01_02=AIS_units22,Wst01_02="",Wst01_05=AIS_units22,Wst01_05=""),AIS_units22,Wst01_03*J1113)</f>
        <v>INA</v>
      </c>
      <c r="K1114" s="215"/>
      <c r="L1114" s="314" t="str">
        <f>IF(Wst01_04=AIS_units18,AIS_units20,IF(Wst01_04=AIS_units21,AIS_units21,"Please Select Unit"))</f>
        <v>Please Select Unit</v>
      </c>
      <c r="O1114" s="215"/>
      <c r="P1114" s="209" t="str">
        <f>IF(ADAS0=ADAS01,AIS_statement56,"")</f>
        <v/>
      </c>
      <c r="Q1114" s="215"/>
      <c r="Y1114" s="501"/>
      <c r="BI1114" s="106"/>
      <c r="BJ1114" s="106"/>
      <c r="BK1114" s="106"/>
      <c r="BL1114" s="106"/>
      <c r="BM1114" s="106"/>
      <c r="BN1114" s="106"/>
      <c r="BO1114" s="106"/>
    </row>
    <row r="1115" spans="2:67" ht="15" hidden="1" customHeight="1" x14ac:dyDescent="0.25">
      <c r="B1115" s="221"/>
      <c r="C1115" s="221"/>
      <c r="D1115" s="221"/>
      <c r="E1115" s="221"/>
      <c r="F1115" s="212"/>
      <c r="G1115" s="221"/>
      <c r="H1115" s="212" t="s">
        <v>617</v>
      </c>
      <c r="J1115" s="308"/>
      <c r="K1115" s="215"/>
      <c r="L1115" s="314" t="str">
        <f>IF(Wst01_04=AIS_units21,AIS_units21,IF(Wst01_04=AIS_units18,AIS_units20,"Please Select Unit"))</f>
        <v>Please Select Unit</v>
      </c>
      <c r="N1115" s="654" t="str">
        <f>IF(ADAS0=ADAS01,"→","")</f>
        <v/>
      </c>
      <c r="O1115" s="215"/>
      <c r="P1115" s="839" t="str">
        <f>IF(ADAS0=ADAS01,AIS_statement55,"")</f>
        <v/>
      </c>
      <c r="Q1115" s="839"/>
      <c r="R1115" s="839"/>
      <c r="S1115" s="839"/>
      <c r="T1115" s="839"/>
      <c r="U1115" s="839"/>
      <c r="V1115" s="839"/>
      <c r="W1115" s="839"/>
      <c r="X1115" s="839"/>
      <c r="Y1115" s="501"/>
      <c r="BI1115" s="106"/>
      <c r="BJ1115" s="106"/>
      <c r="BK1115" s="106"/>
      <c r="BL1115" s="106"/>
      <c r="BM1115" s="106"/>
      <c r="BN1115" s="106"/>
      <c r="BO1115" s="106"/>
    </row>
    <row r="1116" spans="2:67" ht="15" hidden="1" customHeight="1" x14ac:dyDescent="0.25">
      <c r="B1116" s="221"/>
      <c r="C1116" s="221"/>
      <c r="D1116" s="221"/>
      <c r="E1116" s="221"/>
      <c r="F1116" s="212"/>
      <c r="G1116" s="221"/>
      <c r="H1116" s="212" t="s">
        <v>618</v>
      </c>
      <c r="J1116" s="306"/>
      <c r="K1116" s="215"/>
      <c r="L1116" s="209" t="str">
        <f>AIS_units12</f>
        <v>%</v>
      </c>
      <c r="N1116" s="654" t="str">
        <f>IF(ADAS0=ADAS01,"→","")</f>
        <v/>
      </c>
      <c r="O1116" s="215"/>
      <c r="P1116" s="839"/>
      <c r="Q1116" s="839"/>
      <c r="R1116" s="839"/>
      <c r="S1116" s="839"/>
      <c r="T1116" s="839"/>
      <c r="U1116" s="839"/>
      <c r="V1116" s="839"/>
      <c r="W1116" s="839"/>
      <c r="X1116" s="839"/>
      <c r="Y1116" s="501"/>
      <c r="BI1116" s="106"/>
      <c r="BJ1116" s="106"/>
      <c r="BK1116" s="106"/>
      <c r="BL1116" s="106"/>
      <c r="BM1116" s="106"/>
      <c r="BN1116" s="106"/>
      <c r="BO1116" s="106"/>
    </row>
    <row r="1117" spans="2:67" ht="15" hidden="1" customHeight="1" x14ac:dyDescent="0.25">
      <c r="B1117" s="221"/>
      <c r="C1117" s="221"/>
      <c r="D1117" s="221"/>
      <c r="E1117" s="221"/>
      <c r="F1117" s="212"/>
      <c r="G1117" s="221"/>
      <c r="H1117" s="212" t="s">
        <v>619</v>
      </c>
      <c r="J1117" s="307" t="str">
        <f>IF(OR(Wst01_29="",Wst01_29=AIS_units22),AIS_units22,(1-Wst01_07)*Wst01_29)</f>
        <v>INA</v>
      </c>
      <c r="K1117" s="215"/>
      <c r="L1117" s="314" t="str">
        <f>IF(Wst01_04=AIS_units18,AIS_units20,IF(Wst01_04=AIS_units21,AIS_units21,"Please Select Unit"))</f>
        <v>Please Select Unit</v>
      </c>
      <c r="O1117" s="215"/>
      <c r="P1117" s="209" t="str">
        <f>IF(ADAS0=ADAS01,AIS_statement56,"")</f>
        <v/>
      </c>
      <c r="Q1117" s="215"/>
      <c r="Y1117" s="501"/>
      <c r="BI1117" s="106"/>
      <c r="BJ1117" s="106"/>
      <c r="BK1117" s="106"/>
      <c r="BL1117" s="106"/>
      <c r="BM1117" s="106"/>
      <c r="BN1117" s="106"/>
      <c r="BO1117" s="106"/>
    </row>
    <row r="1118" spans="2:67" ht="15" hidden="1" customHeight="1" x14ac:dyDescent="0.25">
      <c r="B1118" s="221"/>
      <c r="C1118" s="221"/>
      <c r="D1118" s="221"/>
      <c r="E1118" s="221"/>
      <c r="F1118" s="212"/>
      <c r="G1118" s="221"/>
      <c r="H1118" s="212" t="s">
        <v>620</v>
      </c>
      <c r="J1118" s="272"/>
      <c r="K1118" s="215"/>
      <c r="L1118" s="314" t="str">
        <f>IF(Wst01_04=AIS_units21,AIS_units21,IF(Wst01_04=AIS_units18,AIS_units20,"Please Select Unit"))</f>
        <v>Please Select Unit</v>
      </c>
      <c r="N1118" s="654" t="str">
        <f>IF(ADAS0=ADAS01,"→","")</f>
        <v/>
      </c>
      <c r="O1118" s="215"/>
      <c r="P1118" s="839" t="str">
        <f>IF(ADAS0=ADAS01,AIS_statement55,"")</f>
        <v/>
      </c>
      <c r="Q1118" s="839"/>
      <c r="R1118" s="839"/>
      <c r="S1118" s="839"/>
      <c r="T1118" s="839"/>
      <c r="U1118" s="839"/>
      <c r="V1118" s="839"/>
      <c r="W1118" s="839"/>
      <c r="X1118" s="839"/>
      <c r="Y1118" s="501"/>
      <c r="BI1118" s="106"/>
      <c r="BJ1118" s="106"/>
      <c r="BK1118" s="106"/>
      <c r="BL1118" s="106"/>
      <c r="BM1118" s="106"/>
      <c r="BN1118" s="106"/>
      <c r="BO1118" s="106"/>
    </row>
    <row r="1119" spans="2:67" ht="15" hidden="1" customHeight="1" x14ac:dyDescent="0.25">
      <c r="B1119" s="221"/>
      <c r="C1119" s="221"/>
      <c r="D1119" s="221"/>
      <c r="E1119" s="221"/>
      <c r="F1119" s="212"/>
      <c r="G1119" s="221"/>
      <c r="H1119" s="212" t="s">
        <v>621</v>
      </c>
      <c r="J1119" s="272"/>
      <c r="K1119" s="215"/>
      <c r="L1119" s="314" t="str">
        <f>IF(Wst01_04=AIS_units21,AIS_units21,IF(Wst01_04=AIS_units18,AIS_units20,"Please Select Unit"))</f>
        <v>Please Select Unit</v>
      </c>
      <c r="N1119" s="654" t="str">
        <f>IF(ADAS0=ADAS01,"→","")</f>
        <v/>
      </c>
      <c r="O1119" s="215"/>
      <c r="P1119" s="839"/>
      <c r="Q1119" s="839"/>
      <c r="R1119" s="839"/>
      <c r="S1119" s="839"/>
      <c r="T1119" s="839"/>
      <c r="U1119" s="839"/>
      <c r="V1119" s="839"/>
      <c r="W1119" s="839"/>
      <c r="X1119" s="839"/>
      <c r="Y1119" s="501"/>
      <c r="BI1119" s="106"/>
      <c r="BJ1119" s="106"/>
      <c r="BK1119" s="106"/>
      <c r="BL1119" s="106"/>
      <c r="BM1119" s="106"/>
      <c r="BN1119" s="106"/>
      <c r="BO1119" s="106"/>
    </row>
    <row r="1120" spans="2:67" ht="15" hidden="1" customHeight="1" x14ac:dyDescent="0.25">
      <c r="B1120" s="221"/>
      <c r="C1120" s="221"/>
      <c r="D1120" s="221"/>
      <c r="E1120" s="221"/>
      <c r="F1120" s="212"/>
      <c r="G1120" s="221"/>
      <c r="H1120" s="212" t="s">
        <v>622</v>
      </c>
      <c r="J1120" s="272"/>
      <c r="K1120" s="215"/>
      <c r="L1120" s="314" t="str">
        <f>IF(Wst01_04=AIS_units21,AIS_units21,IF(Wst01_04=AIS_units18,AIS_units20,"Please Select Unit"))</f>
        <v>Please Select Unit</v>
      </c>
      <c r="N1120" s="654" t="str">
        <f>IF(ADAS0=ADAS01,"→","")</f>
        <v/>
      </c>
      <c r="O1120" s="215"/>
      <c r="P1120" s="839"/>
      <c r="Q1120" s="839"/>
      <c r="R1120" s="839"/>
      <c r="S1120" s="839"/>
      <c r="T1120" s="839"/>
      <c r="U1120" s="839"/>
      <c r="V1120" s="839"/>
      <c r="W1120" s="839"/>
      <c r="X1120" s="839"/>
      <c r="Y1120" s="501"/>
      <c r="BI1120" s="106"/>
      <c r="BJ1120" s="106"/>
      <c r="BK1120" s="106"/>
      <c r="BL1120" s="106"/>
      <c r="BM1120" s="106"/>
      <c r="BN1120" s="106"/>
      <c r="BO1120" s="106"/>
    </row>
    <row r="1121" spans="2:67" ht="15" hidden="1" customHeight="1" x14ac:dyDescent="0.25">
      <c r="B1121" s="221"/>
      <c r="C1121" s="221"/>
      <c r="D1121" s="221"/>
      <c r="E1121" s="221"/>
      <c r="F1121" s="212"/>
      <c r="G1121" s="221"/>
      <c r="H1121" s="212" t="s">
        <v>623</v>
      </c>
      <c r="J1121" s="272"/>
      <c r="K1121" s="215"/>
      <c r="L1121" s="314" t="str">
        <f>IF(Wst01_04=AIS_units21,AIS_units21,IF(Wst01_04=AIS_units18,AIS_units20,"Please Select Unit"))</f>
        <v>Please Select Unit</v>
      </c>
      <c r="N1121" s="654" t="str">
        <f>IF(ADAS0=ADAS01,"→","")</f>
        <v/>
      </c>
      <c r="O1121" s="215"/>
      <c r="P1121" s="839"/>
      <c r="Q1121" s="839"/>
      <c r="R1121" s="839"/>
      <c r="S1121" s="839"/>
      <c r="T1121" s="839"/>
      <c r="U1121" s="839"/>
      <c r="V1121" s="839"/>
      <c r="W1121" s="839"/>
      <c r="X1121" s="839"/>
      <c r="Y1121" s="501"/>
      <c r="BI1121" s="106"/>
      <c r="BJ1121" s="106"/>
      <c r="BK1121" s="106"/>
      <c r="BL1121" s="106"/>
      <c r="BM1121" s="106"/>
      <c r="BN1121" s="106"/>
      <c r="BO1121" s="106"/>
    </row>
    <row r="1122" spans="2:67" x14ac:dyDescent="0.25">
      <c r="M1122" s="215"/>
      <c r="N1122" s="215"/>
      <c r="O1122" s="215"/>
      <c r="P1122" s="215"/>
      <c r="Q1122" s="215"/>
      <c r="Y1122" s="501"/>
      <c r="BI1122" s="106"/>
      <c r="BJ1122" s="106"/>
      <c r="BK1122" s="106"/>
      <c r="BL1122" s="106"/>
      <c r="BM1122" s="106"/>
      <c r="BN1122" s="106"/>
      <c r="BO1122" s="106"/>
    </row>
    <row r="1123" spans="2:67" x14ac:dyDescent="0.25">
      <c r="B1123" s="221"/>
      <c r="C1123" s="222"/>
      <c r="D1123" s="222"/>
      <c r="E1123" s="221"/>
      <c r="F1123" s="212" t="s">
        <v>296</v>
      </c>
      <c r="G1123" s="215"/>
      <c r="H1123" s="216">
        <f>IF(ISERROR(Wst01_Tot_Err),0,Wst01_Tot_Err)</f>
        <v>0</v>
      </c>
      <c r="J1123" s="205"/>
      <c r="K1123" s="215"/>
      <c r="M1123" s="215"/>
      <c r="N1123" s="215"/>
      <c r="O1123" s="215"/>
      <c r="P1123" s="215"/>
      <c r="Q1123" s="215"/>
      <c r="Y1123" s="501"/>
      <c r="BI1123" s="106"/>
      <c r="BJ1123" s="106"/>
      <c r="BK1123" s="106"/>
      <c r="BL1123" s="106"/>
      <c r="BM1123" s="106"/>
      <c r="BN1123" s="106"/>
      <c r="BO1123" s="106"/>
    </row>
    <row r="1124" spans="2:67" ht="3" customHeight="1" x14ac:dyDescent="0.25">
      <c r="B1124" s="215"/>
      <c r="E1124" s="215"/>
      <c r="F1124" s="225"/>
      <c r="G1124" s="215"/>
      <c r="H1124" s="252"/>
      <c r="J1124" s="205"/>
      <c r="K1124" s="215"/>
      <c r="M1124" s="215"/>
      <c r="N1124" s="215"/>
      <c r="O1124" s="215"/>
      <c r="P1124" s="215"/>
      <c r="Q1124" s="215"/>
      <c r="Y1124" s="501"/>
      <c r="Z1124" s="518"/>
      <c r="AA1124" s="518"/>
      <c r="AB1124" s="518"/>
      <c r="AC1124" s="502"/>
      <c r="AD1124" s="502"/>
      <c r="AK1124" s="518"/>
      <c r="AL1124" s="502"/>
      <c r="AM1124" s="502"/>
      <c r="AP1124" s="518"/>
      <c r="AQ1124" s="502"/>
      <c r="AR1124" s="502"/>
      <c r="BI1124" s="106"/>
      <c r="BJ1124" s="106"/>
      <c r="BK1124" s="106"/>
      <c r="BL1124" s="106"/>
      <c r="BM1124" s="106"/>
      <c r="BN1124" s="106"/>
      <c r="BO1124" s="106"/>
    </row>
    <row r="1125" spans="2:67" x14ac:dyDescent="0.25">
      <c r="B1125" s="221"/>
      <c r="C1125" s="222"/>
      <c r="D1125" s="222"/>
      <c r="E1125" s="221"/>
      <c r="F1125" s="212" t="s">
        <v>297</v>
      </c>
      <c r="G1125" s="215"/>
      <c r="H1125" s="217">
        <f>(Wst01_27/Wst01_credits)*Wst01_tot</f>
        <v>0</v>
      </c>
      <c r="J1125" s="205"/>
      <c r="K1125" s="215"/>
      <c r="M1125" s="215"/>
      <c r="N1125" s="215"/>
      <c r="O1125" s="215"/>
      <c r="P1125" s="215"/>
      <c r="Q1125" s="215"/>
      <c r="Y1125" s="501"/>
      <c r="Z1125" s="518"/>
      <c r="AA1125" s="518"/>
      <c r="AB1125" s="518"/>
      <c r="AC1125" s="502"/>
      <c r="AD1125" s="502"/>
      <c r="AK1125" s="518"/>
      <c r="AL1125" s="502"/>
      <c r="AM1125" s="502"/>
      <c r="AP1125" s="518"/>
      <c r="AQ1125" s="502"/>
      <c r="AR1125" s="502"/>
      <c r="BI1125" s="106"/>
      <c r="BJ1125" s="106"/>
      <c r="BK1125" s="106"/>
      <c r="BL1125" s="106"/>
      <c r="BM1125" s="106"/>
      <c r="BN1125" s="106"/>
      <c r="BO1125" s="106"/>
    </row>
    <row r="1126" spans="2:67" ht="3" customHeight="1" x14ac:dyDescent="0.25">
      <c r="K1126" s="215"/>
      <c r="M1126" s="215"/>
      <c r="N1126" s="215"/>
      <c r="O1126" s="215"/>
      <c r="P1126" s="215"/>
      <c r="Q1126" s="215"/>
      <c r="Y1126" s="501"/>
      <c r="BI1126" s="106"/>
      <c r="BJ1126" s="106"/>
      <c r="BK1126" s="106"/>
      <c r="BL1126" s="106"/>
      <c r="BM1126" s="106"/>
      <c r="BN1126" s="106"/>
      <c r="BO1126" s="106"/>
    </row>
    <row r="1127" spans="2:67" x14ac:dyDescent="0.25">
      <c r="B1127" s="221"/>
      <c r="C1127" s="222"/>
      <c r="D1127" s="222"/>
      <c r="E1127" s="221"/>
      <c r="F1127" s="212" t="s">
        <v>298</v>
      </c>
      <c r="H1127" s="216">
        <f>IF(ISERROR(Wst01_17_Err),0,Wst01_17_Err)</f>
        <v>0</v>
      </c>
      <c r="J1127" s="205"/>
      <c r="K1127" s="215"/>
      <c r="L1127" s="202"/>
      <c r="M1127" s="215"/>
      <c r="N1127" s="215"/>
      <c r="O1127" s="215"/>
      <c r="P1127" s="215"/>
      <c r="Q1127" s="215"/>
      <c r="Y1127" s="501"/>
      <c r="BI1127" s="106"/>
      <c r="BJ1127" s="106"/>
      <c r="BK1127" s="106"/>
      <c r="BL1127" s="106"/>
      <c r="BM1127" s="106"/>
      <c r="BN1127" s="106"/>
      <c r="BO1127" s="106"/>
    </row>
    <row r="1128" spans="2:67" ht="3" customHeight="1" x14ac:dyDescent="0.25">
      <c r="K1128" s="215"/>
      <c r="M1128" s="215"/>
      <c r="N1128" s="215"/>
      <c r="O1128" s="215"/>
      <c r="P1128" s="215"/>
      <c r="Q1128" s="215"/>
      <c r="Y1128" s="501"/>
      <c r="BI1128" s="106"/>
      <c r="BJ1128" s="106"/>
      <c r="BK1128" s="106"/>
      <c r="BL1128" s="106"/>
      <c r="BM1128" s="106"/>
      <c r="BN1128" s="106"/>
      <c r="BO1128" s="106"/>
    </row>
    <row r="1129" spans="2:67" x14ac:dyDescent="0.25">
      <c r="B1129" s="221"/>
      <c r="C1129" s="222"/>
      <c r="D1129" s="221"/>
      <c r="E1129" s="221"/>
      <c r="F1129" s="212" t="s">
        <v>299</v>
      </c>
      <c r="H1129" s="226" t="str">
        <f>VLOOKUP(MinSt_12,AIS_MinSt_benchmarks,2,FALSE)</f>
        <v>Excellent level</v>
      </c>
      <c r="I1129" s="226"/>
      <c r="J1129" s="226"/>
      <c r="K1129" s="226"/>
      <c r="L1129" s="226"/>
      <c r="M1129" s="227"/>
      <c r="N1129" s="227"/>
      <c r="O1129" s="215"/>
      <c r="P1129" s="215"/>
      <c r="Q1129" s="215"/>
      <c r="Y1129" s="501"/>
      <c r="BI1129" s="106"/>
      <c r="BJ1129" s="106"/>
      <c r="BK1129" s="106"/>
      <c r="BL1129" s="106"/>
      <c r="BM1129" s="106"/>
      <c r="BN1129" s="106"/>
      <c r="BO1129" s="106"/>
    </row>
    <row r="1130" spans="2:67" x14ac:dyDescent="0.25">
      <c r="M1130" s="215"/>
      <c r="N1130" s="215"/>
      <c r="O1130" s="215"/>
      <c r="P1130" s="215"/>
      <c r="Q1130" s="215"/>
      <c r="Y1130" s="501"/>
      <c r="BI1130" s="106"/>
      <c r="BJ1130" s="106"/>
      <c r="BK1130" s="106"/>
      <c r="BL1130" s="106"/>
      <c r="BM1130" s="106"/>
      <c r="BN1130" s="106"/>
      <c r="BO1130" s="106"/>
    </row>
    <row r="1131" spans="2:67" x14ac:dyDescent="0.25">
      <c r="B1131" s="235" t="s">
        <v>301</v>
      </c>
      <c r="C1131" s="215"/>
      <c r="D1131" s="215"/>
      <c r="E1131" s="215"/>
      <c r="F1131" s="225"/>
      <c r="G1131" s="215"/>
      <c r="H1131" s="215"/>
      <c r="I1131" s="215"/>
      <c r="J1131" s="215"/>
      <c r="K1131" s="215"/>
      <c r="L1131" s="215"/>
      <c r="M1131" s="215"/>
      <c r="N1131" s="215"/>
      <c r="O1131" s="215"/>
      <c r="P1131" s="215"/>
      <c r="Q1131" s="215"/>
      <c r="Y1131" s="501"/>
      <c r="BI1131" s="106"/>
      <c r="BJ1131" s="106"/>
      <c r="BK1131" s="106"/>
      <c r="BL1131" s="106"/>
      <c r="BM1131" s="106"/>
      <c r="BN1131" s="106"/>
      <c r="BO1131" s="106"/>
    </row>
    <row r="1132" spans="2:67" ht="159.94999999999999" customHeight="1" x14ac:dyDescent="0.25">
      <c r="B1132" s="736"/>
      <c r="C1132" s="737"/>
      <c r="D1132" s="737"/>
      <c r="E1132" s="737"/>
      <c r="F1132" s="737"/>
      <c r="G1132" s="737"/>
      <c r="H1132" s="737"/>
      <c r="I1132" s="737"/>
      <c r="J1132" s="737"/>
      <c r="K1132" s="737"/>
      <c r="L1132" s="737"/>
      <c r="M1132" s="737"/>
      <c r="N1132" s="737"/>
      <c r="O1132" s="737"/>
      <c r="P1132" s="738"/>
      <c r="Q1132" s="416"/>
      <c r="Y1132" s="501"/>
      <c r="BI1132" s="106"/>
      <c r="BJ1132" s="106"/>
      <c r="BK1132" s="106"/>
      <c r="BL1132" s="106"/>
      <c r="BM1132" s="106"/>
      <c r="BN1132" s="106"/>
      <c r="BO1132" s="106"/>
    </row>
    <row r="1133" spans="2:67" ht="36" customHeight="1" x14ac:dyDescent="0.25">
      <c r="B1133" s="27" t="s">
        <v>624</v>
      </c>
      <c r="C1133" s="13"/>
      <c r="D1133" s="236"/>
      <c r="E1133" s="237"/>
      <c r="F1133" s="237"/>
      <c r="G1133" s="237"/>
      <c r="H1133" s="237"/>
      <c r="I1133" s="237"/>
      <c r="J1133" s="237"/>
      <c r="K1133" s="237"/>
      <c r="L1133" s="237"/>
      <c r="M1133" s="237"/>
      <c r="N1133" s="237"/>
      <c r="O1133" s="237"/>
      <c r="P1133" s="237"/>
      <c r="Q1133" s="215"/>
      <c r="Y1133" s="501"/>
      <c r="BI1133" s="106"/>
      <c r="BJ1133" s="106"/>
      <c r="BK1133" s="106"/>
      <c r="BL1133" s="106"/>
      <c r="BM1133" s="106"/>
      <c r="BN1133" s="106"/>
      <c r="BO1133" s="106"/>
    </row>
    <row r="1134" spans="2:67" x14ac:dyDescent="0.25">
      <c r="B1134" s="215"/>
      <c r="C1134" s="215"/>
      <c r="D1134" s="215"/>
      <c r="E1134" s="215"/>
      <c r="F1134" s="215"/>
      <c r="G1134" s="215"/>
      <c r="H1134" s="215"/>
      <c r="I1134" s="215"/>
      <c r="J1134" s="215"/>
      <c r="K1134" s="215"/>
      <c r="L1134" s="215"/>
      <c r="M1134" s="215"/>
      <c r="N1134" s="215"/>
      <c r="O1134" s="215"/>
      <c r="P1134" s="215"/>
      <c r="Q1134" s="215"/>
      <c r="Y1134" s="501"/>
      <c r="BI1134" s="106"/>
      <c r="BJ1134" s="106"/>
      <c r="BK1134" s="106"/>
      <c r="BL1134" s="106"/>
      <c r="BM1134" s="106"/>
      <c r="BN1134" s="106"/>
      <c r="BO1134" s="106"/>
    </row>
    <row r="1135" spans="2:67" x14ac:dyDescent="0.25">
      <c r="B1135" s="222"/>
      <c r="C1135" s="222"/>
      <c r="D1135" s="221"/>
      <c r="E1135" s="221"/>
      <c r="F1135" s="212" t="s">
        <v>284</v>
      </c>
      <c r="G1135" s="215"/>
      <c r="H1135" s="216">
        <v>1</v>
      </c>
      <c r="J1135" s="222"/>
      <c r="K1135" s="222"/>
      <c r="L1135" s="222"/>
      <c r="M1135" s="222"/>
      <c r="N1135" s="212" t="s">
        <v>285</v>
      </c>
      <c r="P1135" s="217">
        <f>(BP_39/BP_07)*Wst02_credits</f>
        <v>0</v>
      </c>
      <c r="Q1135" s="217"/>
      <c r="Y1135" s="501"/>
      <c r="BI1135" s="106"/>
      <c r="BJ1135" s="106"/>
      <c r="BK1135" s="106"/>
      <c r="BL1135" s="106"/>
      <c r="BM1135" s="106"/>
      <c r="BN1135" s="106"/>
      <c r="BO1135" s="106"/>
    </row>
    <row r="1136" spans="2:67" ht="3.75" customHeight="1" x14ac:dyDescent="0.25">
      <c r="Y1136" s="501"/>
      <c r="BI1136" s="106"/>
      <c r="BJ1136" s="106"/>
      <c r="BK1136" s="106"/>
      <c r="BL1136" s="106"/>
      <c r="BM1136" s="106"/>
      <c r="BN1136" s="106"/>
      <c r="BO1136" s="106"/>
    </row>
    <row r="1137" spans="2:67" x14ac:dyDescent="0.25">
      <c r="B1137" s="222"/>
      <c r="C1137" s="222"/>
      <c r="D1137" s="221"/>
      <c r="E1137" s="221"/>
      <c r="F1137" s="212" t="s">
        <v>286</v>
      </c>
      <c r="G1137" s="215"/>
      <c r="H1137" s="216">
        <v>1</v>
      </c>
      <c r="J1137" s="221"/>
      <c r="K1137" s="221"/>
      <c r="L1137" s="221"/>
      <c r="M1137" s="221"/>
      <c r="N1137" s="212" t="s">
        <v>287</v>
      </c>
      <c r="O1137" s="215"/>
      <c r="P1137" s="216" t="s">
        <v>125</v>
      </c>
      <c r="Q1137" s="216"/>
      <c r="Y1137" s="501"/>
      <c r="BI1137" s="106"/>
      <c r="BJ1137" s="106"/>
      <c r="BK1137" s="106"/>
      <c r="BL1137" s="106"/>
      <c r="BM1137" s="106"/>
      <c r="BN1137" s="106"/>
      <c r="BO1137" s="106"/>
    </row>
    <row r="1138" spans="2:67" ht="47.25" customHeight="1" x14ac:dyDescent="0.25">
      <c r="B1138" s="238" t="s">
        <v>288</v>
      </c>
      <c r="J1138" s="241" t="s">
        <v>199</v>
      </c>
      <c r="K1138" s="209"/>
      <c r="L1138" s="343"/>
      <c r="M1138" s="343"/>
      <c r="N1138" s="343"/>
      <c r="O1138" s="241"/>
      <c r="P1138" s="242"/>
      <c r="Q1138" s="242"/>
      <c r="Y1138" s="501"/>
      <c r="BI1138" s="106"/>
      <c r="BJ1138" s="106"/>
      <c r="BK1138" s="106"/>
      <c r="BL1138" s="106"/>
      <c r="BM1138" s="106"/>
      <c r="BN1138" s="106"/>
      <c r="BO1138" s="106"/>
    </row>
    <row r="1139" spans="2:67" ht="3" customHeight="1" x14ac:dyDescent="0.25">
      <c r="B1139" s="238"/>
      <c r="J1139" s="209"/>
      <c r="K1139" s="209"/>
      <c r="L1139" s="209"/>
      <c r="M1139" s="209"/>
      <c r="N1139" s="209"/>
      <c r="P1139" s="246"/>
      <c r="Q1139" s="246"/>
      <c r="Y1139" s="501"/>
      <c r="BI1139" s="106"/>
      <c r="BJ1139" s="106"/>
      <c r="BK1139" s="106"/>
      <c r="BL1139" s="106"/>
      <c r="BM1139" s="106"/>
      <c r="BN1139" s="106"/>
      <c r="BO1139" s="106"/>
    </row>
    <row r="1140" spans="2:67" ht="15" customHeight="1" x14ac:dyDescent="0.25">
      <c r="B1140" s="735" t="s">
        <v>625</v>
      </c>
      <c r="C1140" s="735"/>
      <c r="D1140" s="735"/>
      <c r="E1140" s="735"/>
      <c r="F1140" s="735"/>
      <c r="G1140" s="735"/>
      <c r="H1140" s="735"/>
      <c r="J1140" s="694"/>
      <c r="K1140" s="209"/>
      <c r="L1140" s="209"/>
      <c r="M1140" s="209"/>
      <c r="N1140" s="209"/>
      <c r="P1140" s="246"/>
      <c r="Q1140" s="246"/>
      <c r="Y1140" s="501"/>
      <c r="BI1140" s="106"/>
      <c r="BJ1140" s="106"/>
      <c r="BK1140" s="106"/>
      <c r="BL1140" s="106"/>
      <c r="BM1140" s="106"/>
      <c r="BN1140" s="106"/>
      <c r="BO1140" s="106"/>
    </row>
    <row r="1141" spans="2:67" hidden="1" x14ac:dyDescent="0.25">
      <c r="B1141" s="221"/>
      <c r="C1141" s="221"/>
      <c r="D1141" s="221"/>
      <c r="E1141" s="221"/>
      <c r="F1141" s="212"/>
      <c r="G1141" s="221"/>
      <c r="H1141" s="212" t="s">
        <v>626</v>
      </c>
      <c r="J1141" s="568" t="str">
        <f>AC2137</f>
        <v>Input Required</v>
      </c>
      <c r="K1141" s="313"/>
      <c r="L1141" s="610" t="str">
        <f>AD2137</f>
        <v>Input Required</v>
      </c>
      <c r="M1141" s="209"/>
      <c r="N1141" s="209"/>
      <c r="P1141" s="419"/>
      <c r="Q1141" s="419"/>
      <c r="R1141" s="732" t="str">
        <f>IF(ADAS0=ADAS01,AIS_statement59,"")</f>
        <v/>
      </c>
      <c r="S1141" s="732"/>
      <c r="T1141" s="732"/>
      <c r="U1141" s="732"/>
      <c r="V1141" s="732"/>
      <c r="W1141" s="732"/>
      <c r="Y1141" s="501"/>
      <c r="Z1141" s="502"/>
      <c r="AA1141" s="502"/>
      <c r="AB1141" s="502"/>
      <c r="AC1141" s="502"/>
      <c r="AD1141" s="502"/>
      <c r="AE1141" s="502"/>
      <c r="AF1141" s="502"/>
      <c r="AG1141" s="502"/>
      <c r="AH1141" s="502"/>
      <c r="AI1141" s="502"/>
      <c r="AJ1141" s="502"/>
      <c r="AK1141" s="502"/>
      <c r="AL1141" s="502"/>
      <c r="AM1141" s="502"/>
      <c r="AN1141" s="502"/>
      <c r="AO1141" s="502"/>
      <c r="AP1141" s="502"/>
      <c r="AQ1141" s="502"/>
      <c r="AR1141" s="502"/>
      <c r="AS1141" s="502"/>
      <c r="AT1141" s="502"/>
      <c r="AU1141" s="502"/>
      <c r="AV1141" s="502"/>
      <c r="BI1141" s="106"/>
      <c r="BJ1141" s="106"/>
      <c r="BK1141" s="106"/>
      <c r="BL1141" s="106"/>
      <c r="BM1141" s="106"/>
      <c r="BN1141" s="106"/>
      <c r="BO1141" s="106"/>
    </row>
    <row r="1142" spans="2:67" ht="42.6" hidden="1" customHeight="1" x14ac:dyDescent="0.25">
      <c r="J1142" s="757" t="s">
        <v>627</v>
      </c>
      <c r="K1142" s="209"/>
      <c r="L1142" s="757" t="s">
        <v>628</v>
      </c>
      <c r="M1142" s="209"/>
      <c r="N1142" s="758" t="s">
        <v>629</v>
      </c>
      <c r="O1142" s="758"/>
      <c r="P1142" s="758"/>
      <c r="Q1142" s="563"/>
      <c r="R1142" s="732"/>
      <c r="S1142" s="732"/>
      <c r="T1142" s="732"/>
      <c r="U1142" s="732"/>
      <c r="V1142" s="732"/>
      <c r="W1142" s="732"/>
      <c r="Y1142" s="501"/>
      <c r="BI1142" s="106"/>
      <c r="BJ1142" s="106"/>
      <c r="BK1142" s="106"/>
      <c r="BL1142" s="106"/>
      <c r="BM1142" s="106"/>
      <c r="BN1142" s="106"/>
      <c r="BO1142" s="106"/>
    </row>
    <row r="1143" spans="2:67" ht="40.9" hidden="1" customHeight="1" x14ac:dyDescent="0.25">
      <c r="B1143" s="238"/>
      <c r="J1143" s="758"/>
      <c r="K1143" s="209"/>
      <c r="L1143" s="758"/>
      <c r="M1143" s="209"/>
      <c r="N1143" s="563" t="s">
        <v>630</v>
      </c>
      <c r="O1143" s="579"/>
      <c r="P1143" s="579" t="s">
        <v>631</v>
      </c>
      <c r="R1143" s="765"/>
      <c r="S1143" s="765"/>
      <c r="T1143" s="765"/>
      <c r="U1143" s="765"/>
      <c r="V1143" s="765"/>
      <c r="W1143" s="765"/>
      <c r="Y1143" s="501"/>
      <c r="BI1143" s="106"/>
      <c r="BJ1143" s="106"/>
      <c r="BK1143" s="106"/>
      <c r="BL1143" s="106"/>
      <c r="BM1143" s="106"/>
      <c r="BN1143" s="106"/>
      <c r="BO1143" s="106"/>
    </row>
    <row r="1144" spans="2:67" ht="3" hidden="1" customHeight="1" x14ac:dyDescent="0.25">
      <c r="B1144" s="238"/>
      <c r="J1144" s="209"/>
      <c r="K1144" s="209"/>
      <c r="L1144" s="759"/>
      <c r="M1144" s="209"/>
      <c r="N1144" s="209"/>
      <c r="Y1144" s="501"/>
      <c r="BI1144" s="106"/>
      <c r="BJ1144" s="106"/>
      <c r="BK1144" s="106"/>
      <c r="BL1144" s="106"/>
      <c r="BM1144" s="106"/>
      <c r="BN1144" s="106"/>
      <c r="BO1144" s="106"/>
    </row>
    <row r="1145" spans="2:67" ht="15" hidden="1" customHeight="1" x14ac:dyDescent="0.25">
      <c r="B1145" s="221"/>
      <c r="C1145" s="221"/>
      <c r="D1145" s="221"/>
      <c r="E1145" s="221"/>
      <c r="F1145" s="212"/>
      <c r="G1145" s="221"/>
      <c r="H1145" s="212" t="s">
        <v>632</v>
      </c>
      <c r="J1145" s="562"/>
      <c r="K1145" s="313"/>
      <c r="L1145" s="281"/>
      <c r="M1145" s="313"/>
      <c r="N1145" s="582">
        <f t="shared" ref="N1145:N1150" si="0">AG2123</f>
        <v>0</v>
      </c>
      <c r="O1145" s="583"/>
      <c r="P1145" s="582">
        <f t="shared" ref="P1145:P1150" si="1">AH2123</f>
        <v>0</v>
      </c>
      <c r="Q1145" s="578"/>
      <c r="R1145" s="744" t="s">
        <v>633</v>
      </c>
      <c r="S1145" s="744"/>
      <c r="T1145" s="744"/>
      <c r="U1145" s="744"/>
      <c r="V1145" s="744"/>
      <c r="W1145" s="744"/>
      <c r="X1145" s="744"/>
      <c r="Y1145" s="501"/>
      <c r="BI1145" s="106"/>
      <c r="BJ1145" s="106"/>
      <c r="BK1145" s="106"/>
      <c r="BL1145" s="106"/>
      <c r="BM1145" s="106"/>
      <c r="BN1145" s="106"/>
      <c r="BO1145" s="106"/>
    </row>
    <row r="1146" spans="2:67" ht="15" hidden="1" customHeight="1" x14ac:dyDescent="0.25">
      <c r="B1146" s="760" t="s">
        <v>634</v>
      </c>
      <c r="C1146" s="760"/>
      <c r="D1146" s="760"/>
      <c r="E1146" s="760"/>
      <c r="F1146" s="760"/>
      <c r="G1146" s="760"/>
      <c r="H1146" s="760"/>
      <c r="J1146" s="562"/>
      <c r="K1146" s="313"/>
      <c r="L1146" s="281"/>
      <c r="M1146" s="313"/>
      <c r="N1146" s="582">
        <f t="shared" si="0"/>
        <v>0</v>
      </c>
      <c r="O1146" s="583"/>
      <c r="P1146" s="582">
        <f t="shared" si="1"/>
        <v>0</v>
      </c>
      <c r="Q1146" s="578"/>
      <c r="R1146" s="744"/>
      <c r="S1146" s="744"/>
      <c r="T1146" s="744"/>
      <c r="U1146" s="744"/>
      <c r="V1146" s="744"/>
      <c r="W1146" s="744"/>
      <c r="X1146" s="744"/>
      <c r="Y1146" s="501"/>
      <c r="BI1146" s="106"/>
      <c r="BJ1146" s="106"/>
      <c r="BK1146" s="106"/>
      <c r="BL1146" s="106"/>
      <c r="BM1146" s="106"/>
      <c r="BN1146" s="106"/>
      <c r="BO1146" s="106"/>
    </row>
    <row r="1147" spans="2:67" hidden="1" x14ac:dyDescent="0.25">
      <c r="B1147" s="221"/>
      <c r="C1147" s="221"/>
      <c r="D1147" s="221"/>
      <c r="E1147" s="221"/>
      <c r="F1147" s="212"/>
      <c r="G1147" s="221"/>
      <c r="H1147" s="212" t="s">
        <v>635</v>
      </c>
      <c r="J1147" s="562"/>
      <c r="K1147" s="313"/>
      <c r="L1147" s="281"/>
      <c r="M1147" s="313"/>
      <c r="N1147" s="582">
        <f t="shared" si="0"/>
        <v>0</v>
      </c>
      <c r="O1147" s="583"/>
      <c r="P1147" s="582">
        <f t="shared" si="1"/>
        <v>0</v>
      </c>
      <c r="Q1147" s="578"/>
      <c r="Y1147" s="501"/>
      <c r="BI1147" s="106"/>
      <c r="BJ1147" s="106"/>
      <c r="BK1147" s="106"/>
      <c r="BL1147" s="106"/>
      <c r="BM1147" s="106"/>
      <c r="BN1147" s="106"/>
      <c r="BO1147" s="106"/>
    </row>
    <row r="1148" spans="2:67" ht="15.75" hidden="1" customHeight="1" x14ac:dyDescent="0.25">
      <c r="B1148" s="221"/>
      <c r="C1148" s="221"/>
      <c r="D1148" s="221"/>
      <c r="E1148" s="221"/>
      <c r="F1148" s="212"/>
      <c r="G1148" s="221"/>
      <c r="H1148" s="212" t="s">
        <v>636</v>
      </c>
      <c r="J1148" s="562"/>
      <c r="K1148" s="313"/>
      <c r="L1148" s="281"/>
      <c r="M1148" s="313"/>
      <c r="N1148" s="582">
        <f t="shared" si="0"/>
        <v>0</v>
      </c>
      <c r="O1148" s="583"/>
      <c r="P1148" s="582">
        <f t="shared" si="1"/>
        <v>0</v>
      </c>
      <c r="Q1148" s="578"/>
      <c r="R1148" s="732" t="s">
        <v>637</v>
      </c>
      <c r="S1148" s="732"/>
      <c r="T1148" s="732"/>
      <c r="U1148" s="732"/>
      <c r="V1148" s="732"/>
      <c r="W1148" s="732"/>
      <c r="X1148" s="732"/>
      <c r="Y1148" s="501"/>
      <c r="BI1148" s="106"/>
      <c r="BJ1148" s="106"/>
      <c r="BK1148" s="106"/>
      <c r="BL1148" s="106"/>
      <c r="BM1148" s="106"/>
      <c r="BN1148" s="106"/>
      <c r="BO1148" s="106"/>
    </row>
    <row r="1149" spans="2:67" hidden="1" x14ac:dyDescent="0.25">
      <c r="B1149" s="221"/>
      <c r="C1149" s="221"/>
      <c r="D1149" s="221"/>
      <c r="E1149" s="221"/>
      <c r="F1149" s="212"/>
      <c r="G1149" s="221"/>
      <c r="H1149" s="212" t="s">
        <v>638</v>
      </c>
      <c r="J1149" s="562"/>
      <c r="K1149" s="313"/>
      <c r="L1149" s="281"/>
      <c r="M1149" s="313"/>
      <c r="N1149" s="582">
        <f t="shared" si="0"/>
        <v>0</v>
      </c>
      <c r="O1149" s="583"/>
      <c r="P1149" s="582">
        <f t="shared" si="1"/>
        <v>0</v>
      </c>
      <c r="Q1149" s="578"/>
      <c r="R1149" s="732"/>
      <c r="S1149" s="732"/>
      <c r="T1149" s="732"/>
      <c r="U1149" s="732"/>
      <c r="V1149" s="732"/>
      <c r="W1149" s="732"/>
      <c r="X1149" s="732"/>
      <c r="Y1149" s="501"/>
      <c r="BI1149" s="106"/>
      <c r="BJ1149" s="106"/>
      <c r="BK1149" s="106"/>
      <c r="BL1149" s="106"/>
      <c r="BM1149" s="106"/>
      <c r="BN1149" s="106"/>
      <c r="BO1149" s="106"/>
    </row>
    <row r="1150" spans="2:67" ht="16.5" hidden="1" thickBot="1" x14ac:dyDescent="0.3">
      <c r="B1150" s="221"/>
      <c r="C1150" s="221"/>
      <c r="D1150" s="221"/>
      <c r="E1150" s="221"/>
      <c r="F1150" s="212"/>
      <c r="G1150" s="221"/>
      <c r="H1150" s="212" t="s">
        <v>639</v>
      </c>
      <c r="J1150" s="562"/>
      <c r="K1150" s="313"/>
      <c r="L1150" s="569"/>
      <c r="M1150" s="313"/>
      <c r="N1150" s="584">
        <f t="shared" si="0"/>
        <v>0</v>
      </c>
      <c r="O1150" s="583"/>
      <c r="P1150" s="582">
        <f t="shared" si="1"/>
        <v>0</v>
      </c>
      <c r="Q1150" s="578"/>
      <c r="R1150" s="732"/>
      <c r="S1150" s="732"/>
      <c r="T1150" s="732"/>
      <c r="U1150" s="732"/>
      <c r="V1150" s="732"/>
      <c r="W1150" s="732"/>
      <c r="X1150" s="732"/>
      <c r="Y1150" s="501"/>
      <c r="BI1150" s="106"/>
      <c r="BJ1150" s="106"/>
      <c r="BK1150" s="106"/>
      <c r="BL1150" s="106"/>
      <c r="BM1150" s="106"/>
      <c r="BN1150" s="106"/>
      <c r="BO1150" s="106"/>
    </row>
    <row r="1151" spans="2:67" ht="16.5" hidden="1" thickBot="1" x14ac:dyDescent="0.3">
      <c r="J1151" s="209"/>
      <c r="K1151" s="209"/>
      <c r="L1151" s="570">
        <f>SUM(L1145:L1150)</f>
        <v>0</v>
      </c>
      <c r="M1151" s="209"/>
      <c r="N1151" s="585">
        <f>SUM(N1145:N1150)</f>
        <v>0</v>
      </c>
      <c r="O1151" s="583"/>
      <c r="P1151" s="585">
        <f>SUM(P1145:P1150)</f>
        <v>0</v>
      </c>
      <c r="Q1151" s="425"/>
      <c r="Y1151" s="501"/>
      <c r="BI1151" s="106"/>
      <c r="BJ1151" s="106"/>
      <c r="BK1151" s="106"/>
      <c r="BL1151" s="106"/>
      <c r="BM1151" s="106"/>
      <c r="BN1151" s="106"/>
      <c r="BO1151" s="106"/>
    </row>
    <row r="1152" spans="2:67" x14ac:dyDescent="0.25">
      <c r="B1152" s="735" t="s">
        <v>640</v>
      </c>
      <c r="C1152" s="735"/>
      <c r="D1152" s="735"/>
      <c r="E1152" s="735"/>
      <c r="F1152" s="735"/>
      <c r="G1152" s="735"/>
      <c r="H1152" s="735"/>
      <c r="J1152" s="223"/>
      <c r="K1152" s="209"/>
      <c r="L1152" s="209"/>
      <c r="M1152" s="209"/>
      <c r="N1152" s="209"/>
      <c r="O1152" s="209"/>
      <c r="P1152" s="209"/>
      <c r="Q1152" s="209"/>
      <c r="Y1152" s="501"/>
      <c r="BI1152" s="106"/>
      <c r="BJ1152" s="106"/>
      <c r="BK1152" s="106"/>
      <c r="BL1152" s="106"/>
      <c r="BM1152" s="106"/>
      <c r="BN1152" s="106"/>
      <c r="BO1152" s="106"/>
    </row>
    <row r="1153" spans="2:67" x14ac:dyDescent="0.25">
      <c r="J1153" s="209"/>
      <c r="K1153" s="3"/>
      <c r="L1153" s="3"/>
      <c r="M1153" s="3"/>
      <c r="N1153" s="3"/>
      <c r="O1153" s="3"/>
      <c r="P1153" s="3"/>
      <c r="Q1153" s="3"/>
      <c r="R1153" s="3"/>
      <c r="Y1153" s="501"/>
      <c r="BI1153" s="106"/>
      <c r="BJ1153" s="106"/>
      <c r="BK1153" s="106"/>
      <c r="BL1153" s="106"/>
      <c r="BM1153" s="106"/>
      <c r="BN1153" s="106"/>
      <c r="BO1153" s="106"/>
    </row>
    <row r="1154" spans="2:67" x14ac:dyDescent="0.25">
      <c r="B1154" s="221"/>
      <c r="C1154" s="222"/>
      <c r="D1154" s="222"/>
      <c r="E1154" s="221"/>
      <c r="F1154" s="212" t="s">
        <v>296</v>
      </c>
      <c r="G1154" s="215"/>
      <c r="H1154" s="216">
        <f>J1154</f>
        <v>0</v>
      </c>
      <c r="J1154" s="611">
        <f>IF(ISERROR(Wst02_Tot_Err),0,Wst02_Tot_Err)</f>
        <v>0</v>
      </c>
      <c r="K1154" s="313"/>
      <c r="L1154" s="209"/>
      <c r="M1154" s="209"/>
      <c r="N1154" s="209"/>
      <c r="Y1154" s="501"/>
      <c r="BI1154" s="106"/>
      <c r="BJ1154" s="106"/>
      <c r="BK1154" s="106"/>
      <c r="BL1154" s="106"/>
      <c r="BM1154" s="106"/>
      <c r="BN1154" s="106"/>
      <c r="BO1154" s="106"/>
    </row>
    <row r="1155" spans="2:67" ht="3" customHeight="1" x14ac:dyDescent="0.25">
      <c r="B1155" s="215"/>
      <c r="E1155" s="215"/>
      <c r="F1155" s="225"/>
      <c r="G1155" s="215"/>
      <c r="H1155" s="252"/>
      <c r="J1155" s="206"/>
      <c r="K1155" s="313"/>
      <c r="L1155" s="209"/>
      <c r="M1155" s="209"/>
      <c r="N1155" s="209"/>
      <c r="Y1155" s="501"/>
      <c r="AK1155" s="519"/>
      <c r="AL1155" s="520"/>
      <c r="AM1155" s="520"/>
      <c r="AN1155" s="502"/>
      <c r="AO1155" s="502"/>
      <c r="BI1155" s="106"/>
      <c r="BJ1155" s="106"/>
      <c r="BK1155" s="106"/>
      <c r="BL1155" s="106"/>
      <c r="BM1155" s="106"/>
      <c r="BN1155" s="106"/>
      <c r="BO1155" s="106"/>
    </row>
    <row r="1156" spans="2:67" x14ac:dyDescent="0.25">
      <c r="B1156" s="221"/>
      <c r="C1156" s="222"/>
      <c r="D1156" s="222"/>
      <c r="E1156" s="221"/>
      <c r="F1156" s="212" t="s">
        <v>297</v>
      </c>
      <c r="G1156" s="215"/>
      <c r="H1156" s="217">
        <f>(Wst02_14/Wst02_credits)*Wst02_tot</f>
        <v>0</v>
      </c>
      <c r="J1156" s="206"/>
      <c r="K1156" s="313"/>
      <c r="L1156" s="209"/>
      <c r="M1156" s="209"/>
      <c r="N1156" s="209"/>
      <c r="Y1156" s="501"/>
      <c r="AK1156" s="519"/>
      <c r="AL1156" s="520"/>
      <c r="AM1156" s="520"/>
      <c r="AN1156" s="502"/>
      <c r="AO1156" s="502"/>
      <c r="BI1156" s="106"/>
      <c r="BJ1156" s="106"/>
      <c r="BK1156" s="106"/>
      <c r="BL1156" s="106"/>
      <c r="BM1156" s="106"/>
      <c r="BN1156" s="106"/>
      <c r="BO1156" s="106"/>
    </row>
    <row r="1157" spans="2:67" ht="3" customHeight="1" x14ac:dyDescent="0.25">
      <c r="J1157" s="209"/>
      <c r="K1157" s="313"/>
      <c r="L1157" s="209"/>
      <c r="M1157" s="313"/>
      <c r="N1157" s="313"/>
      <c r="O1157" s="215"/>
      <c r="Y1157" s="501"/>
      <c r="BI1157" s="106"/>
      <c r="BJ1157" s="106"/>
      <c r="BK1157" s="106"/>
      <c r="BL1157" s="106"/>
      <c r="BM1157" s="106"/>
      <c r="BN1157" s="106"/>
      <c r="BO1157" s="106"/>
    </row>
    <row r="1158" spans="2:67" x14ac:dyDescent="0.25">
      <c r="B1158" s="221"/>
      <c r="C1158" s="222"/>
      <c r="D1158" s="222"/>
      <c r="E1158" s="221"/>
      <c r="F1158" s="212" t="s">
        <v>298</v>
      </c>
      <c r="H1158" s="216">
        <f>IF(AND(Wst02_16&gt;=0.5,Wst02_17=AIS_Yes),1,0)</f>
        <v>0</v>
      </c>
      <c r="J1158" s="611">
        <f>IF(AD2122=AIS_Yes,1,0)</f>
        <v>0</v>
      </c>
      <c r="K1158" s="313"/>
      <c r="L1158" s="209"/>
      <c r="M1158" s="313"/>
      <c r="N1158" s="313"/>
      <c r="O1158" s="215"/>
      <c r="Y1158" s="501"/>
      <c r="BI1158" s="106"/>
      <c r="BJ1158" s="106"/>
      <c r="BK1158" s="106"/>
      <c r="BL1158" s="106"/>
      <c r="BM1158" s="106"/>
      <c r="BN1158" s="106"/>
      <c r="BO1158" s="106"/>
    </row>
    <row r="1159" spans="2:67" ht="3" customHeight="1" x14ac:dyDescent="0.25">
      <c r="J1159" s="209"/>
      <c r="K1159" s="313"/>
      <c r="L1159" s="209"/>
      <c r="M1159" s="313"/>
      <c r="N1159" s="313"/>
      <c r="O1159" s="215"/>
      <c r="Y1159" s="501"/>
      <c r="BI1159" s="106"/>
      <c r="BJ1159" s="106"/>
      <c r="BK1159" s="106"/>
      <c r="BL1159" s="106"/>
      <c r="BM1159" s="106"/>
      <c r="BN1159" s="106"/>
      <c r="BO1159" s="106"/>
    </row>
    <row r="1160" spans="2:67" x14ac:dyDescent="0.25">
      <c r="B1160" s="221"/>
      <c r="C1160" s="222"/>
      <c r="D1160" s="221"/>
      <c r="E1160" s="221"/>
      <c r="F1160" s="212" t="s">
        <v>299</v>
      </c>
      <c r="H1160" s="216" t="s">
        <v>300</v>
      </c>
      <c r="J1160" s="209"/>
      <c r="K1160" s="313"/>
      <c r="L1160" s="209"/>
      <c r="M1160" s="313"/>
      <c r="N1160" s="313"/>
      <c r="O1160" s="215"/>
      <c r="P1160" s="215"/>
      <c r="Q1160" s="215"/>
      <c r="Y1160" s="501"/>
      <c r="BI1160" s="106"/>
      <c r="BJ1160" s="106"/>
      <c r="BK1160" s="106"/>
      <c r="BL1160" s="106"/>
      <c r="BM1160" s="106"/>
      <c r="BN1160" s="106"/>
      <c r="BO1160" s="106"/>
    </row>
    <row r="1161" spans="2:67" x14ac:dyDescent="0.25">
      <c r="J1161" s="209"/>
      <c r="K1161" s="209"/>
      <c r="L1161" s="209"/>
      <c r="M1161" s="313"/>
      <c r="N1161" s="313"/>
      <c r="O1161" s="215"/>
      <c r="P1161" s="215"/>
      <c r="Q1161" s="215"/>
      <c r="Y1161" s="501"/>
      <c r="BI1161" s="106"/>
      <c r="BJ1161" s="106"/>
      <c r="BK1161" s="106"/>
      <c r="BL1161" s="106"/>
      <c r="BM1161" s="106"/>
      <c r="BN1161" s="106"/>
      <c r="BO1161" s="106"/>
    </row>
    <row r="1162" spans="2:67" x14ac:dyDescent="0.25">
      <c r="B1162" s="235" t="s">
        <v>301</v>
      </c>
      <c r="C1162" s="215"/>
      <c r="D1162" s="215"/>
      <c r="E1162" s="215"/>
      <c r="F1162" s="225"/>
      <c r="G1162" s="215"/>
      <c r="H1162" s="215"/>
      <c r="I1162" s="215"/>
      <c r="J1162" s="215"/>
      <c r="K1162" s="215"/>
      <c r="L1162" s="215"/>
      <c r="M1162" s="215"/>
      <c r="N1162" s="215"/>
      <c r="O1162" s="215"/>
      <c r="P1162" s="215"/>
      <c r="Q1162" s="215"/>
      <c r="Y1162" s="501"/>
      <c r="BI1162" s="106"/>
      <c r="BJ1162" s="106"/>
      <c r="BK1162" s="106"/>
      <c r="BL1162" s="106"/>
      <c r="BM1162" s="106"/>
      <c r="BN1162" s="106"/>
      <c r="BO1162" s="106"/>
    </row>
    <row r="1163" spans="2:67" ht="159.94999999999999" customHeight="1" x14ac:dyDescent="0.25">
      <c r="B1163" s="736"/>
      <c r="C1163" s="737"/>
      <c r="D1163" s="737"/>
      <c r="E1163" s="737"/>
      <c r="F1163" s="737"/>
      <c r="G1163" s="737"/>
      <c r="H1163" s="737"/>
      <c r="I1163" s="737"/>
      <c r="J1163" s="737"/>
      <c r="K1163" s="737"/>
      <c r="L1163" s="737"/>
      <c r="M1163" s="737"/>
      <c r="N1163" s="737"/>
      <c r="O1163" s="737"/>
      <c r="P1163" s="738"/>
      <c r="Q1163" s="416"/>
      <c r="Y1163" s="501"/>
      <c r="BI1163" s="106"/>
      <c r="BJ1163" s="106"/>
      <c r="BK1163" s="106"/>
      <c r="BL1163" s="106"/>
      <c r="BM1163" s="106"/>
      <c r="BN1163" s="106"/>
      <c r="BO1163" s="106"/>
    </row>
    <row r="1164" spans="2:67" ht="36" customHeight="1" x14ac:dyDescent="0.25">
      <c r="B1164" s="27" t="s">
        <v>641</v>
      </c>
      <c r="C1164" s="13"/>
      <c r="D1164" s="236"/>
      <c r="E1164" s="237"/>
      <c r="F1164" s="237"/>
      <c r="G1164" s="237"/>
      <c r="H1164" s="237"/>
      <c r="I1164" s="237"/>
      <c r="J1164" s="237"/>
      <c r="K1164" s="237"/>
      <c r="L1164" s="237"/>
      <c r="M1164" s="237"/>
      <c r="N1164" s="237"/>
      <c r="O1164" s="237"/>
      <c r="P1164" s="329" t="str">
        <f>IF(ADBT0=ADBT8,AIS_statement32,"")</f>
        <v/>
      </c>
      <c r="Q1164" s="215"/>
      <c r="R1164" s="192">
        <f>IF(Wst03_14=AIS_statement32,1,0)</f>
        <v>0</v>
      </c>
      <c r="Y1164" s="501"/>
      <c r="BI1164" s="106"/>
      <c r="BJ1164" s="106"/>
      <c r="BK1164" s="106"/>
      <c r="BL1164" s="106"/>
      <c r="BM1164" s="106"/>
      <c r="BN1164" s="106"/>
      <c r="BO1164" s="106"/>
    </row>
    <row r="1165" spans="2:67" x14ac:dyDescent="0.25">
      <c r="B1165" s="215"/>
      <c r="C1165" s="215"/>
      <c r="D1165" s="215"/>
      <c r="E1165" s="215"/>
      <c r="F1165" s="215"/>
      <c r="G1165" s="215"/>
      <c r="H1165" s="215"/>
      <c r="I1165" s="215"/>
      <c r="J1165" s="215"/>
      <c r="K1165" s="215"/>
      <c r="L1165" s="215"/>
      <c r="M1165" s="215"/>
      <c r="N1165" s="215"/>
      <c r="O1165" s="215"/>
      <c r="P1165" s="215"/>
      <c r="Q1165" s="215"/>
      <c r="Y1165" s="501"/>
      <c r="BI1165" s="106"/>
      <c r="BJ1165" s="106"/>
      <c r="BK1165" s="106"/>
      <c r="BL1165" s="106"/>
      <c r="BM1165" s="106"/>
      <c r="BN1165" s="106"/>
      <c r="BO1165" s="106"/>
    </row>
    <row r="1166" spans="2:67" x14ac:dyDescent="0.25">
      <c r="B1166" s="222"/>
      <c r="C1166" s="222"/>
      <c r="D1166" s="221"/>
      <c r="E1166" s="221"/>
      <c r="F1166" s="212" t="s">
        <v>284</v>
      </c>
      <c r="G1166" s="215"/>
      <c r="H1166" s="216">
        <f>IF(Wst03a_switch=1,AIS_NA,1)</f>
        <v>1</v>
      </c>
      <c r="J1166" s="222"/>
      <c r="K1166" s="222"/>
      <c r="L1166" s="222"/>
      <c r="M1166" s="222"/>
      <c r="N1166" s="212" t="s">
        <v>285</v>
      </c>
      <c r="P1166" s="217">
        <f>IF(Wst03a_switch=1,AIS_NA,(BP_39/BP_07)*Wst03_credits)</f>
        <v>0</v>
      </c>
      <c r="Q1166" s="217"/>
      <c r="Y1166" s="501"/>
      <c r="BI1166" s="106"/>
      <c r="BJ1166" s="106"/>
      <c r="BK1166" s="106"/>
      <c r="BL1166" s="106"/>
      <c r="BM1166" s="106"/>
      <c r="BN1166" s="106"/>
      <c r="BO1166" s="106"/>
    </row>
    <row r="1167" spans="2:67" ht="3.75" customHeight="1" x14ac:dyDescent="0.25">
      <c r="Y1167" s="501"/>
      <c r="BI1167" s="106"/>
      <c r="BJ1167" s="106"/>
      <c r="BK1167" s="106"/>
      <c r="BL1167" s="106"/>
      <c r="BM1167" s="106"/>
      <c r="BN1167" s="106"/>
      <c r="BO1167" s="106"/>
    </row>
    <row r="1168" spans="2:67" x14ac:dyDescent="0.25">
      <c r="B1168" s="222"/>
      <c r="C1168" s="222"/>
      <c r="D1168" s="221"/>
      <c r="E1168" s="221"/>
      <c r="F1168" s="212" t="s">
        <v>286</v>
      </c>
      <c r="G1168" s="215"/>
      <c r="H1168" s="216">
        <v>0</v>
      </c>
      <c r="J1168" s="221"/>
      <c r="K1168" s="221"/>
      <c r="L1168" s="221"/>
      <c r="M1168" s="221"/>
      <c r="N1168" s="212" t="s">
        <v>287</v>
      </c>
      <c r="O1168" s="215"/>
      <c r="P1168" s="216" t="str">
        <f>IF(Wst03a_switch=1,AIS_NA,AIS_Yes)</f>
        <v>Yes</v>
      </c>
      <c r="Q1168" s="216"/>
      <c r="Y1168" s="501"/>
      <c r="BI1168" s="106"/>
      <c r="BJ1168" s="106"/>
      <c r="BK1168" s="106"/>
      <c r="BL1168" s="106"/>
      <c r="BM1168" s="106"/>
      <c r="BN1168" s="106"/>
      <c r="BO1168" s="106"/>
    </row>
    <row r="1169" spans="2:67" ht="47.25" customHeight="1" x14ac:dyDescent="0.25">
      <c r="B1169" s="238" t="s">
        <v>288</v>
      </c>
      <c r="C1169" s="239"/>
      <c r="D1169" s="235"/>
      <c r="E1169" s="239"/>
      <c r="F1169" s="240"/>
      <c r="G1169" s="238"/>
      <c r="H1169" s="238"/>
      <c r="I1169" s="238"/>
      <c r="J1169" s="241" t="s">
        <v>289</v>
      </c>
      <c r="K1169" s="241"/>
      <c r="L1169" s="242" t="s">
        <v>290</v>
      </c>
      <c r="N1169" s="242" t="s">
        <v>291</v>
      </c>
      <c r="P1169" s="242"/>
      <c r="Q1169" s="242"/>
      <c r="Y1169" s="501"/>
      <c r="BI1169" s="106"/>
      <c r="BJ1169" s="106"/>
      <c r="BK1169" s="106"/>
      <c r="BL1169" s="106"/>
      <c r="BM1169" s="106"/>
      <c r="BN1169" s="106"/>
      <c r="BO1169" s="106"/>
    </row>
    <row r="1170" spans="2:67" ht="3" customHeight="1" x14ac:dyDescent="0.25">
      <c r="B1170" s="215"/>
      <c r="C1170" s="218"/>
      <c r="D1170" s="215"/>
      <c r="E1170" s="218"/>
      <c r="F1170" s="244"/>
      <c r="G1170" s="215"/>
      <c r="J1170" s="245"/>
      <c r="K1170" s="245"/>
      <c r="L1170" s="215"/>
      <c r="M1170" s="215"/>
      <c r="N1170" s="246"/>
      <c r="O1170" s="218"/>
      <c r="P1170" s="246"/>
      <c r="Q1170" s="246"/>
      <c r="Y1170" s="501"/>
      <c r="BI1170" s="106"/>
      <c r="BJ1170" s="106"/>
      <c r="BK1170" s="106"/>
      <c r="BL1170" s="106"/>
      <c r="BM1170" s="106"/>
      <c r="BN1170" s="106"/>
      <c r="BO1170" s="106"/>
    </row>
    <row r="1171" spans="2:67" x14ac:dyDescent="0.25">
      <c r="B1171" s="221"/>
      <c r="C1171" s="221"/>
      <c r="D1171" s="221"/>
      <c r="E1171" s="221"/>
      <c r="F1171" s="212"/>
      <c r="G1171" s="221"/>
      <c r="H1171" s="212" t="s">
        <v>642</v>
      </c>
      <c r="J1171" s="223"/>
      <c r="K1171" s="215"/>
      <c r="L1171" s="224">
        <f>Wst03_credits</f>
        <v>1</v>
      </c>
      <c r="M1171" s="215"/>
      <c r="N1171" s="224">
        <f>IF(Wst03_02=AIS_No,0,IF(OR(Wst03_02="",Wst03_03="",Wst03_04=""),0,IF(AND(Wst03_11="",AND(Wst03_02=AIS_Yes,OR(Wst03_03=AIS_Yes,Wst03_03=AIS_NA),OR(Wst03_04=AIS_Yes,Wst03_04=AIS_NA))),Wst03_06,IF(OR(Wst03_02=AIS_No,Wst03_03=AIS_No,Wst03_04=AIS_No,Wst03_05=AIS_No),0,Wst03_06))))</f>
        <v>0</v>
      </c>
      <c r="O1171" s="215"/>
      <c r="P1171" s="252"/>
      <c r="Q1171" s="252"/>
      <c r="Y1171" s="501"/>
      <c r="BI1171" s="106"/>
      <c r="BJ1171" s="106"/>
      <c r="BK1171" s="106"/>
      <c r="BL1171" s="106"/>
      <c r="BM1171" s="106"/>
      <c r="BN1171" s="106"/>
      <c r="BO1171" s="106"/>
    </row>
    <row r="1172" spans="2:67" ht="15" customHeight="1" x14ac:dyDescent="0.25">
      <c r="B1172" s="221"/>
      <c r="C1172" s="221"/>
      <c r="D1172" s="221"/>
      <c r="E1172" s="221"/>
      <c r="F1172" s="212"/>
      <c r="G1172" s="221"/>
      <c r="H1172" s="212" t="s">
        <v>643</v>
      </c>
      <c r="J1172" s="223"/>
      <c r="K1172" s="215"/>
      <c r="M1172" s="215"/>
      <c r="O1172" s="215"/>
      <c r="P1172" s="252"/>
      <c r="Q1172" s="252"/>
      <c r="R1172" s="732" t="str">
        <f>IF(Wst03_02=AIS_No,"",AIS_statement60)</f>
        <v>Instruction: if the specification of the additional operational waste facility/facilities is not applicable due to the absence or lack of a consistent volume of the appropriate waste stream(s) then select "N/A".</v>
      </c>
      <c r="S1172" s="732"/>
      <c r="T1172" s="732"/>
      <c r="U1172" s="732"/>
      <c r="V1172" s="732"/>
      <c r="W1172" s="732"/>
      <c r="X1172" s="732"/>
      <c r="Y1172" s="501"/>
      <c r="BI1172" s="106"/>
      <c r="BJ1172" s="106"/>
      <c r="BK1172" s="106"/>
      <c r="BL1172" s="106"/>
      <c r="BM1172" s="106"/>
      <c r="BN1172" s="106"/>
      <c r="BO1172" s="106"/>
    </row>
    <row r="1173" spans="2:67" x14ac:dyDescent="0.25">
      <c r="B1173" s="221"/>
      <c r="C1173" s="221"/>
      <c r="D1173" s="221"/>
      <c r="E1173" s="221"/>
      <c r="F1173" s="212"/>
      <c r="G1173" s="221"/>
      <c r="H1173" s="212" t="s">
        <v>644</v>
      </c>
      <c r="J1173" s="223"/>
      <c r="K1173" s="215"/>
      <c r="M1173" s="215"/>
      <c r="O1173" s="215"/>
      <c r="P1173" s="252"/>
      <c r="Q1173" s="252"/>
      <c r="R1173" s="732"/>
      <c r="S1173" s="732"/>
      <c r="T1173" s="732"/>
      <c r="U1173" s="732"/>
      <c r="V1173" s="732"/>
      <c r="W1173" s="732"/>
      <c r="X1173" s="732"/>
      <c r="Y1173" s="501"/>
      <c r="BI1173" s="106"/>
      <c r="BJ1173" s="106"/>
      <c r="BK1173" s="106"/>
      <c r="BL1173" s="106"/>
      <c r="BM1173" s="106"/>
      <c r="BN1173" s="106"/>
      <c r="BO1173" s="106"/>
    </row>
    <row r="1174" spans="2:67" ht="3" customHeight="1" x14ac:dyDescent="0.25">
      <c r="B1174" s="295"/>
      <c r="C1174" s="295"/>
      <c r="D1174" s="295"/>
      <c r="E1174" s="295"/>
      <c r="F1174" s="274"/>
      <c r="G1174" s="295"/>
      <c r="H1174" s="274"/>
      <c r="J1174" s="400"/>
      <c r="K1174" s="215"/>
      <c r="M1174" s="215"/>
      <c r="O1174" s="215"/>
      <c r="P1174" s="252"/>
      <c r="Q1174" s="252"/>
      <c r="R1174" s="210"/>
      <c r="S1174" s="210"/>
      <c r="T1174" s="210"/>
      <c r="U1174" s="210"/>
      <c r="V1174" s="210"/>
      <c r="W1174" s="210"/>
      <c r="X1174" s="210"/>
      <c r="Y1174" s="501"/>
      <c r="BI1174" s="106"/>
      <c r="BJ1174" s="106"/>
      <c r="BK1174" s="106"/>
      <c r="BL1174" s="106"/>
      <c r="BM1174" s="106"/>
      <c r="BN1174" s="106"/>
      <c r="BO1174" s="106"/>
    </row>
    <row r="1175" spans="2:67" x14ac:dyDescent="0.25">
      <c r="B1175" s="212"/>
      <c r="C1175" s="212"/>
      <c r="D1175" s="212"/>
      <c r="E1175" s="212"/>
      <c r="F1175" s="212"/>
      <c r="G1175" s="212"/>
      <c r="H1175" s="212" t="str">
        <f>IF(AND(ADBT0=ADBT9,ADPT=ADPT01),Wst03_Multiresreq,"")</f>
        <v/>
      </c>
      <c r="J1175" s="223"/>
      <c r="K1175" s="215"/>
      <c r="M1175" s="215"/>
      <c r="O1175" s="215"/>
      <c r="P1175" s="252"/>
      <c r="Q1175" s="252"/>
      <c r="R1175" s="210"/>
      <c r="S1175" s="55"/>
      <c r="T1175" s="55"/>
      <c r="U1175" s="55"/>
      <c r="V1175" s="55"/>
      <c r="W1175" s="55"/>
      <c r="X1175" s="55"/>
      <c r="Y1175" s="501"/>
      <c r="BI1175" s="106"/>
      <c r="BJ1175" s="106"/>
      <c r="BK1175" s="106"/>
      <c r="BL1175" s="106"/>
      <c r="BM1175" s="106"/>
      <c r="BN1175" s="106"/>
      <c r="BO1175" s="106"/>
    </row>
    <row r="1176" spans="2:67" x14ac:dyDescent="0.25">
      <c r="Y1176" s="501"/>
      <c r="BI1176" s="106"/>
      <c r="BJ1176" s="106"/>
      <c r="BK1176" s="106"/>
      <c r="BL1176" s="106"/>
      <c r="BM1176" s="106"/>
      <c r="BN1176" s="106"/>
      <c r="BO1176" s="106"/>
    </row>
    <row r="1177" spans="2:67" x14ac:dyDescent="0.25">
      <c r="B1177" s="221"/>
      <c r="C1177" s="222"/>
      <c r="D1177" s="222"/>
      <c r="E1177" s="221"/>
      <c r="F1177" s="212" t="s">
        <v>296</v>
      </c>
      <c r="G1177" s="215"/>
      <c r="H1177" s="216">
        <f>IF(Wst03a_switch=1,AIS_NA,IF(ISERROR(Wst03_07),0,Wst03_07))</f>
        <v>0</v>
      </c>
      <c r="J1177" s="203"/>
      <c r="K1177" s="215"/>
      <c r="M1177" s="215"/>
      <c r="N1177" s="215"/>
      <c r="O1177" s="215"/>
      <c r="P1177" s="215"/>
      <c r="Q1177" s="215"/>
      <c r="Y1177" s="501"/>
      <c r="BI1177" s="106"/>
      <c r="BJ1177" s="106"/>
      <c r="BK1177" s="106"/>
      <c r="BL1177" s="106"/>
      <c r="BM1177" s="106"/>
      <c r="BN1177" s="106"/>
      <c r="BO1177" s="106"/>
    </row>
    <row r="1178" spans="2:67" ht="3" customHeight="1" x14ac:dyDescent="0.25">
      <c r="B1178" s="215"/>
      <c r="E1178" s="215"/>
      <c r="F1178" s="225"/>
      <c r="G1178" s="215"/>
      <c r="H1178" s="252"/>
      <c r="J1178" s="203"/>
      <c r="K1178" s="215"/>
      <c r="M1178" s="215"/>
      <c r="N1178" s="215"/>
      <c r="O1178" s="215"/>
      <c r="P1178" s="215"/>
      <c r="Q1178" s="215"/>
      <c r="Y1178" s="501"/>
      <c r="BI1178" s="106"/>
      <c r="BJ1178" s="106"/>
      <c r="BK1178" s="106"/>
      <c r="BL1178" s="106"/>
      <c r="BM1178" s="106"/>
      <c r="BN1178" s="106"/>
      <c r="BO1178" s="106"/>
    </row>
    <row r="1179" spans="2:67" x14ac:dyDescent="0.25">
      <c r="B1179" s="221"/>
      <c r="C1179" s="222"/>
      <c r="D1179" s="222"/>
      <c r="E1179" s="221"/>
      <c r="F1179" s="212" t="s">
        <v>297</v>
      </c>
      <c r="G1179" s="215"/>
      <c r="H1179" s="217">
        <f>IF(Wst03a_switch=1,AIS_NA,(Wst03_12/Wst03_credits)*Wst03_tot)</f>
        <v>0</v>
      </c>
      <c r="J1179" s="203"/>
      <c r="K1179" s="215"/>
      <c r="M1179" s="215"/>
      <c r="N1179" s="215"/>
      <c r="O1179" s="215"/>
      <c r="P1179" s="215"/>
      <c r="Q1179" s="215"/>
      <c r="Y1179" s="501"/>
      <c r="BI1179" s="106"/>
      <c r="BJ1179" s="106"/>
      <c r="BK1179" s="106"/>
      <c r="BL1179" s="106"/>
      <c r="BM1179" s="106"/>
      <c r="BN1179" s="106"/>
      <c r="BO1179" s="106"/>
    </row>
    <row r="1180" spans="2:67" ht="3" customHeight="1" x14ac:dyDescent="0.25">
      <c r="K1180" s="215"/>
      <c r="M1180" s="215"/>
      <c r="N1180" s="215"/>
      <c r="O1180" s="215"/>
      <c r="P1180" s="215"/>
      <c r="Q1180" s="215"/>
      <c r="Y1180" s="501"/>
      <c r="BI1180" s="106"/>
      <c r="BJ1180" s="106"/>
      <c r="BK1180" s="106"/>
      <c r="BL1180" s="106"/>
      <c r="BM1180" s="106"/>
      <c r="BN1180" s="106"/>
      <c r="BO1180" s="106"/>
    </row>
    <row r="1181" spans="2:67" x14ac:dyDescent="0.25">
      <c r="B1181" s="221"/>
      <c r="C1181" s="222"/>
      <c r="D1181" s="222"/>
      <c r="E1181" s="221"/>
      <c r="F1181" s="212" t="s">
        <v>298</v>
      </c>
      <c r="H1181" s="216" t="s">
        <v>300</v>
      </c>
      <c r="K1181" s="215"/>
      <c r="M1181" s="215"/>
      <c r="N1181" s="215"/>
      <c r="O1181" s="215"/>
      <c r="P1181" s="215"/>
      <c r="Q1181" s="215"/>
      <c r="Y1181" s="501"/>
      <c r="BI1181" s="106"/>
      <c r="BJ1181" s="106"/>
      <c r="BK1181" s="106"/>
      <c r="BL1181" s="106"/>
      <c r="BM1181" s="106"/>
      <c r="BN1181" s="106"/>
      <c r="BO1181" s="106"/>
    </row>
    <row r="1182" spans="2:67" ht="3" customHeight="1" x14ac:dyDescent="0.25">
      <c r="K1182" s="215"/>
      <c r="M1182" s="215"/>
      <c r="N1182" s="215"/>
      <c r="O1182" s="215"/>
      <c r="P1182" s="215"/>
      <c r="Q1182" s="215"/>
      <c r="Y1182" s="501"/>
      <c r="BI1182" s="106"/>
      <c r="BJ1182" s="106"/>
      <c r="BK1182" s="106"/>
      <c r="BL1182" s="106"/>
      <c r="BM1182" s="106"/>
      <c r="BN1182" s="106"/>
      <c r="BO1182" s="106"/>
    </row>
    <row r="1183" spans="2:67" x14ac:dyDescent="0.25">
      <c r="B1183" s="221"/>
      <c r="C1183" s="222"/>
      <c r="D1183" s="221"/>
      <c r="E1183" s="221"/>
      <c r="F1183" s="212" t="s">
        <v>299</v>
      </c>
      <c r="H1183" s="226" t="str">
        <f>IF(Wst03a_switch=1,AIS_NA,VLOOKUP(MinSt_13,AIS_MinSt_benchmarks,2,FALSE))</f>
        <v>Very Good level</v>
      </c>
      <c r="I1183" s="228"/>
      <c r="J1183" s="228"/>
      <c r="K1183" s="227"/>
      <c r="L1183" s="228"/>
      <c r="M1183" s="227"/>
      <c r="N1183" s="227"/>
      <c r="O1183" s="215"/>
      <c r="P1183" s="215"/>
      <c r="Q1183" s="215"/>
      <c r="Y1183" s="501"/>
      <c r="BI1183" s="106"/>
      <c r="BJ1183" s="106"/>
      <c r="BK1183" s="106"/>
      <c r="BL1183" s="106"/>
      <c r="BM1183" s="106"/>
      <c r="BN1183" s="106"/>
      <c r="BO1183" s="106"/>
    </row>
    <row r="1184" spans="2:67" x14ac:dyDescent="0.25">
      <c r="M1184" s="215"/>
      <c r="N1184" s="215"/>
      <c r="O1184" s="215"/>
      <c r="P1184" s="215"/>
      <c r="Q1184" s="215"/>
      <c r="Y1184" s="501"/>
      <c r="BI1184" s="106"/>
      <c r="BJ1184" s="106"/>
      <c r="BK1184" s="106"/>
      <c r="BL1184" s="106"/>
      <c r="BM1184" s="106"/>
      <c r="BN1184" s="106"/>
      <c r="BO1184" s="106"/>
    </row>
    <row r="1185" spans="2:67" x14ac:dyDescent="0.25">
      <c r="B1185" s="235" t="s">
        <v>301</v>
      </c>
      <c r="C1185" s="215"/>
      <c r="D1185" s="215"/>
      <c r="E1185" s="215"/>
      <c r="F1185" s="225"/>
      <c r="G1185" s="215"/>
      <c r="H1185" s="215"/>
      <c r="I1185" s="215"/>
      <c r="J1185" s="215"/>
      <c r="K1185" s="215"/>
      <c r="L1185" s="215"/>
      <c r="M1185" s="215"/>
      <c r="N1185" s="215"/>
      <c r="O1185" s="215"/>
      <c r="P1185" s="215"/>
      <c r="Q1185" s="215"/>
      <c r="Y1185" s="501"/>
      <c r="BI1185" s="106"/>
      <c r="BJ1185" s="106"/>
      <c r="BK1185" s="106"/>
      <c r="BL1185" s="106"/>
      <c r="BM1185" s="106"/>
      <c r="BN1185" s="106"/>
      <c r="BO1185" s="106"/>
    </row>
    <row r="1186" spans="2:67" ht="159.94999999999999" customHeight="1" x14ac:dyDescent="0.25">
      <c r="B1186" s="736"/>
      <c r="C1186" s="737"/>
      <c r="D1186" s="737"/>
      <c r="E1186" s="737"/>
      <c r="F1186" s="737"/>
      <c r="G1186" s="737"/>
      <c r="H1186" s="737"/>
      <c r="I1186" s="737"/>
      <c r="J1186" s="737"/>
      <c r="K1186" s="737"/>
      <c r="L1186" s="737"/>
      <c r="M1186" s="737"/>
      <c r="N1186" s="737"/>
      <c r="O1186" s="737"/>
      <c r="P1186" s="738"/>
      <c r="Q1186" s="416"/>
      <c r="Y1186" s="501"/>
      <c r="BI1186" s="106"/>
      <c r="BJ1186" s="106"/>
      <c r="BK1186" s="106"/>
      <c r="BL1186" s="106"/>
      <c r="BM1186" s="106"/>
      <c r="BN1186" s="106"/>
      <c r="BO1186" s="106"/>
    </row>
    <row r="1187" spans="2:67" ht="36" customHeight="1" x14ac:dyDescent="0.25">
      <c r="B1187" s="27" t="s">
        <v>645</v>
      </c>
      <c r="C1187" s="13"/>
      <c r="D1187" s="236"/>
      <c r="E1187" s="237"/>
      <c r="F1187" s="237"/>
      <c r="G1187" s="237"/>
      <c r="H1187" s="237"/>
      <c r="I1187" s="237"/>
      <c r="J1187" s="237"/>
      <c r="K1187" s="237"/>
      <c r="L1187" s="237"/>
      <c r="M1187" s="237"/>
      <c r="N1187" s="237"/>
      <c r="O1187" s="237"/>
      <c r="P1187" s="329" t="str">
        <f>IF(ADBT0&lt;&gt;ADBT8,AIS_statement32,"")</f>
        <v>Assessment issue not applicable</v>
      </c>
      <c r="Q1187" s="215"/>
      <c r="R1187" s="192">
        <f>IF(Wst03b_10=AIS_statement32,1,0)</f>
        <v>1</v>
      </c>
      <c r="Y1187" s="501"/>
      <c r="BI1187" s="106"/>
      <c r="BJ1187" s="106"/>
      <c r="BK1187" s="106"/>
      <c r="BL1187" s="106"/>
      <c r="BM1187" s="106"/>
      <c r="BN1187" s="106"/>
      <c r="BO1187" s="106"/>
    </row>
    <row r="1188" spans="2:67" x14ac:dyDescent="0.25">
      <c r="B1188" s="215"/>
      <c r="C1188" s="215"/>
      <c r="D1188" s="215"/>
      <c r="E1188" s="215"/>
      <c r="F1188" s="215"/>
      <c r="G1188" s="215"/>
      <c r="H1188" s="215"/>
      <c r="I1188" s="215"/>
      <c r="J1188" s="215"/>
      <c r="K1188" s="215"/>
      <c r="L1188" s="215"/>
      <c r="M1188" s="215"/>
      <c r="N1188" s="215"/>
      <c r="O1188" s="215"/>
      <c r="P1188" s="215"/>
      <c r="Q1188" s="215"/>
      <c r="Y1188" s="501"/>
      <c r="BI1188" s="106"/>
      <c r="BJ1188" s="106"/>
      <c r="BK1188" s="106"/>
      <c r="BL1188" s="106"/>
      <c r="BM1188" s="106"/>
      <c r="BN1188" s="106"/>
      <c r="BO1188" s="106"/>
    </row>
    <row r="1189" spans="2:67" x14ac:dyDescent="0.25">
      <c r="B1189" s="222"/>
      <c r="C1189" s="222"/>
      <c r="D1189" s="221"/>
      <c r="E1189" s="221"/>
      <c r="F1189" s="212" t="s">
        <v>284</v>
      </c>
      <c r="G1189" s="215"/>
      <c r="H1189" s="216" t="str">
        <f>IF(Wst03b_switch=1,AIS_NA,2)</f>
        <v>N/A</v>
      </c>
      <c r="J1189" s="222"/>
      <c r="K1189" s="222"/>
      <c r="L1189" s="222"/>
      <c r="M1189" s="222"/>
      <c r="N1189" s="212" t="s">
        <v>285</v>
      </c>
      <c r="P1189" s="217" t="str">
        <f>IF(Wst03b_switch=1,AIS_NA,(BP_39/BP_07)*Wst03b_credits)</f>
        <v>N/A</v>
      </c>
      <c r="Q1189" s="217"/>
      <c r="Y1189" s="501"/>
      <c r="BI1189" s="106"/>
      <c r="BJ1189" s="106"/>
      <c r="BK1189" s="106"/>
      <c r="BL1189" s="106"/>
      <c r="BM1189" s="106"/>
      <c r="BN1189" s="106"/>
      <c r="BO1189" s="106"/>
    </row>
    <row r="1190" spans="2:67" ht="3.75" customHeight="1" x14ac:dyDescent="0.25">
      <c r="Y1190" s="501"/>
      <c r="BI1190" s="106"/>
      <c r="BJ1190" s="106"/>
      <c r="BK1190" s="106"/>
      <c r="BL1190" s="106"/>
      <c r="BM1190" s="106"/>
      <c r="BN1190" s="106"/>
      <c r="BO1190" s="106"/>
    </row>
    <row r="1191" spans="2:67" x14ac:dyDescent="0.25">
      <c r="B1191" s="222"/>
      <c r="C1191" s="222"/>
      <c r="D1191" s="221"/>
      <c r="E1191" s="221"/>
      <c r="F1191" s="212" t="s">
        <v>286</v>
      </c>
      <c r="G1191" s="215"/>
      <c r="H1191" s="216">
        <v>0</v>
      </c>
      <c r="J1191" s="221"/>
      <c r="K1191" s="221"/>
      <c r="L1191" s="221"/>
      <c r="M1191" s="221"/>
      <c r="N1191" s="212" t="s">
        <v>287</v>
      </c>
      <c r="O1191" s="215"/>
      <c r="P1191" s="216" t="str">
        <f>IF(Wst03b_switch=1,AIS_NA,AIS_Yes)</f>
        <v>N/A</v>
      </c>
      <c r="Q1191" s="216"/>
      <c r="Y1191" s="501"/>
      <c r="BI1191" s="106"/>
      <c r="BJ1191" s="106"/>
      <c r="BK1191" s="106"/>
      <c r="BL1191" s="106"/>
      <c r="BM1191" s="106"/>
      <c r="BN1191" s="106"/>
      <c r="BO1191" s="106"/>
    </row>
    <row r="1192" spans="2:67" ht="47.25" customHeight="1" x14ac:dyDescent="0.25">
      <c r="B1192" s="238" t="s">
        <v>288</v>
      </c>
      <c r="C1192" s="239"/>
      <c r="D1192" s="235"/>
      <c r="E1192" s="239"/>
      <c r="F1192" s="240"/>
      <c r="G1192" s="238"/>
      <c r="H1192" s="238"/>
      <c r="I1192" s="238"/>
      <c r="J1192" s="241" t="s">
        <v>289</v>
      </c>
      <c r="K1192" s="241"/>
      <c r="L1192" s="242" t="s">
        <v>290</v>
      </c>
      <c r="N1192" s="242" t="s">
        <v>291</v>
      </c>
      <c r="P1192" s="242"/>
      <c r="Q1192" s="242"/>
      <c r="Y1192" s="501"/>
      <c r="BI1192" s="106"/>
      <c r="BJ1192" s="106"/>
      <c r="BK1192" s="106"/>
      <c r="BL1192" s="106"/>
      <c r="BM1192" s="106"/>
      <c r="BN1192" s="106"/>
      <c r="BO1192" s="106"/>
    </row>
    <row r="1193" spans="2:67" ht="3" customHeight="1" x14ac:dyDescent="0.25">
      <c r="B1193" s="215"/>
      <c r="C1193" s="218"/>
      <c r="D1193" s="215"/>
      <c r="E1193" s="218"/>
      <c r="F1193" s="244"/>
      <c r="G1193" s="215"/>
      <c r="J1193" s="245"/>
      <c r="K1193" s="245"/>
      <c r="L1193" s="215"/>
      <c r="M1193" s="215"/>
      <c r="N1193" s="246"/>
      <c r="O1193" s="218"/>
      <c r="P1193" s="246"/>
      <c r="Q1193" s="246"/>
      <c r="Y1193" s="501"/>
      <c r="BI1193" s="106"/>
      <c r="BJ1193" s="106"/>
      <c r="BK1193" s="106"/>
      <c r="BL1193" s="106"/>
      <c r="BM1193" s="106"/>
      <c r="BN1193" s="106"/>
      <c r="BO1193" s="106"/>
    </row>
    <row r="1194" spans="2:67" x14ac:dyDescent="0.25">
      <c r="B1194" s="221"/>
      <c r="C1194" s="221"/>
      <c r="D1194" s="221"/>
      <c r="E1194" s="221"/>
      <c r="F1194" s="212"/>
      <c r="G1194" s="221"/>
      <c r="H1194" s="212" t="s">
        <v>646</v>
      </c>
      <c r="J1194" s="223"/>
      <c r="K1194" s="215"/>
      <c r="L1194" s="224" t="str">
        <f>IF(Wst03b_switch=1,AIS_NA,1)</f>
        <v>N/A</v>
      </c>
      <c r="M1194" s="215"/>
      <c r="N1194" s="224" t="str">
        <f>IF(Wst03b_switch=1,AIS_NA,IF(Wst03b_01=AIS_Yes,Wst03b_02,0))</f>
        <v>N/A</v>
      </c>
      <c r="O1194" s="215"/>
      <c r="P1194" s="252"/>
      <c r="Q1194" s="252"/>
      <c r="Y1194" s="501"/>
      <c r="BI1194" s="106"/>
      <c r="BJ1194" s="106"/>
      <c r="BK1194" s="106"/>
      <c r="BL1194" s="106"/>
      <c r="BM1194" s="106"/>
      <c r="BN1194" s="106"/>
      <c r="BO1194" s="106"/>
    </row>
    <row r="1195" spans="2:67" ht="15" customHeight="1" x14ac:dyDescent="0.25">
      <c r="B1195" s="221"/>
      <c r="C1195" s="221"/>
      <c r="D1195" s="221"/>
      <c r="E1195" s="221"/>
      <c r="F1195" s="212"/>
      <c r="G1195" s="221"/>
      <c r="H1195" s="212" t="s">
        <v>647</v>
      </c>
      <c r="J1195" s="223"/>
      <c r="K1195" s="215"/>
      <c r="L1195" s="224" t="str">
        <f>IF(Wst03b_switch=1,AIS_NA,1)</f>
        <v>N/A</v>
      </c>
      <c r="M1195" s="215"/>
      <c r="N1195" s="224" t="str">
        <f>IF(Wst03b_switch=1,AIS_NA,IF(Wst03b_04=AIS_Yes,Wst03b_05,0))</f>
        <v>N/A</v>
      </c>
      <c r="O1195" s="215"/>
      <c r="P1195" s="252"/>
      <c r="Q1195" s="252"/>
      <c r="R1195" s="732"/>
      <c r="S1195" s="732"/>
      <c r="T1195" s="732"/>
      <c r="U1195" s="732"/>
      <c r="V1195" s="732"/>
      <c r="W1195" s="732"/>
      <c r="X1195" s="732"/>
      <c r="Y1195" s="501"/>
      <c r="BI1195" s="106"/>
      <c r="BJ1195" s="106"/>
      <c r="BK1195" s="106"/>
      <c r="BL1195" s="106"/>
      <c r="BM1195" s="106"/>
      <c r="BN1195" s="106"/>
      <c r="BO1195" s="106"/>
    </row>
    <row r="1196" spans="2:67" x14ac:dyDescent="0.25">
      <c r="Y1196" s="501"/>
      <c r="BI1196" s="106"/>
      <c r="BJ1196" s="106"/>
      <c r="BK1196" s="106"/>
      <c r="BL1196" s="106"/>
      <c r="BM1196" s="106"/>
      <c r="BN1196" s="106"/>
      <c r="BO1196" s="106"/>
    </row>
    <row r="1197" spans="2:67" x14ac:dyDescent="0.25">
      <c r="B1197" s="221"/>
      <c r="C1197" s="222"/>
      <c r="D1197" s="222"/>
      <c r="E1197" s="221"/>
      <c r="F1197" s="212" t="s">
        <v>296</v>
      </c>
      <c r="G1197" s="215"/>
      <c r="H1197" s="216" t="str">
        <f>IF(Wst03b_switch=1,AIS_NA,IFERROR(SUM(N1194:N1195),0))</f>
        <v>N/A</v>
      </c>
      <c r="J1197" s="203"/>
      <c r="K1197" s="215"/>
      <c r="M1197" s="215"/>
      <c r="N1197" s="215"/>
      <c r="O1197" s="215"/>
      <c r="P1197" s="215"/>
      <c r="Q1197" s="215"/>
      <c r="Y1197" s="501"/>
      <c r="BI1197" s="106"/>
      <c r="BJ1197" s="106"/>
      <c r="BK1197" s="106"/>
      <c r="BL1197" s="106"/>
      <c r="BM1197" s="106"/>
      <c r="BN1197" s="106"/>
      <c r="BO1197" s="106"/>
    </row>
    <row r="1198" spans="2:67" ht="3" customHeight="1" x14ac:dyDescent="0.25">
      <c r="B1198" s="215"/>
      <c r="E1198" s="215"/>
      <c r="F1198" s="225"/>
      <c r="G1198" s="215"/>
      <c r="H1198" s="252"/>
      <c r="J1198" s="203"/>
      <c r="K1198" s="215"/>
      <c r="M1198" s="215"/>
      <c r="N1198" s="215"/>
      <c r="O1198" s="215"/>
      <c r="P1198" s="215"/>
      <c r="Q1198" s="215"/>
      <c r="Y1198" s="501"/>
      <c r="BI1198" s="106"/>
      <c r="BJ1198" s="106"/>
      <c r="BK1198" s="106"/>
      <c r="BL1198" s="106"/>
      <c r="BM1198" s="106"/>
      <c r="BN1198" s="106"/>
      <c r="BO1198" s="106"/>
    </row>
    <row r="1199" spans="2:67" x14ac:dyDescent="0.25">
      <c r="B1199" s="221"/>
      <c r="C1199" s="222"/>
      <c r="D1199" s="222"/>
      <c r="E1199" s="221"/>
      <c r="F1199" s="212" t="s">
        <v>297</v>
      </c>
      <c r="G1199" s="215"/>
      <c r="H1199" s="217" t="str">
        <f>IF(Wst03b_switch=1,AIS_NA,(Wst03b_07/Wst03b_credits)*Wst03b_tot)</f>
        <v>N/A</v>
      </c>
      <c r="J1199" s="203"/>
      <c r="K1199" s="215"/>
      <c r="M1199" s="215"/>
      <c r="N1199" s="215"/>
      <c r="O1199" s="215"/>
      <c r="P1199" s="215"/>
      <c r="Q1199" s="215"/>
      <c r="Y1199" s="501"/>
      <c r="BI1199" s="106"/>
      <c r="BJ1199" s="106"/>
      <c r="BK1199" s="106"/>
      <c r="BL1199" s="106"/>
      <c r="BM1199" s="106"/>
      <c r="BN1199" s="106"/>
      <c r="BO1199" s="106"/>
    </row>
    <row r="1200" spans="2:67" ht="3" customHeight="1" x14ac:dyDescent="0.25">
      <c r="K1200" s="215"/>
      <c r="M1200" s="215"/>
      <c r="N1200" s="215"/>
      <c r="O1200" s="215"/>
      <c r="P1200" s="215"/>
      <c r="Q1200" s="215"/>
      <c r="Y1200" s="501"/>
      <c r="BI1200" s="106"/>
      <c r="BJ1200" s="106"/>
      <c r="BK1200" s="106"/>
      <c r="BL1200" s="106"/>
      <c r="BM1200" s="106"/>
      <c r="BN1200" s="106"/>
      <c r="BO1200" s="106"/>
    </row>
    <row r="1201" spans="2:67" x14ac:dyDescent="0.25">
      <c r="B1201" s="221"/>
      <c r="C1201" s="222"/>
      <c r="D1201" s="222"/>
      <c r="E1201" s="221"/>
      <c r="F1201" s="212" t="s">
        <v>298</v>
      </c>
      <c r="H1201" s="216" t="s">
        <v>300</v>
      </c>
      <c r="K1201" s="215"/>
      <c r="M1201" s="215"/>
      <c r="N1201" s="215"/>
      <c r="O1201" s="215"/>
      <c r="P1201" s="215"/>
      <c r="Q1201" s="215"/>
      <c r="Y1201" s="501"/>
      <c r="BI1201" s="106"/>
      <c r="BJ1201" s="106"/>
      <c r="BK1201" s="106"/>
      <c r="BL1201" s="106"/>
      <c r="BM1201" s="106"/>
      <c r="BN1201" s="106"/>
      <c r="BO1201" s="106"/>
    </row>
    <row r="1202" spans="2:67" ht="3" customHeight="1" x14ac:dyDescent="0.25">
      <c r="K1202" s="215"/>
      <c r="M1202" s="215"/>
      <c r="N1202" s="215"/>
      <c r="O1202" s="215"/>
      <c r="P1202" s="215"/>
      <c r="Q1202" s="215"/>
      <c r="Y1202" s="501"/>
      <c r="BI1202" s="106"/>
      <c r="BJ1202" s="106"/>
      <c r="BK1202" s="106"/>
      <c r="BL1202" s="106"/>
      <c r="BM1202" s="106"/>
      <c r="BN1202" s="106"/>
      <c r="BO1202" s="106"/>
    </row>
    <row r="1203" spans="2:67" x14ac:dyDescent="0.25">
      <c r="B1203" s="221"/>
      <c r="C1203" s="222"/>
      <c r="D1203" s="221"/>
      <c r="E1203" s="221"/>
      <c r="F1203" s="212" t="s">
        <v>299</v>
      </c>
      <c r="H1203" s="226" t="str">
        <f>IF(Wst03b_switch=1,AIS_NA,VLOOKUP(MinSt_13,AIS_MinSt_benchmarks,2,FALSE))</f>
        <v>N/A</v>
      </c>
      <c r="I1203" s="228"/>
      <c r="J1203" s="228"/>
      <c r="K1203" s="227"/>
      <c r="L1203" s="228"/>
      <c r="M1203" s="227"/>
      <c r="N1203" s="227"/>
      <c r="O1203" s="215"/>
      <c r="P1203" s="215"/>
      <c r="Q1203" s="215"/>
      <c r="Y1203" s="501"/>
      <c r="BI1203" s="106"/>
      <c r="BJ1203" s="106"/>
      <c r="BK1203" s="106"/>
      <c r="BL1203" s="106"/>
      <c r="BM1203" s="106"/>
      <c r="BN1203" s="106"/>
      <c r="BO1203" s="106"/>
    </row>
    <row r="1204" spans="2:67" x14ac:dyDescent="0.25">
      <c r="M1204" s="215"/>
      <c r="N1204" s="215"/>
      <c r="O1204" s="215"/>
      <c r="P1204" s="215"/>
      <c r="Q1204" s="215"/>
      <c r="Y1204" s="501"/>
      <c r="BI1204" s="106"/>
      <c r="BJ1204" s="106"/>
      <c r="BK1204" s="106"/>
      <c r="BL1204" s="106"/>
      <c r="BM1204" s="106"/>
      <c r="BN1204" s="106"/>
      <c r="BO1204" s="106"/>
    </row>
    <row r="1205" spans="2:67" x14ac:dyDescent="0.25">
      <c r="B1205" s="235" t="s">
        <v>301</v>
      </c>
      <c r="C1205" s="215"/>
      <c r="D1205" s="215"/>
      <c r="E1205" s="215"/>
      <c r="F1205" s="225"/>
      <c r="G1205" s="215"/>
      <c r="H1205" s="215"/>
      <c r="I1205" s="215"/>
      <c r="J1205" s="215"/>
      <c r="K1205" s="215"/>
      <c r="L1205" s="215"/>
      <c r="M1205" s="215"/>
      <c r="N1205" s="215"/>
      <c r="O1205" s="215"/>
      <c r="P1205" s="215"/>
      <c r="Q1205" s="215"/>
      <c r="Y1205" s="501"/>
      <c r="BI1205" s="106"/>
      <c r="BJ1205" s="106"/>
      <c r="BK1205" s="106"/>
      <c r="BL1205" s="106"/>
      <c r="BM1205" s="106"/>
      <c r="BN1205" s="106"/>
      <c r="BO1205" s="106"/>
    </row>
    <row r="1206" spans="2:67" ht="159.94999999999999" customHeight="1" x14ac:dyDescent="0.25">
      <c r="B1206" s="736"/>
      <c r="C1206" s="737"/>
      <c r="D1206" s="737"/>
      <c r="E1206" s="737"/>
      <c r="F1206" s="737"/>
      <c r="G1206" s="737"/>
      <c r="H1206" s="737"/>
      <c r="I1206" s="737"/>
      <c r="J1206" s="737"/>
      <c r="K1206" s="737"/>
      <c r="L1206" s="737"/>
      <c r="M1206" s="737"/>
      <c r="N1206" s="737"/>
      <c r="O1206" s="737"/>
      <c r="P1206" s="738"/>
      <c r="Q1206" s="416"/>
      <c r="Y1206" s="501"/>
      <c r="BI1206" s="106"/>
      <c r="BJ1206" s="106"/>
      <c r="BK1206" s="106"/>
      <c r="BL1206" s="106"/>
      <c r="BM1206" s="106"/>
      <c r="BN1206" s="106"/>
      <c r="BO1206" s="106"/>
    </row>
    <row r="1207" spans="2:67" ht="36" customHeight="1" x14ac:dyDescent="0.25">
      <c r="B1207" s="27" t="s">
        <v>648</v>
      </c>
      <c r="C1207" s="13"/>
      <c r="D1207" s="236"/>
      <c r="E1207" s="237"/>
      <c r="F1207" s="237"/>
      <c r="G1207" s="237"/>
      <c r="H1207" s="237"/>
      <c r="I1207" s="237"/>
      <c r="J1207" s="237"/>
      <c r="K1207" s="237"/>
      <c r="L1207" s="237"/>
      <c r="M1207" s="237"/>
      <c r="N1207" s="237"/>
      <c r="O1207" s="237"/>
      <c r="P1207" s="329" t="str">
        <f>IF(OR(R1207=1,AND(ADBT0=ADBT1,ADPT=ADPT01)),"",AIS_statement32)</f>
        <v>Assessment issue not applicable</v>
      </c>
      <c r="Q1207" s="240"/>
      <c r="R1207" s="192">
        <f>IF(AND(ADBT0=ADBT8,ADBT_sub01=ADBT_sub29),1,0)</f>
        <v>0</v>
      </c>
      <c r="Y1207" s="501"/>
      <c r="BI1207" s="106"/>
      <c r="BJ1207" s="106"/>
      <c r="BK1207" s="106"/>
      <c r="BL1207" s="106"/>
      <c r="BM1207" s="106"/>
      <c r="BN1207" s="106"/>
      <c r="BO1207" s="106"/>
    </row>
    <row r="1208" spans="2:67" x14ac:dyDescent="0.25">
      <c r="B1208" s="215"/>
      <c r="C1208" s="215"/>
      <c r="D1208" s="215"/>
      <c r="E1208" s="215"/>
      <c r="F1208" s="215"/>
      <c r="G1208" s="215"/>
      <c r="H1208" s="215"/>
      <c r="I1208" s="215"/>
      <c r="J1208" s="215"/>
      <c r="K1208" s="215"/>
      <c r="L1208" s="215"/>
      <c r="M1208" s="215"/>
      <c r="N1208" s="215"/>
      <c r="O1208" s="215"/>
      <c r="P1208" s="215"/>
      <c r="Q1208" s="215"/>
      <c r="Y1208" s="501"/>
      <c r="BI1208" s="106"/>
      <c r="BJ1208" s="106"/>
      <c r="BK1208" s="106"/>
      <c r="BL1208" s="106"/>
      <c r="BM1208" s="106"/>
      <c r="BN1208" s="106"/>
      <c r="BO1208" s="106"/>
    </row>
    <row r="1209" spans="2:67" x14ac:dyDescent="0.25">
      <c r="B1209" s="222"/>
      <c r="C1209" s="222"/>
      <c r="D1209" s="221"/>
      <c r="E1209" s="221"/>
      <c r="F1209" s="212" t="s">
        <v>284</v>
      </c>
      <c r="G1209" s="215"/>
      <c r="H1209" s="216" t="str">
        <f>IF(Wst04_01=AIS_statement32,AIS_NA,1)</f>
        <v>N/A</v>
      </c>
      <c r="J1209" s="222"/>
      <c r="K1209" s="222"/>
      <c r="L1209" s="222"/>
      <c r="M1209" s="222"/>
      <c r="N1209" s="212" t="s">
        <v>285</v>
      </c>
      <c r="P1209" s="217" t="str">
        <f>IF(Wst04_01=AIS_statement32,AIS_NA,(BP_39/BP_07)*Wst04_credits)</f>
        <v>N/A</v>
      </c>
      <c r="Q1209" s="217"/>
      <c r="R1209" s="314" t="str">
        <f>IF(Wst04_01=AIS_statement32,AIS_statement61,"")</f>
        <v>Note: This  issue is applicable to the assessment of office buildings only (and does not apply to shell only office building assessments).</v>
      </c>
      <c r="Y1209" s="501"/>
      <c r="BI1209" s="106"/>
      <c r="BJ1209" s="106"/>
      <c r="BK1209" s="106"/>
      <c r="BL1209" s="106"/>
      <c r="BM1209" s="106"/>
      <c r="BN1209" s="106"/>
      <c r="BO1209" s="106"/>
    </row>
    <row r="1210" spans="2:67" ht="3.75" customHeight="1" x14ac:dyDescent="0.25">
      <c r="J1210" s="222"/>
      <c r="K1210" s="222"/>
      <c r="L1210" s="222"/>
      <c r="M1210" s="222"/>
      <c r="N1210" s="222"/>
      <c r="Y1210" s="501"/>
      <c r="BI1210" s="106"/>
      <c r="BJ1210" s="106"/>
      <c r="BK1210" s="106"/>
      <c r="BL1210" s="106"/>
      <c r="BM1210" s="106"/>
      <c r="BN1210" s="106"/>
      <c r="BO1210" s="106"/>
    </row>
    <row r="1211" spans="2:67" x14ac:dyDescent="0.25">
      <c r="B1211" s="222"/>
      <c r="C1211" s="222"/>
      <c r="D1211" s="221"/>
      <c r="E1211" s="221"/>
      <c r="F1211" s="212" t="s">
        <v>286</v>
      </c>
      <c r="G1211" s="215"/>
      <c r="H1211" s="216" t="str">
        <f>IF(Wst04_01=AIS_statement32,AIS_NA,0)</f>
        <v>N/A</v>
      </c>
      <c r="J1211" s="221"/>
      <c r="K1211" s="221"/>
      <c r="L1211" s="221"/>
      <c r="M1211" s="221"/>
      <c r="N1211" s="212" t="s">
        <v>287</v>
      </c>
      <c r="O1211" s="215"/>
      <c r="P1211" s="216" t="str">
        <f>IF(Wst04_01=AIS_statement32,AIS_NA,AIS_No)</f>
        <v>N/A</v>
      </c>
      <c r="Q1211" s="216"/>
      <c r="Y1211" s="501"/>
      <c r="BI1211" s="106"/>
      <c r="BJ1211" s="106"/>
      <c r="BK1211" s="106"/>
      <c r="BL1211" s="106"/>
      <c r="BM1211" s="106"/>
      <c r="BN1211" s="106"/>
      <c r="BO1211" s="106"/>
    </row>
    <row r="1212" spans="2:67" ht="36" customHeight="1" x14ac:dyDescent="0.25">
      <c r="B1212" s="238" t="s">
        <v>288</v>
      </c>
      <c r="C1212" s="239"/>
      <c r="D1212" s="235"/>
      <c r="E1212" s="239"/>
      <c r="F1212" s="240"/>
      <c r="G1212" s="238"/>
      <c r="H1212" s="238"/>
      <c r="I1212" s="238"/>
      <c r="J1212" s="241" t="s">
        <v>289</v>
      </c>
      <c r="K1212" s="241"/>
      <c r="L1212" s="242" t="s">
        <v>290</v>
      </c>
      <c r="N1212" s="242" t="s">
        <v>291</v>
      </c>
      <c r="P1212" s="242"/>
      <c r="Q1212" s="242"/>
      <c r="Y1212" s="501"/>
      <c r="BI1212" s="106"/>
      <c r="BJ1212" s="106"/>
      <c r="BK1212" s="106"/>
      <c r="BL1212" s="106"/>
      <c r="BM1212" s="106"/>
      <c r="BN1212" s="106"/>
      <c r="BO1212" s="106"/>
    </row>
    <row r="1213" spans="2:67" ht="3" customHeight="1" x14ac:dyDescent="0.25">
      <c r="B1213" s="215"/>
      <c r="C1213" s="218"/>
      <c r="D1213" s="215"/>
      <c r="E1213" s="218"/>
      <c r="F1213" s="244"/>
      <c r="G1213" s="215"/>
      <c r="J1213" s="245"/>
      <c r="K1213" s="245"/>
      <c r="L1213" s="215"/>
      <c r="M1213" s="215"/>
      <c r="N1213" s="246"/>
      <c r="O1213" s="218"/>
      <c r="P1213" s="246"/>
      <c r="Q1213" s="246"/>
      <c r="Y1213" s="501"/>
      <c r="BI1213" s="106"/>
      <c r="BJ1213" s="106"/>
      <c r="BK1213" s="106"/>
      <c r="BL1213" s="106"/>
      <c r="BM1213" s="106"/>
      <c r="BN1213" s="106"/>
      <c r="BO1213" s="106"/>
    </row>
    <row r="1214" spans="2:67" x14ac:dyDescent="0.25">
      <c r="B1214" s="821" t="s">
        <v>488</v>
      </c>
      <c r="C1214" s="822"/>
      <c r="D1214" s="822"/>
      <c r="E1214" s="822"/>
      <c r="F1214" s="822"/>
      <c r="G1214" s="822"/>
      <c r="H1214" s="823"/>
      <c r="J1214" s="224" t="str">
        <f>IF(OR(Wst04_03="",Wst04_03=Wst04_option00,Wst04_03=Wst04_option07),AIS_No,AIS_Yes)</f>
        <v>No</v>
      </c>
      <c r="K1214" s="215"/>
      <c r="L1214" s="224" t="str">
        <f>Wst04_credits</f>
        <v>N/A</v>
      </c>
      <c r="M1214" s="215"/>
      <c r="N1214" s="224">
        <f>IF(Wst04_04=AIS_No,0,IF(Wst04_04=AIS_Yes,Wst04_05))</f>
        <v>0</v>
      </c>
      <c r="O1214" s="215"/>
      <c r="P1214" s="252"/>
      <c r="Q1214" s="252"/>
      <c r="R1214" s="320"/>
      <c r="Y1214" s="501"/>
      <c r="BI1214" s="106"/>
      <c r="BJ1214" s="106"/>
      <c r="BK1214" s="106"/>
      <c r="BL1214" s="106"/>
      <c r="BM1214" s="106"/>
      <c r="BN1214" s="106"/>
      <c r="BO1214" s="106"/>
    </row>
    <row r="1215" spans="2:67" x14ac:dyDescent="0.25">
      <c r="Y1215" s="501"/>
      <c r="BI1215" s="106"/>
      <c r="BJ1215" s="106"/>
      <c r="BK1215" s="106"/>
      <c r="BL1215" s="106"/>
      <c r="BM1215" s="106"/>
      <c r="BN1215" s="106"/>
      <c r="BO1215" s="106"/>
    </row>
    <row r="1216" spans="2:67" x14ac:dyDescent="0.25">
      <c r="B1216" s="221"/>
      <c r="C1216" s="222"/>
      <c r="D1216" s="222"/>
      <c r="E1216" s="221"/>
      <c r="F1216" s="212" t="s">
        <v>296</v>
      </c>
      <c r="G1216" s="215"/>
      <c r="H1216" s="216" t="str">
        <f>IF(ISERROR(Wst04_Tot_Err),0,Wst04_Tot_Err)</f>
        <v>N/A</v>
      </c>
      <c r="J1216" s="203"/>
      <c r="K1216" s="215"/>
      <c r="M1216" s="215"/>
      <c r="N1216" s="215"/>
      <c r="O1216" s="215"/>
      <c r="P1216" s="215"/>
      <c r="Q1216" s="215"/>
      <c r="Y1216" s="501"/>
      <c r="BI1216" s="106"/>
      <c r="BJ1216" s="106"/>
      <c r="BK1216" s="106"/>
      <c r="BL1216" s="106"/>
      <c r="BM1216" s="106"/>
      <c r="BN1216" s="106"/>
      <c r="BO1216" s="106"/>
    </row>
    <row r="1217" spans="2:67" ht="3" customHeight="1" x14ac:dyDescent="0.25">
      <c r="B1217" s="215"/>
      <c r="E1217" s="215"/>
      <c r="F1217" s="225"/>
      <c r="G1217" s="215"/>
      <c r="H1217" s="252"/>
      <c r="J1217" s="203"/>
      <c r="K1217" s="215"/>
      <c r="M1217" s="215"/>
      <c r="N1217" s="215"/>
      <c r="O1217" s="215"/>
      <c r="P1217" s="215"/>
      <c r="Q1217" s="215"/>
      <c r="Y1217" s="501"/>
      <c r="BI1217" s="106"/>
      <c r="BJ1217" s="106"/>
      <c r="BK1217" s="106"/>
      <c r="BL1217" s="106"/>
      <c r="BM1217" s="106"/>
      <c r="BN1217" s="106"/>
      <c r="BO1217" s="106"/>
    </row>
    <row r="1218" spans="2:67" x14ac:dyDescent="0.25">
      <c r="B1218" s="221"/>
      <c r="C1218" s="222"/>
      <c r="D1218" s="222"/>
      <c r="E1218" s="221"/>
      <c r="F1218" s="212" t="s">
        <v>297</v>
      </c>
      <c r="G1218" s="215"/>
      <c r="H1218" s="217" t="str">
        <f>IF(Wst04_01=AIS_statement32,AIS_NA,(Wst04_08/Wst04_credits)*Wst04_tot)</f>
        <v>N/A</v>
      </c>
      <c r="J1218" s="203"/>
      <c r="K1218" s="215"/>
      <c r="M1218" s="215"/>
      <c r="N1218" s="215"/>
      <c r="O1218" s="215"/>
      <c r="P1218" s="215"/>
      <c r="Q1218" s="215"/>
      <c r="Y1218" s="501"/>
      <c r="BI1218" s="106"/>
      <c r="BJ1218" s="106"/>
      <c r="BK1218" s="106"/>
      <c r="BL1218" s="106"/>
      <c r="BM1218" s="106"/>
      <c r="BN1218" s="106"/>
      <c r="BO1218" s="106"/>
    </row>
    <row r="1219" spans="2:67" ht="3" customHeight="1" x14ac:dyDescent="0.25">
      <c r="K1219" s="215"/>
      <c r="M1219" s="215"/>
      <c r="N1219" s="215"/>
      <c r="O1219" s="215"/>
      <c r="P1219" s="215"/>
      <c r="Q1219" s="215"/>
      <c r="Y1219" s="501"/>
      <c r="BI1219" s="106"/>
      <c r="BJ1219" s="106"/>
      <c r="BK1219" s="106"/>
      <c r="BL1219" s="106"/>
      <c r="BM1219" s="106"/>
      <c r="BN1219" s="106"/>
      <c r="BO1219" s="106"/>
    </row>
    <row r="1220" spans="2:67" x14ac:dyDescent="0.25">
      <c r="B1220" s="221"/>
      <c r="C1220" s="222"/>
      <c r="D1220" s="222"/>
      <c r="E1220" s="221"/>
      <c r="F1220" s="212" t="s">
        <v>298</v>
      </c>
      <c r="H1220" s="216" t="s">
        <v>300</v>
      </c>
      <c r="K1220" s="215"/>
      <c r="M1220" s="215"/>
      <c r="N1220" s="215"/>
      <c r="O1220" s="215"/>
      <c r="P1220" s="215"/>
      <c r="Q1220" s="215"/>
      <c r="Y1220" s="501"/>
      <c r="BI1220" s="106"/>
      <c r="BJ1220" s="106"/>
      <c r="BK1220" s="106"/>
      <c r="BL1220" s="106"/>
      <c r="BM1220" s="106"/>
      <c r="BN1220" s="106"/>
      <c r="BO1220" s="106"/>
    </row>
    <row r="1221" spans="2:67" ht="3" customHeight="1" x14ac:dyDescent="0.25">
      <c r="K1221" s="215"/>
      <c r="M1221" s="215"/>
      <c r="N1221" s="215"/>
      <c r="O1221" s="215"/>
      <c r="P1221" s="215"/>
      <c r="Q1221" s="215"/>
      <c r="Y1221" s="501"/>
      <c r="BI1221" s="106"/>
      <c r="BJ1221" s="106"/>
      <c r="BK1221" s="106"/>
      <c r="BL1221" s="106"/>
      <c r="BM1221" s="106"/>
      <c r="BN1221" s="106"/>
      <c r="BO1221" s="106"/>
    </row>
    <row r="1222" spans="2:67" x14ac:dyDescent="0.25">
      <c r="B1222" s="221"/>
      <c r="C1222" s="222"/>
      <c r="D1222" s="221"/>
      <c r="E1222" s="221"/>
      <c r="F1222" s="212" t="s">
        <v>299</v>
      </c>
      <c r="H1222" s="216" t="s">
        <v>300</v>
      </c>
      <c r="K1222" s="215"/>
      <c r="M1222" s="215"/>
      <c r="N1222" s="215"/>
      <c r="O1222" s="215"/>
      <c r="P1222" s="215"/>
      <c r="Q1222" s="215"/>
      <c r="Y1222" s="501"/>
      <c r="BI1222" s="106"/>
      <c r="BJ1222" s="106"/>
      <c r="BK1222" s="106"/>
      <c r="BL1222" s="106"/>
      <c r="BM1222" s="106"/>
      <c r="BN1222" s="106"/>
      <c r="BO1222" s="106"/>
    </row>
    <row r="1223" spans="2:67" x14ac:dyDescent="0.25">
      <c r="M1223" s="215"/>
      <c r="N1223" s="215"/>
      <c r="O1223" s="215"/>
      <c r="P1223" s="215"/>
      <c r="Q1223" s="215"/>
      <c r="Y1223" s="501"/>
      <c r="BI1223" s="106"/>
      <c r="BJ1223" s="106"/>
      <c r="BK1223" s="106"/>
      <c r="BL1223" s="106"/>
      <c r="BM1223" s="106"/>
      <c r="BN1223" s="106"/>
      <c r="BO1223" s="106"/>
    </row>
    <row r="1224" spans="2:67" x14ac:dyDescent="0.25">
      <c r="B1224" s="235" t="s">
        <v>301</v>
      </c>
      <c r="C1224" s="215"/>
      <c r="D1224" s="215"/>
      <c r="E1224" s="215"/>
      <c r="F1224" s="225"/>
      <c r="G1224" s="215"/>
      <c r="H1224" s="215"/>
      <c r="I1224" s="215"/>
      <c r="J1224" s="215"/>
      <c r="K1224" s="215"/>
      <c r="L1224" s="215"/>
      <c r="M1224" s="215"/>
      <c r="N1224" s="215"/>
      <c r="O1224" s="215"/>
      <c r="P1224" s="215"/>
      <c r="Q1224" s="215"/>
      <c r="Y1224" s="501"/>
      <c r="BI1224" s="106"/>
      <c r="BJ1224" s="106"/>
      <c r="BK1224" s="106"/>
      <c r="BL1224" s="106"/>
      <c r="BM1224" s="106"/>
      <c r="BN1224" s="106"/>
      <c r="BO1224" s="106"/>
    </row>
    <row r="1225" spans="2:67" ht="159.94999999999999" customHeight="1" x14ac:dyDescent="0.25">
      <c r="B1225" s="736"/>
      <c r="C1225" s="737"/>
      <c r="D1225" s="737"/>
      <c r="E1225" s="737"/>
      <c r="F1225" s="737"/>
      <c r="G1225" s="737"/>
      <c r="H1225" s="737"/>
      <c r="I1225" s="737"/>
      <c r="J1225" s="737"/>
      <c r="K1225" s="737"/>
      <c r="L1225" s="737"/>
      <c r="M1225" s="737"/>
      <c r="N1225" s="737"/>
      <c r="O1225" s="737"/>
      <c r="P1225" s="738"/>
      <c r="Q1225" s="209"/>
      <c r="Y1225" s="501"/>
      <c r="BI1225" s="106"/>
      <c r="BJ1225" s="106"/>
      <c r="BK1225" s="106"/>
      <c r="BL1225" s="106"/>
      <c r="BM1225" s="106"/>
      <c r="BN1225" s="106"/>
      <c r="BO1225" s="106"/>
    </row>
    <row r="1226" spans="2:67" ht="36" customHeight="1" x14ac:dyDescent="0.25">
      <c r="B1226" s="27" t="s">
        <v>649</v>
      </c>
      <c r="C1226" s="13"/>
      <c r="D1226" s="236"/>
      <c r="E1226" s="237"/>
      <c r="F1226" s="237"/>
      <c r="G1226" s="237"/>
      <c r="H1226" s="237"/>
      <c r="I1226" s="237"/>
      <c r="J1226" s="237"/>
      <c r="K1226" s="237"/>
      <c r="L1226" s="237"/>
      <c r="M1226" s="237"/>
      <c r="N1226" s="237"/>
      <c r="O1226" s="237"/>
      <c r="P1226" s="237"/>
      <c r="Q1226" s="215"/>
      <c r="Y1226" s="501"/>
      <c r="BI1226" s="106"/>
      <c r="BJ1226" s="106"/>
      <c r="BK1226" s="106"/>
      <c r="BL1226" s="106"/>
      <c r="BM1226" s="106"/>
      <c r="BN1226" s="106"/>
      <c r="BO1226" s="106"/>
    </row>
    <row r="1227" spans="2:67" x14ac:dyDescent="0.25">
      <c r="B1227" s="215"/>
      <c r="C1227" s="215"/>
      <c r="D1227" s="215"/>
      <c r="E1227" s="215"/>
      <c r="F1227" s="215"/>
      <c r="G1227" s="215"/>
      <c r="H1227" s="215"/>
      <c r="I1227" s="215"/>
      <c r="J1227" s="215"/>
      <c r="K1227" s="215"/>
      <c r="L1227" s="215"/>
      <c r="M1227" s="215"/>
      <c r="N1227" s="215"/>
      <c r="O1227" s="215"/>
      <c r="P1227" s="215"/>
      <c r="Q1227" s="215"/>
      <c r="Y1227" s="501"/>
      <c r="BI1227" s="106"/>
      <c r="BJ1227" s="106"/>
      <c r="BK1227" s="106"/>
      <c r="BL1227" s="106"/>
      <c r="BM1227" s="106"/>
      <c r="BN1227" s="106"/>
      <c r="BO1227" s="106"/>
    </row>
    <row r="1228" spans="2:67" x14ac:dyDescent="0.25">
      <c r="B1228" s="222"/>
      <c r="C1228" s="222"/>
      <c r="D1228" s="221"/>
      <c r="E1228" s="221"/>
      <c r="F1228" s="212" t="s">
        <v>284</v>
      </c>
      <c r="G1228" s="215"/>
      <c r="H1228" s="216">
        <v>1</v>
      </c>
      <c r="J1228" s="222"/>
      <c r="K1228" s="222"/>
      <c r="L1228" s="222"/>
      <c r="M1228" s="222"/>
      <c r="N1228" s="212" t="s">
        <v>285</v>
      </c>
      <c r="P1228" s="217">
        <f>(BP_39/BP_07)*Wst05_Credits</f>
        <v>0</v>
      </c>
      <c r="Q1228" s="217"/>
      <c r="Y1228" s="501"/>
      <c r="BI1228" s="106"/>
      <c r="BJ1228" s="106"/>
      <c r="BK1228" s="106"/>
      <c r="BL1228" s="106"/>
      <c r="BM1228" s="106"/>
      <c r="BN1228" s="106"/>
      <c r="BO1228" s="106"/>
    </row>
    <row r="1229" spans="2:67" ht="3.75" customHeight="1" x14ac:dyDescent="0.25">
      <c r="Y1229" s="501"/>
      <c r="BI1229" s="106"/>
      <c r="BJ1229" s="106"/>
      <c r="BK1229" s="106"/>
      <c r="BL1229" s="106"/>
      <c r="BM1229" s="106"/>
      <c r="BN1229" s="106"/>
      <c r="BO1229" s="106"/>
    </row>
    <row r="1230" spans="2:67" x14ac:dyDescent="0.25">
      <c r="B1230" s="222"/>
      <c r="C1230" s="222"/>
      <c r="D1230" s="221"/>
      <c r="E1230" s="221"/>
      <c r="F1230" s="212" t="s">
        <v>286</v>
      </c>
      <c r="G1230" s="215"/>
      <c r="H1230" s="216">
        <f>IF(ADPT=ADPT02,AIS_NA,1)</f>
        <v>1</v>
      </c>
      <c r="J1230" s="221"/>
      <c r="K1230" s="221"/>
      <c r="L1230" s="221"/>
      <c r="M1230" s="221"/>
      <c r="N1230" s="212" t="s">
        <v>287</v>
      </c>
      <c r="O1230" s="215"/>
      <c r="P1230" s="216" t="s">
        <v>300</v>
      </c>
      <c r="Q1230" s="216"/>
      <c r="Y1230" s="501"/>
      <c r="BI1230" s="106"/>
      <c r="BJ1230" s="106"/>
      <c r="BK1230" s="106"/>
      <c r="BL1230" s="106"/>
      <c r="BM1230" s="106"/>
      <c r="BN1230" s="106"/>
      <c r="BO1230" s="106"/>
    </row>
    <row r="1231" spans="2:67" ht="47.25" customHeight="1" x14ac:dyDescent="0.25">
      <c r="B1231" s="238" t="s">
        <v>288</v>
      </c>
      <c r="C1231" s="239"/>
      <c r="D1231" s="235"/>
      <c r="E1231" s="239"/>
      <c r="F1231" s="240"/>
      <c r="G1231" s="238"/>
      <c r="H1231" s="238"/>
      <c r="I1231" s="238"/>
      <c r="J1231" s="241" t="s">
        <v>289</v>
      </c>
      <c r="K1231" s="241"/>
      <c r="L1231" s="242" t="s">
        <v>290</v>
      </c>
      <c r="N1231" s="242" t="s">
        <v>291</v>
      </c>
      <c r="P1231" s="242"/>
      <c r="Q1231" s="242"/>
      <c r="Y1231" s="501"/>
      <c r="BI1231" s="106"/>
      <c r="BJ1231" s="106"/>
      <c r="BK1231" s="106"/>
      <c r="BL1231" s="106"/>
      <c r="BM1231" s="106"/>
      <c r="BN1231" s="106"/>
      <c r="BO1231" s="106"/>
    </row>
    <row r="1232" spans="2:67" ht="3" customHeight="1" x14ac:dyDescent="0.25">
      <c r="B1232" s="215"/>
      <c r="C1232" s="218"/>
      <c r="D1232" s="215"/>
      <c r="E1232" s="218"/>
      <c r="F1232" s="244"/>
      <c r="G1232" s="215"/>
      <c r="J1232" s="245"/>
      <c r="K1232" s="245"/>
      <c r="L1232" s="215"/>
      <c r="M1232" s="215"/>
      <c r="N1232" s="246"/>
      <c r="O1232" s="218"/>
      <c r="P1232" s="246"/>
      <c r="Q1232" s="246"/>
      <c r="Y1232" s="501"/>
      <c r="BI1232" s="106"/>
      <c r="BJ1232" s="106"/>
      <c r="BK1232" s="106"/>
      <c r="BL1232" s="106"/>
      <c r="BM1232" s="106"/>
      <c r="BN1232" s="106"/>
      <c r="BO1232" s="106"/>
    </row>
    <row r="1233" spans="2:67" x14ac:dyDescent="0.25">
      <c r="B1233" s="221"/>
      <c r="C1233" s="221"/>
      <c r="D1233" s="221"/>
      <c r="E1233" s="221"/>
      <c r="F1233" s="212"/>
      <c r="G1233" s="221"/>
      <c r="H1233" s="212" t="s">
        <v>650</v>
      </c>
      <c r="J1233" s="223"/>
      <c r="K1233" s="215"/>
      <c r="L1233" s="224">
        <f>Mat05_credits</f>
        <v>1</v>
      </c>
      <c r="M1233" s="215"/>
      <c r="N1233" s="224">
        <f>IF(J1233=AIS_Yes,1,0)</f>
        <v>0</v>
      </c>
      <c r="O1233" s="215"/>
      <c r="P1233" s="400"/>
      <c r="Q1233" s="400"/>
      <c r="R1233" s="209" t="str">
        <f>IF(OR(Mat05_01=AIS_No,Mat05_01a=AIS_No),"Both criteria have to be met to score credit","")</f>
        <v/>
      </c>
      <c r="Y1233" s="501"/>
      <c r="BI1233" s="106"/>
      <c r="BJ1233" s="106"/>
      <c r="BK1233" s="106"/>
      <c r="BL1233" s="106"/>
      <c r="BM1233" s="106"/>
      <c r="BN1233" s="106"/>
      <c r="BO1233" s="106"/>
    </row>
    <row r="1234" spans="2:67" ht="15.75" customHeight="1" x14ac:dyDescent="0.25">
      <c r="B1234" s="221"/>
      <c r="C1234" s="221"/>
      <c r="D1234" s="221"/>
      <c r="E1234" s="221"/>
      <c r="F1234" s="212"/>
      <c r="G1234" s="221"/>
      <c r="H1234" s="212" t="s">
        <v>651</v>
      </c>
      <c r="J1234" s="223"/>
      <c r="K1234" s="215"/>
      <c r="L1234" s="224">
        <f>IF(ADPT=ADPT02,AIS_NA,Mat05_credits)</f>
        <v>1</v>
      </c>
      <c r="M1234" s="215"/>
      <c r="N1234" s="420">
        <f>IF(OR(J1233=AIS_No,ADPT=ADPT02),0,IF(J1234=AIS_Yes,1,0))</f>
        <v>0</v>
      </c>
      <c r="O1234" s="215"/>
      <c r="P1234" s="400"/>
      <c r="Q1234" s="400"/>
      <c r="R1234" s="317"/>
      <c r="S1234" s="317"/>
      <c r="T1234" s="317"/>
      <c r="U1234" s="317"/>
      <c r="V1234" s="317"/>
      <c r="W1234" s="317"/>
      <c r="X1234" s="317"/>
      <c r="Y1234" s="501"/>
      <c r="BI1234" s="106"/>
      <c r="BJ1234" s="106"/>
      <c r="BK1234" s="106"/>
      <c r="BL1234" s="106"/>
      <c r="BM1234" s="106"/>
      <c r="BN1234" s="106"/>
      <c r="BO1234" s="106"/>
    </row>
    <row r="1235" spans="2:67" x14ac:dyDescent="0.25">
      <c r="R1235" s="317"/>
      <c r="S1235" s="317"/>
      <c r="T1235" s="317"/>
      <c r="U1235" s="317"/>
      <c r="V1235" s="317"/>
      <c r="W1235" s="317"/>
      <c r="X1235" s="317"/>
      <c r="Y1235" s="501"/>
      <c r="BI1235" s="106"/>
      <c r="BJ1235" s="106"/>
      <c r="BK1235" s="106"/>
      <c r="BL1235" s="106"/>
      <c r="BM1235" s="106"/>
      <c r="BN1235" s="106"/>
      <c r="BO1235" s="106"/>
    </row>
    <row r="1236" spans="2:67" x14ac:dyDescent="0.25">
      <c r="B1236" s="221"/>
      <c r="C1236" s="222"/>
      <c r="D1236" s="222"/>
      <c r="E1236" s="221"/>
      <c r="F1236" s="212" t="s">
        <v>296</v>
      </c>
      <c r="G1236" s="215"/>
      <c r="H1236" s="216">
        <f>N1233</f>
        <v>0</v>
      </c>
      <c r="J1236" s="203"/>
      <c r="K1236" s="215"/>
      <c r="M1236" s="215"/>
      <c r="N1236" s="215"/>
      <c r="O1236" s="215"/>
      <c r="P1236" s="215"/>
      <c r="Q1236" s="215"/>
      <c r="Y1236" s="501"/>
      <c r="BI1236" s="106"/>
      <c r="BJ1236" s="106"/>
      <c r="BK1236" s="106"/>
      <c r="BL1236" s="106"/>
      <c r="BM1236" s="106"/>
      <c r="BN1236" s="106"/>
      <c r="BO1236" s="106"/>
    </row>
    <row r="1237" spans="2:67" ht="3" customHeight="1" x14ac:dyDescent="0.25">
      <c r="B1237" s="215"/>
      <c r="E1237" s="215"/>
      <c r="F1237" s="225"/>
      <c r="G1237" s="215"/>
      <c r="H1237" s="252"/>
      <c r="J1237" s="203"/>
      <c r="K1237" s="215"/>
      <c r="M1237" s="215"/>
      <c r="N1237" s="215"/>
      <c r="O1237" s="215"/>
      <c r="P1237" s="215"/>
      <c r="Q1237" s="215"/>
      <c r="Y1237" s="501"/>
      <c r="BI1237" s="106"/>
      <c r="BJ1237" s="106"/>
      <c r="BK1237" s="106"/>
      <c r="BL1237" s="106"/>
      <c r="BM1237" s="106"/>
      <c r="BN1237" s="106"/>
      <c r="BO1237" s="106"/>
    </row>
    <row r="1238" spans="2:67" x14ac:dyDescent="0.25">
      <c r="B1238" s="221"/>
      <c r="C1238" s="222"/>
      <c r="D1238" s="222"/>
      <c r="E1238" s="221"/>
      <c r="F1238" s="212" t="s">
        <v>297</v>
      </c>
      <c r="G1238" s="215"/>
      <c r="H1238" s="217">
        <f>(Wst05_09/Wst05_Credits)*Wst05_tot</f>
        <v>0</v>
      </c>
      <c r="J1238" s="203"/>
      <c r="K1238" s="215"/>
      <c r="M1238" s="215"/>
      <c r="N1238" s="215"/>
      <c r="O1238" s="215"/>
      <c r="P1238" s="215"/>
      <c r="Q1238" s="215"/>
      <c r="Y1238" s="501"/>
      <c r="BI1238" s="106"/>
      <c r="BJ1238" s="106"/>
      <c r="BK1238" s="106"/>
      <c r="BL1238" s="106"/>
      <c r="BM1238" s="106"/>
      <c r="BN1238" s="106"/>
      <c r="BO1238" s="106"/>
    </row>
    <row r="1239" spans="2:67" ht="3" customHeight="1" x14ac:dyDescent="0.25">
      <c r="K1239" s="215"/>
      <c r="M1239" s="215"/>
      <c r="N1239" s="215"/>
      <c r="O1239" s="215"/>
      <c r="P1239" s="215"/>
      <c r="Q1239" s="215"/>
      <c r="Y1239" s="501"/>
      <c r="BI1239" s="106"/>
      <c r="BJ1239" s="106"/>
      <c r="BK1239" s="106"/>
      <c r="BL1239" s="106"/>
      <c r="BM1239" s="106"/>
      <c r="BN1239" s="106"/>
      <c r="BO1239" s="106"/>
    </row>
    <row r="1240" spans="2:67" x14ac:dyDescent="0.25">
      <c r="B1240" s="221"/>
      <c r="C1240" s="222"/>
      <c r="D1240" s="222"/>
      <c r="E1240" s="221"/>
      <c r="F1240" s="212" t="s">
        <v>298</v>
      </c>
      <c r="H1240" s="216">
        <f>N1234</f>
        <v>0</v>
      </c>
      <c r="K1240" s="215"/>
      <c r="M1240" s="215"/>
      <c r="N1240" s="215"/>
      <c r="O1240" s="215"/>
      <c r="P1240" s="215"/>
      <c r="Q1240" s="215"/>
      <c r="Y1240" s="501"/>
      <c r="BI1240" s="106"/>
      <c r="BJ1240" s="106"/>
      <c r="BK1240" s="106"/>
      <c r="BL1240" s="106"/>
      <c r="BM1240" s="106"/>
      <c r="BN1240" s="106"/>
      <c r="BO1240" s="106"/>
    </row>
    <row r="1241" spans="2:67" ht="3" customHeight="1" x14ac:dyDescent="0.25">
      <c r="K1241" s="215"/>
      <c r="M1241" s="215"/>
      <c r="N1241" s="215"/>
      <c r="O1241" s="215"/>
      <c r="P1241" s="215"/>
      <c r="Q1241" s="215"/>
      <c r="Y1241" s="501"/>
      <c r="BI1241" s="106"/>
      <c r="BJ1241" s="106"/>
      <c r="BK1241" s="106"/>
      <c r="BL1241" s="106"/>
      <c r="BM1241" s="106"/>
      <c r="BN1241" s="106"/>
      <c r="BO1241" s="106"/>
    </row>
    <row r="1242" spans="2:67" x14ac:dyDescent="0.25">
      <c r="B1242" s="221"/>
      <c r="C1242" s="222"/>
      <c r="D1242" s="221"/>
      <c r="E1242" s="221"/>
      <c r="F1242" s="212" t="s">
        <v>299</v>
      </c>
      <c r="H1242" s="216" t="s">
        <v>300</v>
      </c>
      <c r="K1242" s="215"/>
      <c r="M1242" s="215"/>
      <c r="N1242" s="215"/>
      <c r="O1242" s="215"/>
      <c r="P1242" s="215"/>
      <c r="Q1242" s="215"/>
      <c r="Y1242" s="501"/>
      <c r="BI1242" s="106"/>
      <c r="BJ1242" s="106"/>
      <c r="BK1242" s="106"/>
      <c r="BL1242" s="106"/>
      <c r="BM1242" s="106"/>
      <c r="BN1242" s="106"/>
      <c r="BO1242" s="106"/>
    </row>
    <row r="1243" spans="2:67" x14ac:dyDescent="0.25">
      <c r="M1243" s="215"/>
      <c r="N1243" s="215"/>
      <c r="O1243" s="215"/>
      <c r="P1243" s="215"/>
      <c r="Q1243" s="215"/>
      <c r="Y1243" s="501"/>
      <c r="BI1243" s="106"/>
      <c r="BJ1243" s="106"/>
      <c r="BK1243" s="106"/>
      <c r="BL1243" s="106"/>
      <c r="BM1243" s="106"/>
      <c r="BN1243" s="106"/>
      <c r="BO1243" s="106"/>
    </row>
    <row r="1244" spans="2:67" x14ac:dyDescent="0.25">
      <c r="B1244" s="235" t="s">
        <v>301</v>
      </c>
      <c r="C1244" s="215"/>
      <c r="D1244" s="215"/>
      <c r="E1244" s="215"/>
      <c r="F1244" s="225"/>
      <c r="G1244" s="215"/>
      <c r="H1244" s="215"/>
      <c r="I1244" s="215"/>
      <c r="J1244" s="215"/>
      <c r="K1244" s="215"/>
      <c r="L1244" s="215"/>
      <c r="M1244" s="215"/>
      <c r="N1244" s="215"/>
      <c r="O1244" s="215"/>
      <c r="P1244" s="215"/>
      <c r="Q1244" s="215"/>
      <c r="Y1244" s="501"/>
      <c r="BI1244" s="106"/>
      <c r="BJ1244" s="106"/>
      <c r="BK1244" s="106"/>
      <c r="BL1244" s="106"/>
      <c r="BM1244" s="106"/>
      <c r="BN1244" s="106"/>
      <c r="BO1244" s="106"/>
    </row>
    <row r="1245" spans="2:67" ht="159.94999999999999" customHeight="1" x14ac:dyDescent="0.25">
      <c r="B1245" s="736"/>
      <c r="C1245" s="737"/>
      <c r="D1245" s="737"/>
      <c r="E1245" s="737"/>
      <c r="F1245" s="737"/>
      <c r="G1245" s="737"/>
      <c r="H1245" s="737"/>
      <c r="I1245" s="737"/>
      <c r="J1245" s="737"/>
      <c r="K1245" s="737"/>
      <c r="L1245" s="737"/>
      <c r="M1245" s="737"/>
      <c r="N1245" s="737"/>
      <c r="O1245" s="737"/>
      <c r="P1245" s="738"/>
      <c r="Q1245" s="416"/>
      <c r="Y1245" s="501"/>
      <c r="BI1245" s="106"/>
      <c r="BJ1245" s="106"/>
      <c r="BK1245" s="106"/>
      <c r="BL1245" s="106"/>
      <c r="BM1245" s="106"/>
      <c r="BN1245" s="106"/>
      <c r="BO1245" s="106"/>
    </row>
    <row r="1246" spans="2:67" ht="24.95" customHeight="1" x14ac:dyDescent="0.25">
      <c r="B1246" s="204"/>
      <c r="C1246" s="294"/>
      <c r="D1246" s="294"/>
      <c r="E1246" s="294"/>
      <c r="F1246" s="294"/>
      <c r="G1246" s="294"/>
      <c r="H1246" s="294"/>
      <c r="I1246" s="294"/>
      <c r="J1246" s="294"/>
      <c r="K1246" s="294"/>
      <c r="L1246" s="294"/>
      <c r="M1246" s="294"/>
      <c r="N1246" s="294"/>
      <c r="O1246" s="294"/>
      <c r="P1246" s="294"/>
      <c r="Q1246" s="294"/>
      <c r="Y1246" s="501"/>
      <c r="BI1246" s="106"/>
      <c r="BJ1246" s="106"/>
      <c r="BK1246" s="106"/>
      <c r="BL1246" s="106"/>
      <c r="BM1246" s="106"/>
      <c r="BN1246" s="106"/>
      <c r="BO1246" s="106"/>
    </row>
    <row r="1247" spans="2:67" ht="36" customHeight="1" x14ac:dyDescent="0.25">
      <c r="B1247" s="27" t="s">
        <v>652</v>
      </c>
      <c r="C1247" s="13"/>
      <c r="D1247" s="236"/>
      <c r="E1247" s="237"/>
      <c r="F1247" s="237"/>
      <c r="G1247" s="237"/>
      <c r="H1247" s="237"/>
      <c r="I1247" s="237"/>
      <c r="J1247" s="237"/>
      <c r="K1247" s="237"/>
      <c r="L1247" s="237"/>
      <c r="M1247" s="237"/>
      <c r="N1247" s="237"/>
      <c r="O1247" s="237"/>
      <c r="P1247" s="329" t="str">
        <f>IF(ADBT0=ADBT8,AIS_statement32,"")</f>
        <v/>
      </c>
      <c r="Q1247" s="215"/>
      <c r="R1247" s="192">
        <f>IF(P1247=AIS_statement32,1,0)</f>
        <v>0</v>
      </c>
      <c r="Y1247" s="501"/>
      <c r="BI1247" s="106"/>
      <c r="BJ1247" s="106"/>
      <c r="BK1247" s="106"/>
      <c r="BL1247" s="106"/>
      <c r="BM1247" s="106"/>
      <c r="BN1247" s="106"/>
      <c r="BO1247" s="106"/>
    </row>
    <row r="1248" spans="2:67" x14ac:dyDescent="0.25">
      <c r="B1248" s="215"/>
      <c r="C1248" s="215"/>
      <c r="D1248" s="215"/>
      <c r="E1248" s="215"/>
      <c r="F1248" s="215"/>
      <c r="G1248" s="215"/>
      <c r="H1248" s="215"/>
      <c r="I1248" s="215"/>
      <c r="J1248" s="215"/>
      <c r="K1248" s="215"/>
      <c r="L1248" s="215"/>
      <c r="M1248" s="215"/>
      <c r="N1248" s="215"/>
      <c r="O1248" s="215"/>
      <c r="P1248" s="215"/>
      <c r="Q1248" s="215"/>
      <c r="Y1248" s="501"/>
      <c r="BI1248" s="106"/>
      <c r="BJ1248" s="106"/>
      <c r="BK1248" s="106"/>
      <c r="BL1248" s="106"/>
      <c r="BM1248" s="106"/>
      <c r="BN1248" s="106"/>
      <c r="BO1248" s="106"/>
    </row>
    <row r="1249" spans="2:67" x14ac:dyDescent="0.25">
      <c r="B1249" s="222"/>
      <c r="C1249" s="222"/>
      <c r="D1249" s="221"/>
      <c r="E1249" s="221"/>
      <c r="F1249" s="212" t="s">
        <v>284</v>
      </c>
      <c r="G1249" s="215"/>
      <c r="H1249" s="216">
        <f>IF(Wst06_switch=1,AIS_NA,1)</f>
        <v>1</v>
      </c>
      <c r="J1249" s="222"/>
      <c r="K1249" s="222"/>
      <c r="L1249" s="222"/>
      <c r="M1249" s="222"/>
      <c r="N1249" s="212" t="s">
        <v>285</v>
      </c>
      <c r="P1249" s="217">
        <f>IF(Wst06_switch=1,AIS_NA,(BP_39/BP_07)*Wst05_Credits)</f>
        <v>0</v>
      </c>
      <c r="Q1249" s="217"/>
      <c r="Y1249" s="501"/>
      <c r="BI1249" s="106"/>
      <c r="BJ1249" s="106"/>
      <c r="BK1249" s="106"/>
      <c r="BL1249" s="106"/>
      <c r="BM1249" s="106"/>
      <c r="BN1249" s="106"/>
      <c r="BO1249" s="106"/>
    </row>
    <row r="1250" spans="2:67" ht="3.75" customHeight="1" x14ac:dyDescent="0.25">
      <c r="Y1250" s="501"/>
      <c r="BI1250" s="106"/>
      <c r="BJ1250" s="106"/>
      <c r="BK1250" s="106"/>
      <c r="BL1250" s="106"/>
      <c r="BM1250" s="106"/>
      <c r="BN1250" s="106"/>
      <c r="BO1250" s="106"/>
    </row>
    <row r="1251" spans="2:67" x14ac:dyDescent="0.25">
      <c r="B1251" s="222"/>
      <c r="C1251" s="222"/>
      <c r="D1251" s="221"/>
      <c r="E1251" s="221"/>
      <c r="F1251" s="212" t="s">
        <v>286</v>
      </c>
      <c r="G1251" s="215"/>
      <c r="H1251" s="216">
        <f>IF(Wst06_switch=1,AIS_NA,0)</f>
        <v>0</v>
      </c>
      <c r="J1251" s="221"/>
      <c r="K1251" s="221"/>
      <c r="L1251" s="221"/>
      <c r="M1251" s="221"/>
      <c r="N1251" s="212" t="s">
        <v>287</v>
      </c>
      <c r="O1251" s="215"/>
      <c r="P1251" s="216" t="s">
        <v>300</v>
      </c>
      <c r="Q1251" s="216"/>
      <c r="Y1251" s="501"/>
      <c r="BI1251" s="106"/>
      <c r="BJ1251" s="106"/>
      <c r="BK1251" s="106"/>
      <c r="BL1251" s="106"/>
      <c r="BM1251" s="106"/>
      <c r="BN1251" s="106"/>
      <c r="BO1251" s="106"/>
    </row>
    <row r="1252" spans="2:67" ht="47.25" customHeight="1" x14ac:dyDescent="0.25">
      <c r="B1252" s="238" t="s">
        <v>288</v>
      </c>
      <c r="C1252" s="239"/>
      <c r="D1252" s="235"/>
      <c r="E1252" s="239"/>
      <c r="F1252" s="240"/>
      <c r="G1252" s="238"/>
      <c r="H1252" s="238"/>
      <c r="I1252" s="238"/>
      <c r="J1252" s="241" t="s">
        <v>289</v>
      </c>
      <c r="K1252" s="241"/>
      <c r="L1252" s="242" t="s">
        <v>290</v>
      </c>
      <c r="N1252" s="242" t="s">
        <v>291</v>
      </c>
      <c r="P1252" s="242"/>
      <c r="Q1252" s="242"/>
      <c r="Y1252" s="501"/>
      <c r="BI1252" s="106"/>
      <c r="BJ1252" s="106"/>
      <c r="BK1252" s="106"/>
      <c r="BL1252" s="106"/>
      <c r="BM1252" s="106"/>
      <c r="BN1252" s="106"/>
      <c r="BO1252" s="106"/>
    </row>
    <row r="1253" spans="2:67" ht="3" customHeight="1" x14ac:dyDescent="0.25">
      <c r="B1253" s="215"/>
      <c r="C1253" s="218"/>
      <c r="D1253" s="215"/>
      <c r="E1253" s="218"/>
      <c r="F1253" s="244"/>
      <c r="G1253" s="215"/>
      <c r="J1253" s="245"/>
      <c r="K1253" s="245"/>
      <c r="L1253" s="215"/>
      <c r="M1253" s="215"/>
      <c r="N1253" s="246"/>
      <c r="O1253" s="218"/>
      <c r="P1253" s="246"/>
      <c r="Q1253" s="246"/>
      <c r="Y1253" s="501"/>
      <c r="BI1253" s="106"/>
      <c r="BJ1253" s="106"/>
      <c r="BK1253" s="106"/>
      <c r="BL1253" s="106"/>
      <c r="BM1253" s="106"/>
      <c r="BN1253" s="106"/>
      <c r="BO1253" s="106"/>
    </row>
    <row r="1254" spans="2:67" x14ac:dyDescent="0.25">
      <c r="B1254" s="221"/>
      <c r="C1254" s="221"/>
      <c r="D1254" s="221"/>
      <c r="E1254" s="221"/>
      <c r="F1254" s="212"/>
      <c r="G1254" s="221"/>
      <c r="H1254" s="212" t="s">
        <v>653</v>
      </c>
      <c r="J1254" s="223"/>
      <c r="K1254" s="215"/>
      <c r="L1254" s="224">
        <f>IF(Wst06_switch=1,AIS_NA,Mat05_credits)</f>
        <v>1</v>
      </c>
      <c r="M1254" s="215"/>
      <c r="N1254" s="224">
        <f>IF(Wst06_switch=1,AIS_NA,IF(J1254=AIS_Yes,1,0))</f>
        <v>0</v>
      </c>
      <c r="O1254" s="215"/>
      <c r="P1254" s="400"/>
      <c r="Q1254" s="400"/>
      <c r="R1254" s="209" t="str">
        <f>IF(OR(Mat05_01=AIS_No,Mat05_01a=AIS_No),"Both criteria have to be met to score credit","")</f>
        <v/>
      </c>
      <c r="Y1254" s="501"/>
      <c r="BI1254" s="106"/>
      <c r="BJ1254" s="106"/>
      <c r="BK1254" s="106"/>
      <c r="BL1254" s="106"/>
      <c r="BM1254" s="106"/>
      <c r="BN1254" s="106"/>
      <c r="BO1254" s="106"/>
    </row>
    <row r="1255" spans="2:67" x14ac:dyDescent="0.25">
      <c r="Y1255" s="501"/>
      <c r="BI1255" s="106"/>
      <c r="BJ1255" s="106"/>
      <c r="BK1255" s="106"/>
      <c r="BL1255" s="106"/>
      <c r="BM1255" s="106"/>
      <c r="BN1255" s="106"/>
      <c r="BO1255" s="106"/>
    </row>
    <row r="1256" spans="2:67" x14ac:dyDescent="0.25">
      <c r="B1256" s="221"/>
      <c r="C1256" s="222"/>
      <c r="D1256" s="222"/>
      <c r="E1256" s="221"/>
      <c r="F1256" s="212" t="s">
        <v>296</v>
      </c>
      <c r="G1256" s="215"/>
      <c r="H1256" s="216">
        <f>IF(Wst06_switch=1,AIS_NA,N1254)</f>
        <v>0</v>
      </c>
      <c r="J1256" s="203"/>
      <c r="K1256" s="215"/>
      <c r="M1256" s="215"/>
      <c r="N1256" s="215"/>
      <c r="O1256" s="215"/>
      <c r="P1256" s="215"/>
      <c r="Q1256" s="215"/>
      <c r="Y1256" s="501"/>
      <c r="BI1256" s="106"/>
      <c r="BJ1256" s="106"/>
      <c r="BK1256" s="106"/>
      <c r="BL1256" s="106"/>
      <c r="BM1256" s="106"/>
      <c r="BN1256" s="106"/>
      <c r="BO1256" s="106"/>
    </row>
    <row r="1257" spans="2:67" ht="3" customHeight="1" x14ac:dyDescent="0.25">
      <c r="B1257" s="215"/>
      <c r="E1257" s="215"/>
      <c r="F1257" s="225"/>
      <c r="G1257" s="215"/>
      <c r="H1257" s="252"/>
      <c r="J1257" s="203"/>
      <c r="K1257" s="215"/>
      <c r="M1257" s="215"/>
      <c r="N1257" s="215"/>
      <c r="O1257" s="215"/>
      <c r="P1257" s="215"/>
      <c r="Q1257" s="215"/>
      <c r="Y1257" s="501"/>
      <c r="BI1257" s="106"/>
      <c r="BJ1257" s="106"/>
      <c r="BK1257" s="106"/>
      <c r="BL1257" s="106"/>
      <c r="BM1257" s="106"/>
      <c r="BN1257" s="106"/>
      <c r="BO1257" s="106"/>
    </row>
    <row r="1258" spans="2:67" x14ac:dyDescent="0.25">
      <c r="B1258" s="221"/>
      <c r="C1258" s="222"/>
      <c r="D1258" s="222"/>
      <c r="E1258" s="221"/>
      <c r="F1258" s="212" t="s">
        <v>297</v>
      </c>
      <c r="G1258" s="215"/>
      <c r="H1258" s="217">
        <f>IF(Wst06_switch=1,AIS_NA,(Wst06_04/Wst06_Credits)*Wst06_tot)</f>
        <v>0</v>
      </c>
      <c r="J1258" s="203"/>
      <c r="K1258" s="215"/>
      <c r="M1258" s="215"/>
      <c r="N1258" s="215"/>
      <c r="O1258" s="215"/>
      <c r="P1258" s="215"/>
      <c r="Q1258" s="215"/>
      <c r="Y1258" s="501"/>
      <c r="BI1258" s="106"/>
      <c r="BJ1258" s="106"/>
      <c r="BK1258" s="106"/>
      <c r="BL1258" s="106"/>
      <c r="BM1258" s="106"/>
      <c r="BN1258" s="106"/>
      <c r="BO1258" s="106"/>
    </row>
    <row r="1259" spans="2:67" ht="3" customHeight="1" x14ac:dyDescent="0.25">
      <c r="K1259" s="215"/>
      <c r="M1259" s="215"/>
      <c r="N1259" s="215"/>
      <c r="O1259" s="215"/>
      <c r="P1259" s="215"/>
      <c r="Q1259" s="215"/>
      <c r="Y1259" s="501"/>
      <c r="BI1259" s="106"/>
      <c r="BJ1259" s="106"/>
      <c r="BK1259" s="106"/>
      <c r="BL1259" s="106"/>
      <c r="BM1259" s="106"/>
      <c r="BN1259" s="106"/>
      <c r="BO1259" s="106"/>
    </row>
    <row r="1260" spans="2:67" x14ac:dyDescent="0.25">
      <c r="B1260" s="221"/>
      <c r="C1260" s="222"/>
      <c r="D1260" s="222"/>
      <c r="E1260" s="221"/>
      <c r="F1260" s="212" t="s">
        <v>298</v>
      </c>
      <c r="H1260" s="216" t="s">
        <v>300</v>
      </c>
      <c r="K1260" s="215"/>
      <c r="M1260" s="215"/>
      <c r="N1260" s="215"/>
      <c r="O1260" s="215"/>
      <c r="P1260" s="215"/>
      <c r="Q1260" s="215"/>
      <c r="Y1260" s="501"/>
      <c r="BI1260" s="106"/>
      <c r="BJ1260" s="106"/>
      <c r="BK1260" s="106"/>
      <c r="BL1260" s="106"/>
      <c r="BM1260" s="106"/>
      <c r="BN1260" s="106"/>
      <c r="BO1260" s="106"/>
    </row>
    <row r="1261" spans="2:67" ht="3" customHeight="1" x14ac:dyDescent="0.25">
      <c r="K1261" s="215"/>
      <c r="M1261" s="215"/>
      <c r="N1261" s="215"/>
      <c r="O1261" s="215"/>
      <c r="P1261" s="215"/>
      <c r="Q1261" s="215"/>
      <c r="Y1261" s="501"/>
      <c r="BI1261" s="106"/>
      <c r="BJ1261" s="106"/>
      <c r="BK1261" s="106"/>
      <c r="BL1261" s="106"/>
      <c r="BM1261" s="106"/>
      <c r="BN1261" s="106"/>
      <c r="BO1261" s="106"/>
    </row>
    <row r="1262" spans="2:67" x14ac:dyDescent="0.25">
      <c r="B1262" s="221"/>
      <c r="C1262" s="222"/>
      <c r="D1262" s="221"/>
      <c r="E1262" s="221"/>
      <c r="F1262" s="212" t="s">
        <v>299</v>
      </c>
      <c r="H1262" s="216" t="s">
        <v>300</v>
      </c>
      <c r="K1262" s="215"/>
      <c r="M1262" s="215"/>
      <c r="N1262" s="215"/>
      <c r="O1262" s="215"/>
      <c r="P1262" s="215"/>
      <c r="Q1262" s="215"/>
      <c r="Y1262" s="501"/>
      <c r="BI1262" s="106"/>
      <c r="BJ1262" s="106"/>
      <c r="BK1262" s="106"/>
      <c r="BL1262" s="106"/>
      <c r="BM1262" s="106"/>
      <c r="BN1262" s="106"/>
      <c r="BO1262" s="106"/>
    </row>
    <row r="1263" spans="2:67" x14ac:dyDescent="0.25">
      <c r="M1263" s="215"/>
      <c r="N1263" s="215"/>
      <c r="O1263" s="215"/>
      <c r="P1263" s="215"/>
      <c r="Q1263" s="215"/>
      <c r="Y1263" s="501"/>
      <c r="BI1263" s="106"/>
      <c r="BJ1263" s="106"/>
      <c r="BK1263" s="106"/>
      <c r="BL1263" s="106"/>
      <c r="BM1263" s="106"/>
      <c r="BN1263" s="106"/>
      <c r="BO1263" s="106"/>
    </row>
    <row r="1264" spans="2:67" x14ac:dyDescent="0.25">
      <c r="B1264" s="235" t="s">
        <v>301</v>
      </c>
      <c r="C1264" s="215"/>
      <c r="D1264" s="215"/>
      <c r="E1264" s="215"/>
      <c r="F1264" s="225"/>
      <c r="G1264" s="215"/>
      <c r="H1264" s="215"/>
      <c r="I1264" s="215"/>
      <c r="J1264" s="215"/>
      <c r="K1264" s="215"/>
      <c r="L1264" s="215"/>
      <c r="M1264" s="215"/>
      <c r="N1264" s="215"/>
      <c r="O1264" s="215"/>
      <c r="P1264" s="215"/>
      <c r="Q1264" s="215"/>
      <c r="Y1264" s="501"/>
      <c r="BI1264" s="106"/>
      <c r="BJ1264" s="106"/>
      <c r="BK1264" s="106"/>
      <c r="BL1264" s="106"/>
      <c r="BM1264" s="106"/>
      <c r="BN1264" s="106"/>
      <c r="BO1264" s="106"/>
    </row>
    <row r="1265" spans="2:67" ht="159.94999999999999" customHeight="1" x14ac:dyDescent="0.25">
      <c r="B1265" s="736"/>
      <c r="C1265" s="737"/>
      <c r="D1265" s="737"/>
      <c r="E1265" s="737"/>
      <c r="F1265" s="737"/>
      <c r="G1265" s="737"/>
      <c r="H1265" s="737"/>
      <c r="I1265" s="737"/>
      <c r="J1265" s="737"/>
      <c r="K1265" s="737"/>
      <c r="L1265" s="737"/>
      <c r="M1265" s="737"/>
      <c r="N1265" s="737"/>
      <c r="O1265" s="737"/>
      <c r="P1265" s="738"/>
      <c r="Q1265" s="416"/>
      <c r="Y1265" s="501"/>
      <c r="BI1265" s="106"/>
      <c r="BJ1265" s="106"/>
      <c r="BK1265" s="106"/>
      <c r="BL1265" s="106"/>
      <c r="BM1265" s="106"/>
      <c r="BN1265" s="106"/>
      <c r="BO1265" s="106"/>
    </row>
    <row r="1266" spans="2:67" ht="24.95" customHeight="1" x14ac:dyDescent="0.25">
      <c r="B1266" s="204"/>
      <c r="C1266" s="294"/>
      <c r="D1266" s="294"/>
      <c r="E1266" s="294"/>
      <c r="F1266" s="294"/>
      <c r="G1266" s="294"/>
      <c r="H1266" s="294"/>
      <c r="I1266" s="294"/>
      <c r="J1266" s="294"/>
      <c r="K1266" s="294"/>
      <c r="L1266" s="294"/>
      <c r="M1266" s="294"/>
      <c r="N1266" s="294"/>
      <c r="O1266" s="294"/>
      <c r="P1266" s="294"/>
      <c r="Q1266" s="294"/>
      <c r="Y1266" s="501"/>
      <c r="BI1266" s="106"/>
      <c r="BJ1266" s="106"/>
      <c r="BK1266" s="106"/>
      <c r="BL1266" s="106"/>
      <c r="BM1266" s="106"/>
      <c r="BN1266" s="106"/>
      <c r="BO1266" s="106"/>
    </row>
    <row r="1267" spans="2:67" ht="24.95" customHeight="1" x14ac:dyDescent="0.25">
      <c r="B1267" s="341" t="s">
        <v>654</v>
      </c>
      <c r="C1267" s="342"/>
      <c r="D1267" s="342"/>
      <c r="E1267" s="342"/>
      <c r="F1267" s="342"/>
      <c r="G1267" s="342"/>
      <c r="H1267" s="342"/>
      <c r="I1267" s="342"/>
      <c r="J1267" s="342"/>
      <c r="K1267" s="342"/>
      <c r="L1267" s="342"/>
      <c r="M1267" s="342"/>
      <c r="N1267" s="325"/>
      <c r="O1267" s="325"/>
      <c r="P1267" s="354"/>
      <c r="Q1267" s="354"/>
      <c r="Y1267" s="501"/>
      <c r="BI1267" s="106"/>
      <c r="BJ1267" s="106"/>
      <c r="BK1267" s="106"/>
      <c r="BL1267" s="106"/>
      <c r="BM1267" s="106"/>
      <c r="BN1267" s="106"/>
      <c r="BO1267" s="106"/>
    </row>
    <row r="1268" spans="2:67" ht="15" customHeight="1" x14ac:dyDescent="0.25">
      <c r="Y1268" s="501"/>
      <c r="BI1268" s="106"/>
      <c r="BJ1268" s="106"/>
      <c r="BK1268" s="106"/>
      <c r="BL1268" s="106"/>
      <c r="BM1268" s="106"/>
      <c r="BN1268" s="106"/>
      <c r="BO1268" s="106"/>
    </row>
    <row r="1269" spans="2:67" ht="15" customHeight="1" x14ac:dyDescent="0.25">
      <c r="B1269" s="27" t="s">
        <v>655</v>
      </c>
      <c r="C1269" s="13"/>
      <c r="D1269" s="236"/>
      <c r="E1269" s="237"/>
      <c r="F1269" s="237"/>
      <c r="G1269" s="237"/>
      <c r="H1269" s="237"/>
      <c r="I1269" s="237"/>
      <c r="J1269" s="237"/>
      <c r="K1269" s="237"/>
      <c r="L1269" s="237"/>
      <c r="M1269" s="237"/>
      <c r="N1269" s="237"/>
      <c r="O1269" s="237"/>
      <c r="P1269" s="237"/>
      <c r="Q1269" s="215"/>
      <c r="Y1269" s="501"/>
      <c r="BI1269" s="106"/>
      <c r="BJ1269" s="106"/>
      <c r="BK1269" s="106"/>
      <c r="BL1269" s="106"/>
      <c r="BM1269" s="106"/>
      <c r="BN1269" s="106"/>
      <c r="BO1269" s="106"/>
    </row>
    <row r="1270" spans="2:67" x14ac:dyDescent="0.25">
      <c r="B1270" s="215"/>
      <c r="C1270" s="215"/>
      <c r="D1270" s="215"/>
      <c r="E1270" s="215"/>
      <c r="F1270" s="215"/>
      <c r="G1270" s="215"/>
      <c r="H1270" s="215"/>
      <c r="I1270" s="215"/>
      <c r="J1270" s="215"/>
      <c r="K1270" s="215"/>
      <c r="L1270" s="215"/>
      <c r="M1270" s="215"/>
      <c r="N1270" s="215"/>
      <c r="O1270" s="215"/>
      <c r="P1270" s="215"/>
      <c r="Q1270" s="215"/>
      <c r="Y1270" s="501"/>
      <c r="BI1270" s="106"/>
      <c r="BJ1270" s="106"/>
      <c r="BK1270" s="106"/>
      <c r="BL1270" s="106"/>
      <c r="BM1270" s="106"/>
      <c r="BN1270" s="106"/>
      <c r="BO1270" s="106"/>
    </row>
    <row r="1271" spans="2:67" x14ac:dyDescent="0.25">
      <c r="B1271" s="222"/>
      <c r="C1271" s="222"/>
      <c r="D1271" s="221"/>
      <c r="E1271" s="221"/>
      <c r="F1271" s="212" t="s">
        <v>284</v>
      </c>
      <c r="G1271" s="215"/>
      <c r="H1271" s="216">
        <v>3</v>
      </c>
      <c r="J1271" s="222"/>
      <c r="K1271" s="222"/>
      <c r="L1271" s="222"/>
      <c r="M1271" s="222"/>
      <c r="N1271" s="212" t="s">
        <v>285</v>
      </c>
      <c r="P1271" s="217">
        <f>(BP_40/BP_08)*LE01_credits</f>
        <v>0</v>
      </c>
      <c r="Q1271" s="217"/>
      <c r="Y1271" s="501"/>
      <c r="BI1271" s="106"/>
      <c r="BJ1271" s="106"/>
      <c r="BK1271" s="106"/>
      <c r="BL1271" s="106"/>
      <c r="BM1271" s="106"/>
      <c r="BN1271" s="106"/>
      <c r="BO1271" s="106"/>
    </row>
    <row r="1272" spans="2:67" ht="3.75" customHeight="1" x14ac:dyDescent="0.25">
      <c r="Y1272" s="501"/>
      <c r="BI1272" s="106"/>
      <c r="BJ1272" s="106"/>
      <c r="BK1272" s="106"/>
      <c r="BL1272" s="106"/>
      <c r="BM1272" s="106"/>
      <c r="BN1272" s="106"/>
      <c r="BO1272" s="106"/>
    </row>
    <row r="1273" spans="2:67" x14ac:dyDescent="0.25">
      <c r="B1273" s="222"/>
      <c r="C1273" s="222"/>
      <c r="D1273" s="221"/>
      <c r="E1273" s="221"/>
      <c r="F1273" s="212" t="s">
        <v>286</v>
      </c>
      <c r="G1273" s="215"/>
      <c r="H1273" s="216">
        <v>0</v>
      </c>
      <c r="J1273" s="221"/>
      <c r="K1273" s="221"/>
      <c r="L1273" s="221"/>
      <c r="M1273" s="221"/>
      <c r="N1273" s="212" t="s">
        <v>287</v>
      </c>
      <c r="O1273" s="215"/>
      <c r="P1273" s="216" t="s">
        <v>125</v>
      </c>
      <c r="Q1273" s="216"/>
      <c r="Y1273" s="501"/>
      <c r="BI1273" s="106"/>
      <c r="BJ1273" s="106"/>
      <c r="BK1273" s="106"/>
      <c r="BL1273" s="106"/>
      <c r="BM1273" s="106"/>
      <c r="BN1273" s="106"/>
      <c r="BO1273" s="106"/>
    </row>
    <row r="1274" spans="2:67" ht="47.25" customHeight="1" x14ac:dyDescent="0.25">
      <c r="B1274" s="238" t="s">
        <v>288</v>
      </c>
      <c r="C1274" s="239"/>
      <c r="D1274" s="235"/>
      <c r="E1274" s="239"/>
      <c r="F1274" s="240"/>
      <c r="G1274" s="238"/>
      <c r="H1274" s="238"/>
      <c r="I1274" s="238"/>
      <c r="J1274" s="241" t="s">
        <v>289</v>
      </c>
      <c r="K1274" s="241"/>
      <c r="L1274" s="242" t="s">
        <v>290</v>
      </c>
      <c r="N1274" s="242" t="s">
        <v>291</v>
      </c>
      <c r="P1274" s="242"/>
      <c r="Q1274" s="242"/>
      <c r="Y1274" s="501"/>
      <c r="BI1274" s="106"/>
      <c r="BJ1274" s="106"/>
      <c r="BK1274" s="106"/>
      <c r="BL1274" s="106"/>
      <c r="BM1274" s="106"/>
      <c r="BN1274" s="106"/>
      <c r="BO1274" s="106"/>
    </row>
    <row r="1275" spans="2:67" ht="3" customHeight="1" x14ac:dyDescent="0.25">
      <c r="B1275" s="215"/>
      <c r="C1275" s="218"/>
      <c r="D1275" s="215"/>
      <c r="E1275" s="218"/>
      <c r="F1275" s="244"/>
      <c r="G1275" s="215"/>
      <c r="J1275" s="245"/>
      <c r="K1275" s="245"/>
      <c r="L1275" s="215"/>
      <c r="M1275" s="215"/>
      <c r="N1275" s="246"/>
      <c r="O1275" s="218"/>
      <c r="P1275" s="246"/>
      <c r="Q1275" s="246"/>
      <c r="Y1275" s="501"/>
      <c r="BI1275" s="106"/>
      <c r="BJ1275" s="106"/>
      <c r="BK1275" s="106"/>
      <c r="BL1275" s="106"/>
      <c r="BM1275" s="106"/>
      <c r="BN1275" s="106"/>
      <c r="BO1275" s="106"/>
    </row>
    <row r="1276" spans="2:67" x14ac:dyDescent="0.25">
      <c r="B1276" s="221"/>
      <c r="C1276" s="221"/>
      <c r="D1276" s="221"/>
      <c r="E1276" s="221"/>
      <c r="F1276" s="212"/>
      <c r="G1276" s="221"/>
      <c r="H1276" s="212" t="s">
        <v>656</v>
      </c>
      <c r="J1276" s="687"/>
      <c r="K1276" s="215"/>
      <c r="L1276" s="224">
        <v>2</v>
      </c>
      <c r="M1276" s="215"/>
      <c r="N1276" s="224">
        <f>IF(LE01_01&gt;=0.95,2,IF(LE01_01&gt;=0.75,1,0))</f>
        <v>0</v>
      </c>
      <c r="O1276" s="215"/>
      <c r="P1276" s="252"/>
      <c r="Q1276" s="252"/>
      <c r="Y1276" s="501"/>
      <c r="BI1276" s="106"/>
      <c r="BJ1276" s="106"/>
      <c r="BK1276" s="106"/>
      <c r="BL1276" s="106"/>
      <c r="BM1276" s="106"/>
      <c r="BN1276" s="106"/>
      <c r="BO1276" s="106"/>
    </row>
    <row r="1277" spans="2:67" x14ac:dyDescent="0.25">
      <c r="B1277" s="221"/>
      <c r="C1277" s="221"/>
      <c r="D1277" s="221"/>
      <c r="E1277" s="221"/>
      <c r="F1277" s="212"/>
      <c r="G1277" s="221"/>
      <c r="H1277" s="212" t="s">
        <v>657</v>
      </c>
      <c r="J1277" s="223"/>
      <c r="K1277" s="215"/>
      <c r="L1277" s="224">
        <v>1</v>
      </c>
      <c r="M1277" s="215"/>
      <c r="N1277" s="224">
        <f>IF(LE01_02=AIS_Yes,LE01_04,0)</f>
        <v>0</v>
      </c>
      <c r="O1277" s="215"/>
      <c r="P1277" s="252"/>
      <c r="Q1277" s="252"/>
      <c r="Y1277" s="501"/>
      <c r="BI1277" s="106"/>
      <c r="BJ1277" s="106"/>
      <c r="BK1277" s="106"/>
      <c r="BL1277" s="106"/>
      <c r="BM1277" s="106"/>
      <c r="BN1277" s="106"/>
      <c r="BO1277" s="106"/>
    </row>
    <row r="1278" spans="2:67" x14ac:dyDescent="0.25">
      <c r="Y1278" s="501"/>
      <c r="BI1278" s="106"/>
      <c r="BJ1278" s="106"/>
      <c r="BK1278" s="106"/>
      <c r="BL1278" s="106"/>
      <c r="BM1278" s="106"/>
      <c r="BN1278" s="106"/>
      <c r="BO1278" s="106"/>
    </row>
    <row r="1279" spans="2:67" x14ac:dyDescent="0.25">
      <c r="B1279" s="221"/>
      <c r="C1279" s="222"/>
      <c r="D1279" s="222"/>
      <c r="E1279" s="221"/>
      <c r="F1279" s="212" t="s">
        <v>296</v>
      </c>
      <c r="G1279" s="215"/>
      <c r="H1279" s="216">
        <f>IF(ISERROR(LE01_05+LE01_06),0,LE01_05+LE01_06)</f>
        <v>0</v>
      </c>
      <c r="J1279" s="203"/>
      <c r="K1279" s="215"/>
      <c r="M1279" s="215"/>
      <c r="N1279" s="215"/>
      <c r="O1279" s="215"/>
      <c r="P1279" s="215"/>
      <c r="Q1279" s="215"/>
      <c r="Y1279" s="501"/>
      <c r="BI1279" s="106"/>
      <c r="BJ1279" s="106"/>
      <c r="BK1279" s="106"/>
      <c r="BL1279" s="106"/>
      <c r="BM1279" s="106"/>
      <c r="BN1279" s="106"/>
      <c r="BO1279" s="106"/>
    </row>
    <row r="1280" spans="2:67" ht="3" customHeight="1" x14ac:dyDescent="0.25">
      <c r="B1280" s="215"/>
      <c r="E1280" s="215"/>
      <c r="F1280" s="225"/>
      <c r="G1280" s="215"/>
      <c r="H1280" s="252"/>
      <c r="J1280" s="203"/>
      <c r="K1280" s="215"/>
      <c r="M1280" s="215"/>
      <c r="N1280" s="215"/>
      <c r="O1280" s="215"/>
      <c r="P1280" s="215"/>
      <c r="Q1280" s="215"/>
      <c r="Y1280" s="501"/>
      <c r="BI1280" s="106"/>
      <c r="BJ1280" s="106"/>
      <c r="BK1280" s="106"/>
      <c r="BL1280" s="106"/>
      <c r="BM1280" s="106"/>
      <c r="BN1280" s="106"/>
      <c r="BO1280" s="106"/>
    </row>
    <row r="1281" spans="2:67" x14ac:dyDescent="0.25">
      <c r="B1281" s="221"/>
      <c r="C1281" s="222"/>
      <c r="D1281" s="222"/>
      <c r="E1281" s="221"/>
      <c r="F1281" s="212" t="s">
        <v>297</v>
      </c>
      <c r="G1281" s="215"/>
      <c r="H1281" s="217">
        <f>(LE01_07/LE01_credits)*LE01_tot</f>
        <v>0</v>
      </c>
      <c r="J1281" s="203"/>
      <c r="K1281" s="215"/>
      <c r="M1281" s="215"/>
      <c r="N1281" s="215"/>
      <c r="O1281" s="215"/>
      <c r="P1281" s="215"/>
      <c r="Q1281" s="215"/>
      <c r="Y1281" s="501"/>
      <c r="BI1281" s="106"/>
      <c r="BJ1281" s="106"/>
      <c r="BK1281" s="106"/>
      <c r="BL1281" s="106"/>
      <c r="BM1281" s="106"/>
      <c r="BN1281" s="106"/>
      <c r="BO1281" s="106"/>
    </row>
    <row r="1282" spans="2:67" ht="3" customHeight="1" x14ac:dyDescent="0.25">
      <c r="K1282" s="215"/>
      <c r="M1282" s="215"/>
      <c r="N1282" s="215"/>
      <c r="O1282" s="215"/>
      <c r="P1282" s="215"/>
      <c r="Q1282" s="215"/>
      <c r="Y1282" s="501"/>
      <c r="BI1282" s="106"/>
      <c r="BJ1282" s="106"/>
      <c r="BK1282" s="106"/>
      <c r="BL1282" s="106"/>
      <c r="BM1282" s="106"/>
      <c r="BN1282" s="106"/>
      <c r="BO1282" s="106"/>
    </row>
    <row r="1283" spans="2:67" x14ac:dyDescent="0.25">
      <c r="B1283" s="221"/>
      <c r="C1283" s="222"/>
      <c r="D1283" s="222"/>
      <c r="E1283" s="221"/>
      <c r="F1283" s="212" t="s">
        <v>298</v>
      </c>
      <c r="H1283" s="216" t="s">
        <v>300</v>
      </c>
      <c r="K1283" s="215"/>
      <c r="M1283" s="215"/>
      <c r="N1283" s="215"/>
      <c r="O1283" s="215"/>
      <c r="P1283" s="215"/>
      <c r="Q1283" s="215"/>
      <c r="Y1283" s="501"/>
      <c r="BI1283" s="106"/>
      <c r="BJ1283" s="106"/>
      <c r="BK1283" s="106"/>
      <c r="BL1283" s="106"/>
      <c r="BM1283" s="106"/>
      <c r="BN1283" s="106"/>
      <c r="BO1283" s="106"/>
    </row>
    <row r="1284" spans="2:67" ht="3" customHeight="1" x14ac:dyDescent="0.25">
      <c r="K1284" s="215"/>
      <c r="M1284" s="215"/>
      <c r="N1284" s="215"/>
      <c r="O1284" s="215"/>
      <c r="P1284" s="215"/>
      <c r="Q1284" s="215"/>
      <c r="Y1284" s="501"/>
      <c r="BI1284" s="106"/>
      <c r="BJ1284" s="106"/>
      <c r="BK1284" s="106"/>
      <c r="BL1284" s="106"/>
      <c r="BM1284" s="106"/>
      <c r="BN1284" s="106"/>
      <c r="BO1284" s="106"/>
    </row>
    <row r="1285" spans="2:67" x14ac:dyDescent="0.25">
      <c r="B1285" s="221"/>
      <c r="C1285" s="222"/>
      <c r="D1285" s="221"/>
      <c r="E1285" s="221"/>
      <c r="F1285" s="212" t="s">
        <v>299</v>
      </c>
      <c r="H1285" s="216" t="s">
        <v>300</v>
      </c>
      <c r="K1285" s="215"/>
      <c r="M1285" s="215"/>
      <c r="N1285" s="215"/>
      <c r="O1285" s="215"/>
      <c r="P1285" s="215"/>
      <c r="Q1285" s="215"/>
      <c r="Y1285" s="501"/>
      <c r="BI1285" s="106"/>
      <c r="BJ1285" s="106"/>
      <c r="BK1285" s="106"/>
      <c r="BL1285" s="106"/>
      <c r="BM1285" s="106"/>
      <c r="BN1285" s="106"/>
      <c r="BO1285" s="106"/>
    </row>
    <row r="1286" spans="2:67" x14ac:dyDescent="0.25">
      <c r="M1286" s="215"/>
      <c r="N1286" s="215"/>
      <c r="O1286" s="215"/>
      <c r="P1286" s="215"/>
      <c r="Q1286" s="215"/>
      <c r="Y1286" s="501"/>
      <c r="BI1286" s="106"/>
      <c r="BJ1286" s="106"/>
      <c r="BK1286" s="106"/>
      <c r="BL1286" s="106"/>
      <c r="BM1286" s="106"/>
      <c r="BN1286" s="106"/>
      <c r="BO1286" s="106"/>
    </row>
    <row r="1287" spans="2:67" x14ac:dyDescent="0.25">
      <c r="B1287" s="235" t="s">
        <v>301</v>
      </c>
      <c r="C1287" s="215"/>
      <c r="D1287" s="215"/>
      <c r="E1287" s="215"/>
      <c r="F1287" s="225"/>
      <c r="G1287" s="215"/>
      <c r="H1287" s="215"/>
      <c r="I1287" s="215"/>
      <c r="J1287" s="215"/>
      <c r="K1287" s="215"/>
      <c r="L1287" s="215"/>
      <c r="M1287" s="215"/>
      <c r="N1287" s="215"/>
      <c r="O1287" s="215"/>
      <c r="P1287" s="215"/>
      <c r="Q1287" s="215"/>
      <c r="Y1287" s="501"/>
      <c r="BI1287" s="106"/>
      <c r="BJ1287" s="106"/>
      <c r="BK1287" s="106"/>
      <c r="BL1287" s="106"/>
      <c r="BM1287" s="106"/>
      <c r="BN1287" s="106"/>
      <c r="BO1287" s="106"/>
    </row>
    <row r="1288" spans="2:67" ht="159.94999999999999" customHeight="1" x14ac:dyDescent="0.25">
      <c r="B1288" s="736"/>
      <c r="C1288" s="737"/>
      <c r="D1288" s="737"/>
      <c r="E1288" s="737"/>
      <c r="F1288" s="737"/>
      <c r="G1288" s="737"/>
      <c r="H1288" s="737"/>
      <c r="I1288" s="737"/>
      <c r="J1288" s="737"/>
      <c r="K1288" s="737"/>
      <c r="L1288" s="737"/>
      <c r="M1288" s="737"/>
      <c r="N1288" s="737"/>
      <c r="O1288" s="737"/>
      <c r="P1288" s="738"/>
      <c r="Q1288" s="416"/>
      <c r="Y1288" s="501"/>
      <c r="BI1288" s="106"/>
      <c r="BJ1288" s="106"/>
      <c r="BK1288" s="106"/>
      <c r="BL1288" s="106"/>
      <c r="BM1288" s="106"/>
      <c r="BN1288" s="106"/>
      <c r="BO1288" s="106"/>
    </row>
    <row r="1289" spans="2:67" ht="36" customHeight="1" x14ac:dyDescent="0.25">
      <c r="B1289" s="27" t="s">
        <v>658</v>
      </c>
      <c r="C1289" s="13"/>
      <c r="D1289" s="236"/>
      <c r="E1289" s="237"/>
      <c r="F1289" s="237"/>
      <c r="G1289" s="237"/>
      <c r="H1289" s="237"/>
      <c r="I1289" s="237"/>
      <c r="J1289" s="237"/>
      <c r="K1289" s="237"/>
      <c r="L1289" s="237"/>
      <c r="M1289" s="237"/>
      <c r="N1289" s="237"/>
      <c r="O1289" s="237"/>
      <c r="P1289" s="237"/>
      <c r="Q1289" s="215"/>
      <c r="Y1289" s="501"/>
      <c r="BI1289" s="106"/>
      <c r="BJ1289" s="106"/>
      <c r="BK1289" s="106"/>
      <c r="BL1289" s="106"/>
      <c r="BM1289" s="106"/>
      <c r="BN1289" s="106"/>
      <c r="BO1289" s="106"/>
    </row>
    <row r="1290" spans="2:67" x14ac:dyDescent="0.25">
      <c r="B1290" s="215"/>
      <c r="C1290" s="215"/>
      <c r="D1290" s="215"/>
      <c r="E1290" s="215"/>
      <c r="F1290" s="215"/>
      <c r="G1290" s="215"/>
      <c r="H1290" s="215"/>
      <c r="I1290" s="215"/>
      <c r="J1290" s="215"/>
      <c r="K1290" s="215"/>
      <c r="L1290" s="215"/>
      <c r="M1290" s="215"/>
      <c r="N1290" s="215"/>
      <c r="O1290" s="215"/>
      <c r="P1290" s="215"/>
      <c r="Q1290" s="215"/>
      <c r="Y1290" s="501"/>
      <c r="BI1290" s="106"/>
      <c r="BJ1290" s="106"/>
      <c r="BK1290" s="106"/>
      <c r="BL1290" s="106"/>
      <c r="BM1290" s="106"/>
      <c r="BN1290" s="106"/>
      <c r="BO1290" s="106"/>
    </row>
    <row r="1291" spans="2:67" x14ac:dyDescent="0.25">
      <c r="B1291" s="222"/>
      <c r="C1291" s="222"/>
      <c r="D1291" s="221"/>
      <c r="E1291" s="221"/>
      <c r="F1291" s="212" t="s">
        <v>284</v>
      </c>
      <c r="G1291" s="215"/>
      <c r="H1291" s="216">
        <v>2</v>
      </c>
      <c r="J1291" s="222"/>
      <c r="K1291" s="222"/>
      <c r="L1291" s="222"/>
      <c r="M1291" s="222"/>
      <c r="N1291" s="212" t="s">
        <v>285</v>
      </c>
      <c r="P1291" s="217">
        <f>(BP_40/BP_08)*LE02_credits</f>
        <v>0</v>
      </c>
      <c r="Q1291" s="217"/>
      <c r="Y1291" s="501"/>
      <c r="BI1291" s="106"/>
      <c r="BJ1291" s="106"/>
      <c r="BK1291" s="106"/>
      <c r="BL1291" s="106"/>
      <c r="BM1291" s="106"/>
      <c r="BN1291" s="106"/>
      <c r="BO1291" s="106"/>
    </row>
    <row r="1292" spans="2:67" ht="3.75" customHeight="1" x14ac:dyDescent="0.25">
      <c r="Y1292" s="501"/>
      <c r="BI1292" s="106"/>
      <c r="BJ1292" s="106"/>
      <c r="BK1292" s="106"/>
      <c r="BL1292" s="106"/>
      <c r="BM1292" s="106"/>
      <c r="BN1292" s="106"/>
      <c r="BO1292" s="106"/>
    </row>
    <row r="1293" spans="2:67" x14ac:dyDescent="0.25">
      <c r="B1293" s="222"/>
      <c r="C1293" s="222"/>
      <c r="D1293" s="221"/>
      <c r="E1293" s="221"/>
      <c r="F1293" s="212" t="s">
        <v>286</v>
      </c>
      <c r="G1293" s="215"/>
      <c r="H1293" s="216">
        <v>0</v>
      </c>
      <c r="J1293" s="221"/>
      <c r="K1293" s="221"/>
      <c r="L1293" s="221"/>
      <c r="M1293" s="221"/>
      <c r="N1293" s="212" t="s">
        <v>287</v>
      </c>
      <c r="O1293" s="215"/>
      <c r="P1293" s="216" t="s">
        <v>125</v>
      </c>
      <c r="Q1293" s="216"/>
      <c r="Y1293" s="501"/>
      <c r="BI1293" s="106"/>
      <c r="BJ1293" s="106"/>
      <c r="BK1293" s="106"/>
      <c r="BL1293" s="106"/>
      <c r="BM1293" s="106"/>
      <c r="BN1293" s="106"/>
      <c r="BO1293" s="106"/>
    </row>
    <row r="1294" spans="2:67" ht="36" customHeight="1" x14ac:dyDescent="0.25">
      <c r="Y1294" s="501"/>
      <c r="BI1294" s="106"/>
      <c r="BJ1294" s="106"/>
      <c r="BK1294" s="106"/>
      <c r="BL1294" s="106"/>
      <c r="BM1294" s="106"/>
      <c r="BN1294" s="106"/>
      <c r="BO1294" s="106"/>
    </row>
    <row r="1295" spans="2:67" x14ac:dyDescent="0.25">
      <c r="B1295" s="221"/>
      <c r="C1295" s="221"/>
      <c r="D1295" s="221"/>
      <c r="E1295" s="221"/>
      <c r="F1295" s="212"/>
      <c r="G1295" s="221"/>
      <c r="H1295" s="212" t="s">
        <v>659</v>
      </c>
      <c r="J1295" s="753" t="s">
        <v>660</v>
      </c>
      <c r="K1295" s="753"/>
      <c r="L1295" s="753"/>
      <c r="M1295" s="753"/>
      <c r="N1295" s="753"/>
      <c r="O1295" s="753"/>
      <c r="P1295" s="753"/>
      <c r="Q1295" s="577"/>
      <c r="Y1295" s="501"/>
      <c r="BI1295" s="106"/>
      <c r="BJ1295" s="106"/>
      <c r="BK1295" s="106"/>
      <c r="BL1295" s="106"/>
      <c r="BM1295" s="106"/>
      <c r="BN1295" s="106"/>
      <c r="BO1295" s="106"/>
    </row>
    <row r="1296" spans="2:67" ht="47.25" customHeight="1" x14ac:dyDescent="0.25">
      <c r="B1296" s="238" t="s">
        <v>288</v>
      </c>
      <c r="C1296" s="239"/>
      <c r="D1296" s="235"/>
      <c r="E1296" s="239"/>
      <c r="F1296" s="240"/>
      <c r="G1296" s="238"/>
      <c r="H1296" s="238"/>
      <c r="I1296" s="238"/>
      <c r="J1296" s="241" t="s">
        <v>289</v>
      </c>
      <c r="K1296" s="241"/>
      <c r="L1296" s="242" t="s">
        <v>290</v>
      </c>
      <c r="N1296" s="242" t="s">
        <v>291</v>
      </c>
      <c r="P1296" s="242"/>
      <c r="Q1296" s="242"/>
      <c r="Y1296" s="501"/>
      <c r="BI1296" s="106"/>
      <c r="BJ1296" s="106"/>
      <c r="BK1296" s="106"/>
      <c r="BL1296" s="106"/>
      <c r="BM1296" s="106"/>
      <c r="BN1296" s="106"/>
      <c r="BO1296" s="106"/>
    </row>
    <row r="1297" spans="2:67" ht="3" customHeight="1" x14ac:dyDescent="0.25">
      <c r="B1297" s="215"/>
      <c r="C1297" s="218"/>
      <c r="D1297" s="215"/>
      <c r="E1297" s="218"/>
      <c r="F1297" s="244"/>
      <c r="G1297" s="215"/>
      <c r="J1297" s="245"/>
      <c r="K1297" s="245"/>
      <c r="L1297" s="215"/>
      <c r="M1297" s="215"/>
      <c r="N1297" s="309"/>
      <c r="O1297" s="218"/>
      <c r="P1297" s="246"/>
      <c r="Q1297" s="246"/>
      <c r="Y1297" s="501"/>
      <c r="BI1297" s="106"/>
      <c r="BJ1297" s="106"/>
      <c r="BK1297" s="106"/>
      <c r="BL1297" s="106"/>
      <c r="BM1297" s="106"/>
      <c r="BN1297" s="106"/>
      <c r="BO1297" s="106"/>
    </row>
    <row r="1298" spans="2:67" x14ac:dyDescent="0.25">
      <c r="B1298" s="221"/>
      <c r="C1298" s="221"/>
      <c r="D1298" s="221"/>
      <c r="E1298" s="221"/>
      <c r="F1298" s="212"/>
      <c r="G1298" s="221"/>
      <c r="H1298" s="212" t="s">
        <v>661</v>
      </c>
      <c r="J1298" s="223"/>
      <c r="K1298" s="215"/>
      <c r="L1298" s="262">
        <v>1</v>
      </c>
      <c r="M1298" s="215"/>
      <c r="N1298" s="417">
        <f>IF(AND((LE02_03=AIS_Yes),OR(LE02_02=Z2149,LE02_02=Z2150)),1,0)</f>
        <v>0</v>
      </c>
      <c r="O1298" s="215"/>
      <c r="P1298" s="252"/>
      <c r="Q1298" s="252"/>
      <c r="Y1298" s="501"/>
      <c r="BI1298" s="106"/>
      <c r="BJ1298" s="106"/>
      <c r="BK1298" s="106"/>
      <c r="BL1298" s="106"/>
      <c r="BM1298" s="106"/>
      <c r="BN1298" s="106"/>
      <c r="BO1298" s="106"/>
    </row>
    <row r="1299" spans="2:67" x14ac:dyDescent="0.25">
      <c r="B1299" s="221"/>
      <c r="C1299" s="221"/>
      <c r="D1299" s="221"/>
      <c r="E1299" s="221"/>
      <c r="F1299" s="212"/>
      <c r="G1299" s="221"/>
      <c r="H1299" s="212" t="s">
        <v>662</v>
      </c>
      <c r="J1299" s="223"/>
      <c r="K1299" s="215"/>
      <c r="L1299" s="262">
        <v>1</v>
      </c>
      <c r="M1299" s="215"/>
      <c r="N1299" s="417">
        <f>IF(LE02_04=AIS_Yes,1,0)</f>
        <v>0</v>
      </c>
      <c r="O1299" s="215"/>
      <c r="P1299" s="252"/>
      <c r="Q1299" s="252"/>
      <c r="Y1299" s="501"/>
      <c r="BI1299" s="106"/>
      <c r="BJ1299" s="106"/>
      <c r="BK1299" s="106"/>
      <c r="BL1299" s="106"/>
      <c r="BM1299" s="106"/>
      <c r="BN1299" s="106"/>
      <c r="BO1299" s="106"/>
    </row>
    <row r="1300" spans="2:67" x14ac:dyDescent="0.25">
      <c r="Y1300" s="501"/>
      <c r="BI1300" s="106"/>
      <c r="BJ1300" s="106"/>
      <c r="BK1300" s="106"/>
      <c r="BL1300" s="106"/>
      <c r="BM1300" s="106"/>
      <c r="BN1300" s="106"/>
      <c r="BO1300" s="106"/>
    </row>
    <row r="1301" spans="2:67" x14ac:dyDescent="0.25">
      <c r="B1301" s="221"/>
      <c r="C1301" s="222"/>
      <c r="D1301" s="222"/>
      <c r="E1301" s="221"/>
      <c r="F1301" s="212" t="s">
        <v>296</v>
      </c>
      <c r="G1301" s="215"/>
      <c r="H1301" s="216">
        <f>IF(ISERROR(LE02_06+N1299),0,LE02_06+N1299)</f>
        <v>0</v>
      </c>
      <c r="J1301" s="203"/>
      <c r="K1301" s="215"/>
      <c r="M1301" s="215"/>
      <c r="N1301" s="215"/>
      <c r="O1301" s="215"/>
      <c r="P1301" s="215"/>
      <c r="Q1301" s="215"/>
      <c r="Y1301" s="501"/>
      <c r="BI1301" s="106"/>
      <c r="BJ1301" s="106"/>
      <c r="BK1301" s="106"/>
      <c r="BL1301" s="106"/>
      <c r="BM1301" s="106"/>
      <c r="BN1301" s="106"/>
      <c r="BO1301" s="106"/>
    </row>
    <row r="1302" spans="2:67" ht="3" customHeight="1" x14ac:dyDescent="0.25">
      <c r="B1302" s="215"/>
      <c r="E1302" s="215"/>
      <c r="F1302" s="225"/>
      <c r="G1302" s="215"/>
      <c r="H1302" s="252"/>
      <c r="J1302" s="203"/>
      <c r="K1302" s="215"/>
      <c r="M1302" s="215"/>
      <c r="N1302" s="215"/>
      <c r="O1302" s="215"/>
      <c r="P1302" s="215"/>
      <c r="Q1302" s="215"/>
      <c r="Y1302" s="501"/>
      <c r="BI1302" s="106"/>
      <c r="BJ1302" s="106"/>
      <c r="BK1302" s="106"/>
      <c r="BL1302" s="106"/>
      <c r="BM1302" s="106"/>
      <c r="BN1302" s="106"/>
      <c r="BO1302" s="106"/>
    </row>
    <row r="1303" spans="2:67" x14ac:dyDescent="0.25">
      <c r="B1303" s="221"/>
      <c r="C1303" s="222"/>
      <c r="D1303" s="222"/>
      <c r="E1303" s="221"/>
      <c r="F1303" s="212" t="s">
        <v>297</v>
      </c>
      <c r="G1303" s="215"/>
      <c r="H1303" s="217">
        <f>(LE02_07/LE02_credits)*LE02_tot</f>
        <v>0</v>
      </c>
      <c r="J1303" s="203"/>
      <c r="K1303" s="215"/>
      <c r="M1303" s="215"/>
      <c r="N1303" s="215"/>
      <c r="O1303" s="215"/>
      <c r="P1303" s="215"/>
      <c r="Q1303" s="215"/>
      <c r="Y1303" s="501"/>
      <c r="BI1303" s="106"/>
      <c r="BJ1303" s="106"/>
      <c r="BK1303" s="106"/>
      <c r="BL1303" s="106"/>
      <c r="BM1303" s="106"/>
      <c r="BN1303" s="106"/>
      <c r="BO1303" s="106"/>
    </row>
    <row r="1304" spans="2:67" ht="3" customHeight="1" x14ac:dyDescent="0.25">
      <c r="K1304" s="215"/>
      <c r="M1304" s="215"/>
      <c r="N1304" s="215"/>
      <c r="O1304" s="215"/>
      <c r="P1304" s="215"/>
      <c r="Q1304" s="215"/>
      <c r="Y1304" s="501"/>
      <c r="BI1304" s="106"/>
      <c r="BJ1304" s="106"/>
      <c r="BK1304" s="106"/>
      <c r="BL1304" s="106"/>
      <c r="BM1304" s="106"/>
      <c r="BN1304" s="106"/>
      <c r="BO1304" s="106"/>
    </row>
    <row r="1305" spans="2:67" x14ac:dyDescent="0.25">
      <c r="B1305" s="221"/>
      <c r="C1305" s="222"/>
      <c r="D1305" s="222"/>
      <c r="E1305" s="221"/>
      <c r="F1305" s="212" t="s">
        <v>298</v>
      </c>
      <c r="H1305" s="216" t="s">
        <v>300</v>
      </c>
      <c r="K1305" s="215"/>
      <c r="M1305" s="215"/>
      <c r="N1305" s="215"/>
      <c r="O1305" s="215"/>
      <c r="P1305" s="215"/>
      <c r="Q1305" s="215"/>
      <c r="Y1305" s="501"/>
      <c r="BI1305" s="106"/>
      <c r="BJ1305" s="106"/>
      <c r="BK1305" s="106"/>
      <c r="BL1305" s="106"/>
      <c r="BM1305" s="106"/>
      <c r="BN1305" s="106"/>
      <c r="BO1305" s="106"/>
    </row>
    <row r="1306" spans="2:67" ht="3" customHeight="1" x14ac:dyDescent="0.25">
      <c r="K1306" s="215"/>
      <c r="M1306" s="215"/>
      <c r="N1306" s="215"/>
      <c r="O1306" s="215"/>
      <c r="P1306" s="215"/>
      <c r="Q1306" s="215"/>
      <c r="Y1306" s="501"/>
      <c r="BI1306" s="106"/>
      <c r="BJ1306" s="106"/>
      <c r="BK1306" s="106"/>
      <c r="BL1306" s="106"/>
      <c r="BM1306" s="106"/>
      <c r="BN1306" s="106"/>
      <c r="BO1306" s="106"/>
    </row>
    <row r="1307" spans="2:67" x14ac:dyDescent="0.25">
      <c r="B1307" s="221"/>
      <c r="C1307" s="222"/>
      <c r="D1307" s="221"/>
      <c r="E1307" s="221"/>
      <c r="F1307" s="212" t="s">
        <v>299</v>
      </c>
      <c r="H1307" s="216" t="s">
        <v>300</v>
      </c>
      <c r="K1307" s="215"/>
      <c r="M1307" s="215"/>
      <c r="N1307" s="215"/>
      <c r="O1307" s="215"/>
      <c r="P1307" s="215"/>
      <c r="Q1307" s="215"/>
      <c r="Y1307" s="501"/>
      <c r="BI1307" s="106"/>
      <c r="BJ1307" s="106"/>
      <c r="BK1307" s="106"/>
      <c r="BL1307" s="106"/>
      <c r="BM1307" s="106"/>
      <c r="BN1307" s="106"/>
      <c r="BO1307" s="106"/>
    </row>
    <row r="1308" spans="2:67" x14ac:dyDescent="0.25">
      <c r="M1308" s="215"/>
      <c r="N1308" s="215"/>
      <c r="O1308" s="215"/>
      <c r="P1308" s="215"/>
      <c r="Q1308" s="215"/>
      <c r="Y1308" s="501"/>
      <c r="BI1308" s="106"/>
      <c r="BJ1308" s="106"/>
      <c r="BK1308" s="106"/>
      <c r="BL1308" s="106"/>
      <c r="BM1308" s="106"/>
      <c r="BN1308" s="106"/>
      <c r="BO1308" s="106"/>
    </row>
    <row r="1309" spans="2:67" x14ac:dyDescent="0.25">
      <c r="B1309" s="235" t="s">
        <v>301</v>
      </c>
      <c r="C1309" s="215"/>
      <c r="D1309" s="215"/>
      <c r="E1309" s="215"/>
      <c r="F1309" s="225"/>
      <c r="G1309" s="215"/>
      <c r="H1309" s="215"/>
      <c r="I1309" s="215"/>
      <c r="J1309" s="215"/>
      <c r="K1309" s="215"/>
      <c r="L1309" s="215"/>
      <c r="M1309" s="215"/>
      <c r="N1309" s="215"/>
      <c r="O1309" s="215"/>
      <c r="P1309" s="215"/>
      <c r="Q1309" s="215"/>
      <c r="Y1309" s="501"/>
      <c r="BI1309" s="106"/>
      <c r="BJ1309" s="106"/>
      <c r="BK1309" s="106"/>
      <c r="BL1309" s="106"/>
      <c r="BM1309" s="106"/>
      <c r="BN1309" s="106"/>
      <c r="BO1309" s="106"/>
    </row>
    <row r="1310" spans="2:67" ht="159.94999999999999" customHeight="1" x14ac:dyDescent="0.25">
      <c r="B1310" s="736"/>
      <c r="C1310" s="737"/>
      <c r="D1310" s="737"/>
      <c r="E1310" s="737"/>
      <c r="F1310" s="737"/>
      <c r="G1310" s="737"/>
      <c r="H1310" s="737"/>
      <c r="I1310" s="737"/>
      <c r="J1310" s="737"/>
      <c r="K1310" s="737"/>
      <c r="L1310" s="737"/>
      <c r="M1310" s="737"/>
      <c r="N1310" s="737"/>
      <c r="O1310" s="737"/>
      <c r="P1310" s="738"/>
      <c r="Q1310" s="416"/>
      <c r="Y1310" s="501"/>
      <c r="BI1310" s="106"/>
      <c r="BJ1310" s="106"/>
      <c r="BK1310" s="106"/>
      <c r="BL1310" s="106"/>
      <c r="BM1310" s="106"/>
      <c r="BN1310" s="106"/>
      <c r="BO1310" s="106"/>
    </row>
    <row r="1311" spans="2:67" ht="36" hidden="1" customHeight="1" x14ac:dyDescent="0.25">
      <c r="B1311" s="27" t="s">
        <v>663</v>
      </c>
      <c r="C1311" s="13"/>
      <c r="D1311" s="236"/>
      <c r="E1311" s="237"/>
      <c r="F1311" s="237"/>
      <c r="G1311" s="237"/>
      <c r="H1311" s="237"/>
      <c r="I1311" s="237"/>
      <c r="J1311" s="237"/>
      <c r="K1311" s="237"/>
      <c r="L1311" s="237"/>
      <c r="M1311" s="237"/>
      <c r="N1311" s="237"/>
      <c r="O1311" s="237"/>
      <c r="P1311" s="237"/>
      <c r="Q1311" s="215"/>
      <c r="Y1311" s="501"/>
      <c r="BI1311" s="106"/>
      <c r="BJ1311" s="106"/>
      <c r="BK1311" s="106"/>
      <c r="BL1311" s="106"/>
      <c r="BM1311" s="106"/>
      <c r="BN1311" s="106"/>
      <c r="BO1311" s="106"/>
    </row>
    <row r="1312" spans="2:67" hidden="1" x14ac:dyDescent="0.25">
      <c r="B1312" s="215"/>
      <c r="C1312" s="215"/>
      <c r="D1312" s="215"/>
      <c r="E1312" s="215"/>
      <c r="F1312" s="215"/>
      <c r="G1312" s="215"/>
      <c r="H1312" s="215"/>
      <c r="I1312" s="215"/>
      <c r="J1312" s="215"/>
      <c r="K1312" s="215"/>
      <c r="L1312" s="215"/>
      <c r="M1312" s="215"/>
      <c r="N1312" s="215"/>
      <c r="O1312" s="215"/>
      <c r="P1312" s="215"/>
      <c r="Q1312" s="215"/>
      <c r="Y1312" s="501"/>
      <c r="BI1312" s="106"/>
      <c r="BJ1312" s="106"/>
      <c r="BK1312" s="106"/>
      <c r="BL1312" s="106"/>
      <c r="BM1312" s="106"/>
      <c r="BN1312" s="106"/>
      <c r="BO1312" s="106"/>
    </row>
    <row r="1313" spans="2:67" hidden="1" x14ac:dyDescent="0.25">
      <c r="B1313" s="222"/>
      <c r="C1313" s="222"/>
      <c r="D1313" s="221"/>
      <c r="E1313" s="221"/>
      <c r="F1313" s="212" t="s">
        <v>284</v>
      </c>
      <c r="G1313" s="215"/>
      <c r="H1313" s="216">
        <v>0</v>
      </c>
      <c r="J1313" s="222"/>
      <c r="K1313" s="222"/>
      <c r="L1313" s="222"/>
      <c r="M1313" s="222"/>
      <c r="N1313" s="212" t="s">
        <v>285</v>
      </c>
      <c r="P1313" s="217">
        <f>(BP_40/BP_08)*LE03_credits</f>
        <v>0</v>
      </c>
      <c r="Q1313" s="217"/>
      <c r="Y1313" s="501"/>
      <c r="BI1313" s="106"/>
      <c r="BJ1313" s="106"/>
      <c r="BK1313" s="106"/>
      <c r="BL1313" s="106"/>
      <c r="BM1313" s="106"/>
      <c r="BN1313" s="106"/>
      <c r="BO1313" s="106"/>
    </row>
    <row r="1314" spans="2:67" ht="3.75" hidden="1" customHeight="1" x14ac:dyDescent="0.25">
      <c r="J1314" s="192"/>
      <c r="K1314" s="192"/>
      <c r="L1314" s="192"/>
      <c r="M1314" s="192"/>
      <c r="N1314" s="192"/>
      <c r="Y1314" s="501"/>
      <c r="BI1314" s="106"/>
      <c r="BJ1314" s="106"/>
      <c r="BK1314" s="106"/>
      <c r="BL1314" s="106"/>
      <c r="BM1314" s="106"/>
      <c r="BN1314" s="106"/>
      <c r="BO1314" s="106"/>
    </row>
    <row r="1315" spans="2:67" hidden="1" x14ac:dyDescent="0.25">
      <c r="B1315" s="222"/>
      <c r="C1315" s="222"/>
      <c r="D1315" s="221"/>
      <c r="E1315" s="221"/>
      <c r="F1315" s="212" t="s">
        <v>286</v>
      </c>
      <c r="G1315" s="215"/>
      <c r="H1315" s="216">
        <v>0</v>
      </c>
      <c r="J1315" s="221"/>
      <c r="K1315" s="221"/>
      <c r="L1315" s="221"/>
      <c r="M1315" s="221"/>
      <c r="N1315" s="212" t="s">
        <v>287</v>
      </c>
      <c r="O1315" s="215"/>
      <c r="P1315" s="216" t="s">
        <v>121</v>
      </c>
      <c r="Q1315" s="216"/>
      <c r="Y1315" s="501"/>
      <c r="BI1315" s="106"/>
      <c r="BJ1315" s="106"/>
      <c r="BK1315" s="106"/>
      <c r="BL1315" s="106"/>
      <c r="BM1315" s="106"/>
      <c r="BN1315" s="106"/>
      <c r="BO1315" s="106"/>
    </row>
    <row r="1316" spans="2:67" ht="36" hidden="1" customHeight="1" x14ac:dyDescent="0.25">
      <c r="Y1316" s="501"/>
      <c r="BI1316" s="106"/>
      <c r="BJ1316" s="106"/>
      <c r="BK1316" s="106"/>
      <c r="BL1316" s="106"/>
      <c r="BM1316" s="106"/>
      <c r="BN1316" s="106"/>
      <c r="BO1316" s="106"/>
    </row>
    <row r="1317" spans="2:67" ht="33.75" hidden="1" customHeight="1" x14ac:dyDescent="0.25">
      <c r="B1317" s="221"/>
      <c r="C1317" s="221"/>
      <c r="D1317" s="221"/>
      <c r="E1317" s="221"/>
      <c r="F1317" s="212"/>
      <c r="G1317" s="221"/>
      <c r="H1317" s="212" t="s">
        <v>664</v>
      </c>
      <c r="J1317" s="753" t="s">
        <v>488</v>
      </c>
      <c r="K1317" s="753"/>
      <c r="L1317" s="753"/>
      <c r="M1317" s="753"/>
      <c r="N1317" s="753"/>
      <c r="O1317" s="753"/>
      <c r="P1317" s="753"/>
      <c r="Q1317" s="577"/>
      <c r="Y1317" s="501"/>
      <c r="BI1317" s="106"/>
      <c r="BJ1317" s="106"/>
      <c r="BK1317" s="106"/>
      <c r="BL1317" s="106"/>
      <c r="BM1317" s="106"/>
      <c r="BN1317" s="106"/>
      <c r="BO1317" s="106"/>
    </row>
    <row r="1318" spans="2:67" ht="47.25" hidden="1" customHeight="1" x14ac:dyDescent="0.25">
      <c r="B1318" s="238" t="s">
        <v>288</v>
      </c>
      <c r="C1318" s="239"/>
      <c r="D1318" s="235"/>
      <c r="E1318" s="239"/>
      <c r="F1318" s="240"/>
      <c r="G1318" s="238"/>
      <c r="H1318" s="238"/>
      <c r="I1318" s="238"/>
      <c r="J1318" s="241"/>
      <c r="K1318" s="241"/>
      <c r="P1318" s="242"/>
      <c r="Q1318" s="242"/>
      <c r="Y1318" s="501"/>
      <c r="BI1318" s="106"/>
      <c r="BJ1318" s="106"/>
      <c r="BK1318" s="106"/>
      <c r="BL1318" s="106"/>
      <c r="BM1318" s="106"/>
      <c r="BN1318" s="106"/>
      <c r="BO1318" s="106"/>
    </row>
    <row r="1319" spans="2:67" ht="3" hidden="1" customHeight="1" x14ac:dyDescent="0.25">
      <c r="B1319" s="215"/>
      <c r="C1319" s="218"/>
      <c r="D1319" s="215"/>
      <c r="E1319" s="218"/>
      <c r="F1319" s="244"/>
      <c r="G1319" s="215"/>
      <c r="J1319" s="245"/>
      <c r="K1319" s="245"/>
      <c r="O1319" s="218"/>
      <c r="P1319" s="246"/>
      <c r="Q1319" s="246"/>
      <c r="Y1319" s="501"/>
      <c r="BI1319" s="106"/>
      <c r="BJ1319" s="106"/>
      <c r="BK1319" s="106"/>
      <c r="BL1319" s="106"/>
      <c r="BM1319" s="106"/>
      <c r="BN1319" s="106"/>
      <c r="BO1319" s="106"/>
    </row>
    <row r="1320" spans="2:67" hidden="1" x14ac:dyDescent="0.25">
      <c r="B1320" s="221"/>
      <c r="C1320" s="221"/>
      <c r="D1320" s="221"/>
      <c r="E1320" s="221"/>
      <c r="F1320" s="212"/>
      <c r="G1320" s="221"/>
      <c r="H1320" s="212" t="s">
        <v>665</v>
      </c>
      <c r="J1320" s="289"/>
      <c r="K1320" s="215"/>
      <c r="L1320" s="320" t="str">
        <f>AIS_units23</f>
        <v>Plant species richness</v>
      </c>
      <c r="O1320" s="215"/>
      <c r="P1320" s="252"/>
      <c r="Q1320" s="252"/>
      <c r="R1320" s="209" t="s">
        <v>666</v>
      </c>
      <c r="Y1320" s="501"/>
      <c r="BI1320" s="106"/>
      <c r="BJ1320" s="106"/>
      <c r="BK1320" s="106"/>
      <c r="BL1320" s="106"/>
      <c r="BM1320" s="106"/>
      <c r="BN1320" s="106"/>
      <c r="BO1320" s="106"/>
    </row>
    <row r="1321" spans="2:67" hidden="1" x14ac:dyDescent="0.25">
      <c r="Y1321" s="501"/>
      <c r="BI1321" s="106"/>
      <c r="BJ1321" s="106"/>
      <c r="BK1321" s="106"/>
      <c r="BL1321" s="106"/>
      <c r="BM1321" s="106"/>
      <c r="BN1321" s="106"/>
      <c r="BO1321" s="106"/>
    </row>
    <row r="1322" spans="2:67" hidden="1" x14ac:dyDescent="0.25">
      <c r="B1322" s="221"/>
      <c r="C1322" s="222"/>
      <c r="D1322" s="222"/>
      <c r="E1322" s="221"/>
      <c r="F1322" s="212" t="s">
        <v>296</v>
      </c>
      <c r="G1322" s="215"/>
      <c r="H1322" s="216">
        <f>IF(ISERROR(LE03_Tot_Err),0,LE03_Tot_Err)</f>
        <v>0</v>
      </c>
      <c r="J1322" s="203"/>
      <c r="K1322" s="215"/>
      <c r="M1322" s="215"/>
      <c r="N1322" s="215"/>
      <c r="O1322" s="215"/>
      <c r="P1322" s="215"/>
      <c r="Q1322" s="215"/>
      <c r="Y1322" s="501"/>
      <c r="BI1322" s="106"/>
      <c r="BJ1322" s="106"/>
      <c r="BK1322" s="106"/>
      <c r="BL1322" s="106"/>
      <c r="BM1322" s="106"/>
      <c r="BN1322" s="106"/>
      <c r="BO1322" s="106"/>
    </row>
    <row r="1323" spans="2:67" ht="3" hidden="1" customHeight="1" x14ac:dyDescent="0.25">
      <c r="B1323" s="215"/>
      <c r="E1323" s="215"/>
      <c r="F1323" s="225"/>
      <c r="G1323" s="215"/>
      <c r="H1323" s="297"/>
      <c r="J1323" s="203"/>
      <c r="K1323" s="215"/>
      <c r="M1323" s="215"/>
      <c r="N1323" s="215"/>
      <c r="O1323" s="215"/>
      <c r="P1323" s="215"/>
      <c r="Q1323" s="215"/>
      <c r="Y1323" s="501"/>
      <c r="BI1323" s="106"/>
      <c r="BJ1323" s="106"/>
      <c r="BK1323" s="106"/>
      <c r="BL1323" s="106"/>
      <c r="BM1323" s="106"/>
      <c r="BN1323" s="106"/>
      <c r="BO1323" s="106"/>
    </row>
    <row r="1324" spans="2:67" hidden="1" x14ac:dyDescent="0.25">
      <c r="B1324" s="221"/>
      <c r="C1324" s="222"/>
      <c r="D1324" s="222"/>
      <c r="E1324" s="221"/>
      <c r="F1324" s="212" t="s">
        <v>297</v>
      </c>
      <c r="G1324" s="215"/>
      <c r="H1324" s="217">
        <v>0</v>
      </c>
      <c r="J1324" s="203"/>
      <c r="K1324" s="215"/>
      <c r="M1324" s="215"/>
      <c r="N1324" s="215"/>
      <c r="O1324" s="215"/>
      <c r="P1324" s="215"/>
      <c r="Q1324" s="215"/>
      <c r="Y1324" s="501"/>
      <c r="BI1324" s="106"/>
      <c r="BJ1324" s="106"/>
      <c r="BK1324" s="106"/>
      <c r="BL1324" s="106"/>
      <c r="BM1324" s="106"/>
      <c r="BN1324" s="106"/>
      <c r="BO1324" s="106"/>
    </row>
    <row r="1325" spans="2:67" ht="3" hidden="1" customHeight="1" x14ac:dyDescent="0.25">
      <c r="B1325" s="222"/>
      <c r="C1325" s="222"/>
      <c r="D1325" s="222"/>
      <c r="E1325" s="222"/>
      <c r="F1325" s="222"/>
      <c r="K1325" s="215"/>
      <c r="M1325" s="215"/>
      <c r="N1325" s="215"/>
      <c r="O1325" s="215"/>
      <c r="P1325" s="215"/>
      <c r="Q1325" s="215"/>
      <c r="Y1325" s="501"/>
      <c r="BI1325" s="106"/>
      <c r="BJ1325" s="106"/>
      <c r="BK1325" s="106"/>
      <c r="BL1325" s="106"/>
      <c r="BM1325" s="106"/>
      <c r="BN1325" s="106"/>
      <c r="BO1325" s="106"/>
    </row>
    <row r="1326" spans="2:67" hidden="1" x14ac:dyDescent="0.25">
      <c r="B1326" s="221"/>
      <c r="C1326" s="222"/>
      <c r="D1326" s="222"/>
      <c r="E1326" s="221"/>
      <c r="F1326" s="212" t="s">
        <v>298</v>
      </c>
      <c r="H1326" s="216" t="s">
        <v>300</v>
      </c>
      <c r="K1326" s="215"/>
      <c r="M1326" s="215"/>
      <c r="N1326" s="215"/>
      <c r="O1326" s="215"/>
      <c r="P1326" s="215"/>
      <c r="Q1326" s="215"/>
      <c r="Y1326" s="501"/>
      <c r="BI1326" s="106"/>
      <c r="BJ1326" s="106"/>
      <c r="BK1326" s="106"/>
      <c r="BL1326" s="106"/>
      <c r="BM1326" s="106"/>
      <c r="BN1326" s="106"/>
      <c r="BO1326" s="106"/>
    </row>
    <row r="1327" spans="2:67" ht="3" hidden="1" customHeight="1" x14ac:dyDescent="0.25">
      <c r="H1327" s="310"/>
      <c r="I1327" s="310"/>
      <c r="J1327" s="310"/>
      <c r="K1327" s="311"/>
      <c r="L1327" s="310"/>
      <c r="M1327" s="215"/>
      <c r="N1327" s="215"/>
      <c r="O1327" s="215"/>
      <c r="P1327" s="215"/>
      <c r="Q1327" s="215"/>
      <c r="Y1327" s="501"/>
      <c r="BI1327" s="106"/>
      <c r="BJ1327" s="106"/>
      <c r="BK1327" s="106"/>
      <c r="BL1327" s="106"/>
      <c r="BM1327" s="106"/>
      <c r="BN1327" s="106"/>
      <c r="BO1327" s="106"/>
    </row>
    <row r="1328" spans="2:67" hidden="1" x14ac:dyDescent="0.25">
      <c r="B1328" s="221"/>
      <c r="C1328" s="222"/>
      <c r="D1328" s="221"/>
      <c r="E1328" s="221"/>
      <c r="F1328" s="212" t="s">
        <v>299</v>
      </c>
      <c r="H1328" s="312" t="str">
        <f>AIS_NA</f>
        <v>N/A</v>
      </c>
      <c r="I1328" s="234"/>
      <c r="J1328" s="234"/>
      <c r="K1328" s="234"/>
      <c r="L1328" s="234"/>
      <c r="M1328" s="227"/>
      <c r="N1328" s="227"/>
      <c r="O1328" s="215"/>
      <c r="P1328" s="215"/>
      <c r="Q1328" s="215"/>
      <c r="Y1328" s="501"/>
      <c r="BI1328" s="106"/>
      <c r="BJ1328" s="106"/>
      <c r="BK1328" s="106"/>
      <c r="BL1328" s="106"/>
      <c r="BM1328" s="106"/>
      <c r="BN1328" s="106"/>
      <c r="BO1328" s="106"/>
    </row>
    <row r="1329" spans="2:67" hidden="1" x14ac:dyDescent="0.25">
      <c r="M1329" s="215"/>
      <c r="N1329" s="215"/>
      <c r="O1329" s="215"/>
      <c r="P1329" s="215"/>
      <c r="Q1329" s="215"/>
      <c r="Y1329" s="501"/>
      <c r="BI1329" s="106"/>
      <c r="BJ1329" s="106"/>
      <c r="BK1329" s="106"/>
      <c r="BL1329" s="106"/>
      <c r="BM1329" s="106"/>
      <c r="BN1329" s="106"/>
      <c r="BO1329" s="106"/>
    </row>
    <row r="1330" spans="2:67" hidden="1" x14ac:dyDescent="0.25">
      <c r="B1330" s="235" t="s">
        <v>301</v>
      </c>
      <c r="C1330" s="215"/>
      <c r="D1330" s="215"/>
      <c r="E1330" s="215"/>
      <c r="F1330" s="225"/>
      <c r="G1330" s="215"/>
      <c r="H1330" s="215"/>
      <c r="I1330" s="215"/>
      <c r="J1330" s="215"/>
      <c r="K1330" s="215"/>
      <c r="L1330" s="215"/>
      <c r="M1330" s="215"/>
      <c r="N1330" s="215"/>
      <c r="O1330" s="215"/>
      <c r="P1330" s="215"/>
      <c r="Q1330" s="215"/>
      <c r="Y1330" s="501"/>
      <c r="BI1330" s="106"/>
      <c r="BJ1330" s="106"/>
      <c r="BK1330" s="106"/>
      <c r="BL1330" s="106"/>
      <c r="BM1330" s="106"/>
      <c r="BN1330" s="106"/>
      <c r="BO1330" s="106"/>
    </row>
    <row r="1331" spans="2:67" ht="159.94999999999999" hidden="1" customHeight="1" x14ac:dyDescent="0.25">
      <c r="B1331" s="736"/>
      <c r="C1331" s="737"/>
      <c r="D1331" s="737"/>
      <c r="E1331" s="737"/>
      <c r="F1331" s="737"/>
      <c r="G1331" s="737"/>
      <c r="H1331" s="737"/>
      <c r="I1331" s="737"/>
      <c r="J1331" s="737"/>
      <c r="K1331" s="737"/>
      <c r="L1331" s="737"/>
      <c r="M1331" s="737"/>
      <c r="N1331" s="737"/>
      <c r="O1331" s="737"/>
      <c r="P1331" s="738"/>
      <c r="Q1331" s="416"/>
      <c r="Y1331" s="501"/>
      <c r="BI1331" s="106"/>
      <c r="BJ1331" s="106"/>
      <c r="BK1331" s="106"/>
      <c r="BL1331" s="106"/>
      <c r="BM1331" s="106"/>
      <c r="BN1331" s="106"/>
      <c r="BO1331" s="106"/>
    </row>
    <row r="1332" spans="2:67" ht="36" customHeight="1" x14ac:dyDescent="0.25">
      <c r="B1332" s="27" t="s">
        <v>667</v>
      </c>
      <c r="C1332" s="13"/>
      <c r="D1332" s="236"/>
      <c r="E1332" s="237"/>
      <c r="F1332" s="237"/>
      <c r="G1332" s="237"/>
      <c r="H1332" s="237"/>
      <c r="I1332" s="237"/>
      <c r="J1332" s="237"/>
      <c r="K1332" s="237"/>
      <c r="L1332" s="237"/>
      <c r="M1332" s="237"/>
      <c r="N1332" s="237"/>
      <c r="O1332" s="237"/>
      <c r="P1332" s="237"/>
      <c r="Q1332" s="215"/>
      <c r="Y1332" s="501"/>
      <c r="BI1332" s="106"/>
      <c r="BJ1332" s="106"/>
      <c r="BK1332" s="106"/>
      <c r="BL1332" s="106"/>
      <c r="BM1332" s="106"/>
      <c r="BN1332" s="106"/>
      <c r="BO1332" s="106"/>
    </row>
    <row r="1333" spans="2:67" x14ac:dyDescent="0.25">
      <c r="B1333" s="215"/>
      <c r="C1333" s="215"/>
      <c r="D1333" s="215"/>
      <c r="E1333" s="215"/>
      <c r="F1333" s="215"/>
      <c r="G1333" s="215"/>
      <c r="H1333" s="215"/>
      <c r="I1333" s="215"/>
      <c r="J1333" s="215"/>
      <c r="K1333" s="215"/>
      <c r="L1333" s="215"/>
      <c r="M1333" s="215"/>
      <c r="N1333" s="215"/>
      <c r="O1333" s="215"/>
      <c r="P1333" s="215"/>
      <c r="Q1333" s="215"/>
      <c r="Y1333" s="501"/>
      <c r="BI1333" s="106"/>
      <c r="BJ1333" s="106"/>
      <c r="BK1333" s="106"/>
      <c r="BL1333" s="106"/>
      <c r="BM1333" s="106"/>
      <c r="BN1333" s="106"/>
      <c r="BO1333" s="106"/>
    </row>
    <row r="1334" spans="2:67" x14ac:dyDescent="0.25">
      <c r="B1334" s="357"/>
      <c r="C1334" s="357"/>
      <c r="D1334" s="358"/>
      <c r="E1334" s="358"/>
      <c r="F1334" s="359" t="s">
        <v>284</v>
      </c>
      <c r="G1334" s="215"/>
      <c r="H1334" s="216">
        <v>3</v>
      </c>
      <c r="J1334" s="357"/>
      <c r="K1334" s="357"/>
      <c r="L1334" s="357"/>
      <c r="M1334" s="357"/>
      <c r="N1334" s="359" t="s">
        <v>285</v>
      </c>
      <c r="P1334" s="217">
        <f>(BP_40/BP_08)*LE04_credits</f>
        <v>0</v>
      </c>
      <c r="Q1334" s="217"/>
      <c r="Y1334" s="501"/>
      <c r="BI1334" s="106"/>
      <c r="BJ1334" s="106"/>
      <c r="BK1334" s="106"/>
      <c r="BL1334" s="106"/>
      <c r="BM1334" s="106"/>
      <c r="BN1334" s="106"/>
      <c r="BO1334" s="106"/>
    </row>
    <row r="1335" spans="2:67" ht="3.75" customHeight="1" x14ac:dyDescent="0.25">
      <c r="Y1335" s="501"/>
      <c r="BI1335" s="106"/>
      <c r="BJ1335" s="106"/>
      <c r="BK1335" s="106"/>
      <c r="BL1335" s="106"/>
      <c r="BM1335" s="106"/>
      <c r="BN1335" s="106"/>
      <c r="BO1335" s="106"/>
    </row>
    <row r="1336" spans="2:67" x14ac:dyDescent="0.25">
      <c r="B1336" s="357"/>
      <c r="C1336" s="357"/>
      <c r="D1336" s="358"/>
      <c r="E1336" s="358"/>
      <c r="F1336" s="359" t="s">
        <v>286</v>
      </c>
      <c r="G1336" s="215"/>
      <c r="H1336" s="216">
        <v>0</v>
      </c>
      <c r="J1336" s="358"/>
      <c r="K1336" s="358"/>
      <c r="L1336" s="358"/>
      <c r="M1336" s="358"/>
      <c r="N1336" s="359" t="s">
        <v>287</v>
      </c>
      <c r="O1336" s="215"/>
      <c r="P1336" s="216" t="s">
        <v>125</v>
      </c>
      <c r="Q1336" s="216"/>
      <c r="Y1336" s="501"/>
      <c r="BI1336" s="106"/>
      <c r="BJ1336" s="106"/>
      <c r="BK1336" s="106"/>
      <c r="BL1336" s="106"/>
      <c r="BM1336" s="106"/>
      <c r="BN1336" s="106"/>
      <c r="BO1336" s="106"/>
    </row>
    <row r="1337" spans="2:67" ht="47.25" customHeight="1" x14ac:dyDescent="0.25">
      <c r="B1337" s="238" t="s">
        <v>288</v>
      </c>
      <c r="C1337" s="239"/>
      <c r="D1337" s="235"/>
      <c r="E1337" s="239"/>
      <c r="F1337" s="240"/>
      <c r="G1337" s="238"/>
      <c r="H1337" s="238"/>
      <c r="I1337" s="238"/>
      <c r="J1337" s="241" t="s">
        <v>289</v>
      </c>
      <c r="K1337" s="241"/>
      <c r="L1337" s="242" t="s">
        <v>290</v>
      </c>
      <c r="N1337" s="242" t="s">
        <v>291</v>
      </c>
      <c r="P1337" s="242"/>
      <c r="Q1337" s="242"/>
      <c r="Y1337" s="501"/>
      <c r="BI1337" s="106"/>
      <c r="BJ1337" s="106"/>
      <c r="BK1337" s="106"/>
      <c r="BL1337" s="106"/>
      <c r="BM1337" s="106"/>
      <c r="BN1337" s="106"/>
      <c r="BO1337" s="106"/>
    </row>
    <row r="1338" spans="2:67" ht="3" customHeight="1" x14ac:dyDescent="0.25">
      <c r="B1338" s="215"/>
      <c r="C1338" s="218"/>
      <c r="D1338" s="215"/>
      <c r="E1338" s="218"/>
      <c r="F1338" s="244"/>
      <c r="G1338" s="215"/>
      <c r="J1338" s="245"/>
      <c r="K1338" s="245"/>
      <c r="L1338" s="215"/>
      <c r="M1338" s="215"/>
      <c r="N1338" s="309"/>
      <c r="O1338" s="218"/>
      <c r="P1338" s="246"/>
      <c r="Q1338" s="246"/>
      <c r="Y1338" s="501"/>
      <c r="BI1338" s="106"/>
      <c r="BJ1338" s="106"/>
      <c r="BK1338" s="106"/>
      <c r="BL1338" s="106"/>
      <c r="BM1338" s="106"/>
      <c r="BN1338" s="106"/>
      <c r="BO1338" s="106"/>
    </row>
    <row r="1339" spans="2:67" x14ac:dyDescent="0.25">
      <c r="B1339" s="358"/>
      <c r="C1339" s="358"/>
      <c r="D1339" s="358"/>
      <c r="E1339" s="358"/>
      <c r="F1339" s="359"/>
      <c r="G1339" s="358"/>
      <c r="H1339" s="359" t="s">
        <v>668</v>
      </c>
      <c r="J1339" s="223"/>
      <c r="K1339" s="215"/>
      <c r="L1339" s="224">
        <f>LE04_credits</f>
        <v>3</v>
      </c>
      <c r="M1339" s="215"/>
      <c r="N1339" s="224">
        <f>IF(LE04_02=AIS_Yes,VLOOKUP(LE04_03,LE04_lookup,2,TRUE),0)</f>
        <v>0</v>
      </c>
      <c r="O1339" s="215"/>
      <c r="P1339" s="252"/>
      <c r="Q1339" s="252"/>
      <c r="Y1339" s="501"/>
      <c r="BI1339" s="106"/>
      <c r="BJ1339" s="106"/>
      <c r="BK1339" s="106"/>
      <c r="BL1339" s="106"/>
      <c r="BM1339" s="106"/>
      <c r="BN1339" s="106"/>
      <c r="BO1339" s="106"/>
    </row>
    <row r="1340" spans="2:67" x14ac:dyDescent="0.25">
      <c r="B1340" s="358"/>
      <c r="C1340" s="358"/>
      <c r="D1340" s="358"/>
      <c r="E1340" s="358"/>
      <c r="F1340" s="359"/>
      <c r="G1340" s="358"/>
      <c r="H1340" s="359" t="s">
        <v>669</v>
      </c>
      <c r="J1340" s="687"/>
      <c r="K1340" s="215"/>
      <c r="Y1340" s="501"/>
      <c r="AB1340" s="502"/>
      <c r="BI1340" s="106"/>
      <c r="BJ1340" s="106"/>
      <c r="BK1340" s="106"/>
      <c r="BL1340" s="106"/>
      <c r="BM1340" s="106"/>
      <c r="BN1340" s="106"/>
      <c r="BO1340" s="106"/>
    </row>
    <row r="1341" spans="2:67" x14ac:dyDescent="0.25">
      <c r="K1341" s="215"/>
      <c r="Y1341" s="501"/>
      <c r="AB1341" s="502"/>
      <c r="BI1341" s="106"/>
      <c r="BJ1341" s="106"/>
      <c r="BK1341" s="106"/>
      <c r="BL1341" s="106"/>
      <c r="BM1341" s="106"/>
      <c r="BN1341" s="106"/>
      <c r="BO1341" s="106"/>
    </row>
    <row r="1342" spans="2:67" x14ac:dyDescent="0.25">
      <c r="R1342" s="319"/>
      <c r="S1342" s="58"/>
      <c r="T1342" s="58"/>
      <c r="U1342" s="58"/>
      <c r="V1342" s="58"/>
      <c r="W1342" s="58"/>
      <c r="Y1342" s="501"/>
      <c r="BI1342" s="106"/>
      <c r="BJ1342" s="106"/>
      <c r="BK1342" s="106"/>
      <c r="BL1342" s="106"/>
      <c r="BM1342" s="106"/>
      <c r="BN1342" s="106"/>
      <c r="BO1342" s="106"/>
    </row>
    <row r="1343" spans="2:67" x14ac:dyDescent="0.25">
      <c r="B1343" s="358"/>
      <c r="C1343" s="357"/>
      <c r="D1343" s="357"/>
      <c r="E1343" s="358"/>
      <c r="F1343" s="359" t="s">
        <v>296</v>
      </c>
      <c r="G1343" s="215"/>
      <c r="H1343" s="216">
        <f>IF(ISERROR(LE04_06),0,LE04_06)</f>
        <v>0</v>
      </c>
      <c r="J1343" s="203"/>
      <c r="K1343" s="215"/>
      <c r="M1343" s="215"/>
      <c r="N1343" s="215"/>
      <c r="O1343" s="215"/>
      <c r="P1343" s="215"/>
      <c r="Q1343" s="215"/>
      <c r="Y1343" s="501"/>
      <c r="BI1343" s="106"/>
      <c r="BJ1343" s="106"/>
      <c r="BK1343" s="106"/>
      <c r="BL1343" s="106"/>
      <c r="BM1343" s="106"/>
      <c r="BN1343" s="106"/>
      <c r="BO1343" s="106"/>
    </row>
    <row r="1344" spans="2:67" ht="3" customHeight="1" x14ac:dyDescent="0.25">
      <c r="B1344" s="215"/>
      <c r="E1344" s="215"/>
      <c r="F1344" s="225"/>
      <c r="G1344" s="215"/>
      <c r="H1344" s="252"/>
      <c r="J1344" s="203"/>
      <c r="K1344" s="215"/>
      <c r="M1344" s="215"/>
      <c r="N1344" s="215"/>
      <c r="O1344" s="215"/>
      <c r="P1344" s="215"/>
      <c r="Q1344" s="215"/>
      <c r="Y1344" s="501"/>
      <c r="BI1344" s="106"/>
      <c r="BJ1344" s="106"/>
      <c r="BK1344" s="106"/>
      <c r="BL1344" s="106"/>
      <c r="BM1344" s="106"/>
      <c r="BN1344" s="106"/>
      <c r="BO1344" s="106"/>
    </row>
    <row r="1345" spans="2:67" x14ac:dyDescent="0.25">
      <c r="B1345" s="358"/>
      <c r="C1345" s="357"/>
      <c r="D1345" s="357"/>
      <c r="E1345" s="358"/>
      <c r="F1345" s="359" t="s">
        <v>297</v>
      </c>
      <c r="G1345" s="215"/>
      <c r="H1345" s="217">
        <f>(LE04_13/LE04_credits)*LE04_tot</f>
        <v>0</v>
      </c>
      <c r="J1345" s="203"/>
      <c r="K1345" s="215"/>
      <c r="M1345" s="215"/>
      <c r="N1345" s="215"/>
      <c r="O1345" s="215"/>
      <c r="P1345" s="215"/>
      <c r="Q1345" s="215"/>
      <c r="Y1345" s="501"/>
      <c r="BI1345" s="106"/>
      <c r="BJ1345" s="106"/>
      <c r="BK1345" s="106"/>
      <c r="BL1345" s="106"/>
      <c r="BM1345" s="106"/>
      <c r="BN1345" s="106"/>
      <c r="BO1345" s="106"/>
    </row>
    <row r="1346" spans="2:67" ht="3" customHeight="1" x14ac:dyDescent="0.25">
      <c r="K1346" s="215"/>
      <c r="M1346" s="215"/>
      <c r="N1346" s="215"/>
      <c r="O1346" s="215"/>
      <c r="P1346" s="215"/>
      <c r="Q1346" s="215"/>
      <c r="Y1346" s="501"/>
      <c r="BI1346" s="106"/>
      <c r="BJ1346" s="106"/>
      <c r="BK1346" s="106"/>
      <c r="BL1346" s="106"/>
      <c r="BM1346" s="106"/>
      <c r="BN1346" s="106"/>
      <c r="BO1346" s="106"/>
    </row>
    <row r="1347" spans="2:67" x14ac:dyDescent="0.25">
      <c r="B1347" s="358"/>
      <c r="C1347" s="357"/>
      <c r="D1347" s="357"/>
      <c r="E1347" s="358"/>
      <c r="F1347" s="359" t="s">
        <v>298</v>
      </c>
      <c r="H1347" s="216" t="s">
        <v>300</v>
      </c>
      <c r="K1347" s="215"/>
      <c r="M1347" s="215"/>
      <c r="N1347" s="215"/>
      <c r="O1347" s="215"/>
      <c r="P1347" s="215"/>
      <c r="Q1347" s="215"/>
      <c r="Y1347" s="501"/>
      <c r="BI1347" s="106"/>
      <c r="BJ1347" s="106"/>
      <c r="BK1347" s="106"/>
      <c r="BL1347" s="106"/>
      <c r="BM1347" s="106"/>
      <c r="BN1347" s="106"/>
      <c r="BO1347" s="106"/>
    </row>
    <row r="1348" spans="2:67" ht="3" customHeight="1" x14ac:dyDescent="0.25">
      <c r="K1348" s="215"/>
      <c r="M1348" s="215"/>
      <c r="N1348" s="215"/>
      <c r="O1348" s="215"/>
      <c r="P1348" s="215"/>
      <c r="Q1348" s="215"/>
      <c r="Y1348" s="501"/>
      <c r="BI1348" s="106"/>
      <c r="BJ1348" s="106"/>
      <c r="BK1348" s="106"/>
      <c r="BL1348" s="106"/>
      <c r="BM1348" s="106"/>
      <c r="BN1348" s="106"/>
      <c r="BO1348" s="106"/>
    </row>
    <row r="1349" spans="2:67" x14ac:dyDescent="0.25">
      <c r="B1349" s="358"/>
      <c r="C1349" s="357"/>
      <c r="D1349" s="358"/>
      <c r="E1349" s="358"/>
      <c r="F1349" s="359" t="s">
        <v>299</v>
      </c>
      <c r="H1349" s="216" t="s">
        <v>300</v>
      </c>
      <c r="K1349" s="215"/>
      <c r="M1349" s="215"/>
      <c r="N1349" s="273"/>
      <c r="P1349" s="215"/>
      <c r="Q1349" s="215"/>
      <c r="Y1349" s="501"/>
      <c r="BI1349" s="106"/>
      <c r="BJ1349" s="106"/>
      <c r="BK1349" s="106"/>
      <c r="BL1349" s="106"/>
      <c r="BM1349" s="106"/>
      <c r="BN1349" s="106"/>
      <c r="BO1349" s="106"/>
    </row>
    <row r="1350" spans="2:67" x14ac:dyDescent="0.25">
      <c r="B1350" s="192"/>
      <c r="C1350" s="192"/>
      <c r="D1350" s="192"/>
      <c r="E1350" s="192"/>
      <c r="F1350" s="192"/>
      <c r="M1350" s="215"/>
      <c r="P1350" s="215"/>
      <c r="Q1350" s="215"/>
      <c r="Y1350" s="501"/>
      <c r="BI1350" s="106"/>
      <c r="BJ1350" s="106"/>
      <c r="BK1350" s="106"/>
      <c r="BL1350" s="106"/>
      <c r="BM1350" s="106"/>
      <c r="BN1350" s="106"/>
      <c r="BO1350" s="106"/>
    </row>
    <row r="1351" spans="2:67" x14ac:dyDescent="0.25">
      <c r="B1351" s="235" t="s">
        <v>301</v>
      </c>
      <c r="C1351" s="215"/>
      <c r="D1351" s="215"/>
      <c r="E1351" s="215"/>
      <c r="F1351" s="225"/>
      <c r="G1351" s="215"/>
      <c r="H1351" s="215"/>
      <c r="I1351" s="215"/>
      <c r="J1351" s="215"/>
      <c r="K1351" s="215"/>
      <c r="L1351" s="215"/>
      <c r="M1351" s="215"/>
      <c r="N1351" s="215"/>
      <c r="O1351" s="215"/>
      <c r="P1351" s="215"/>
      <c r="Q1351" s="215"/>
      <c r="Y1351" s="501"/>
      <c r="BI1351" s="106"/>
      <c r="BJ1351" s="106"/>
      <c r="BK1351" s="106"/>
      <c r="BL1351" s="106"/>
      <c r="BM1351" s="106"/>
      <c r="BN1351" s="106"/>
      <c r="BO1351" s="106"/>
    </row>
    <row r="1352" spans="2:67" ht="159.94999999999999" customHeight="1" x14ac:dyDescent="0.25">
      <c r="B1352" s="736"/>
      <c r="C1352" s="737"/>
      <c r="D1352" s="737"/>
      <c r="E1352" s="737"/>
      <c r="F1352" s="737"/>
      <c r="G1352" s="737"/>
      <c r="H1352" s="737"/>
      <c r="I1352" s="737"/>
      <c r="J1352" s="737"/>
      <c r="K1352" s="737"/>
      <c r="L1352" s="737"/>
      <c r="M1352" s="737"/>
      <c r="N1352" s="737"/>
      <c r="O1352" s="737"/>
      <c r="P1352" s="738"/>
      <c r="Q1352" s="416"/>
      <c r="Y1352" s="501"/>
      <c r="BI1352" s="106"/>
      <c r="BJ1352" s="106"/>
      <c r="BK1352" s="106"/>
      <c r="BL1352" s="106"/>
      <c r="BM1352" s="106"/>
      <c r="BN1352" s="106"/>
      <c r="BO1352" s="106"/>
    </row>
    <row r="1353" spans="2:67" ht="36" customHeight="1" x14ac:dyDescent="0.25">
      <c r="B1353" s="27" t="s">
        <v>670</v>
      </c>
      <c r="C1353" s="13"/>
      <c r="D1353" s="236"/>
      <c r="E1353" s="237"/>
      <c r="F1353" s="237"/>
      <c r="G1353" s="237"/>
      <c r="H1353" s="237"/>
      <c r="I1353" s="237"/>
      <c r="J1353" s="237"/>
      <c r="K1353" s="237"/>
      <c r="L1353" s="237"/>
      <c r="M1353" s="237"/>
      <c r="N1353" s="237"/>
      <c r="O1353" s="237"/>
      <c r="P1353" s="237"/>
      <c r="Q1353" s="215"/>
      <c r="Y1353" s="501"/>
      <c r="BI1353" s="106"/>
      <c r="BJ1353" s="106"/>
      <c r="BK1353" s="106"/>
      <c r="BL1353" s="106"/>
      <c r="BM1353" s="106"/>
      <c r="BN1353" s="106"/>
      <c r="BO1353" s="106"/>
    </row>
    <row r="1354" spans="2:67" x14ac:dyDescent="0.25">
      <c r="B1354" s="215"/>
      <c r="C1354" s="215"/>
      <c r="D1354" s="215"/>
      <c r="E1354" s="215"/>
      <c r="F1354" s="215"/>
      <c r="G1354" s="215"/>
      <c r="H1354" s="215"/>
      <c r="I1354" s="215"/>
      <c r="J1354" s="215"/>
      <c r="K1354" s="215"/>
      <c r="L1354" s="215"/>
      <c r="M1354" s="215"/>
      <c r="N1354" s="215"/>
      <c r="O1354" s="215"/>
      <c r="P1354" s="215"/>
      <c r="Q1354" s="215"/>
      <c r="Y1354" s="501"/>
      <c r="BI1354" s="106"/>
      <c r="BJ1354" s="106"/>
      <c r="BK1354" s="106"/>
      <c r="BL1354" s="106"/>
      <c r="BM1354" s="106"/>
      <c r="BN1354" s="106"/>
      <c r="BO1354" s="106"/>
    </row>
    <row r="1355" spans="2:67" x14ac:dyDescent="0.25">
      <c r="B1355" s="357"/>
      <c r="C1355" s="357"/>
      <c r="D1355" s="358"/>
      <c r="E1355" s="358"/>
      <c r="F1355" s="359" t="s">
        <v>284</v>
      </c>
      <c r="G1355" s="215"/>
      <c r="H1355" s="216">
        <v>2</v>
      </c>
      <c r="J1355" s="357"/>
      <c r="K1355" s="357"/>
      <c r="L1355" s="357"/>
      <c r="M1355" s="357"/>
      <c r="N1355" s="359" t="s">
        <v>285</v>
      </c>
      <c r="P1355" s="217">
        <f>(BP_40/BP_08)*LE05_credits</f>
        <v>0</v>
      </c>
      <c r="Q1355" s="217"/>
      <c r="Y1355" s="501"/>
      <c r="BI1355" s="106"/>
      <c r="BJ1355" s="106"/>
      <c r="BK1355" s="106"/>
      <c r="BL1355" s="106"/>
      <c r="BM1355" s="106"/>
      <c r="BN1355" s="106"/>
      <c r="BO1355" s="106"/>
    </row>
    <row r="1356" spans="2:67" ht="3.75" customHeight="1" x14ac:dyDescent="0.25">
      <c r="Y1356" s="501"/>
      <c r="BI1356" s="106"/>
      <c r="BJ1356" s="106"/>
      <c r="BK1356" s="106"/>
      <c r="BL1356" s="106"/>
      <c r="BM1356" s="106"/>
      <c r="BN1356" s="106"/>
      <c r="BO1356" s="106"/>
    </row>
    <row r="1357" spans="2:67" x14ac:dyDescent="0.25">
      <c r="B1357" s="357"/>
      <c r="C1357" s="357"/>
      <c r="D1357" s="358"/>
      <c r="E1357" s="358"/>
      <c r="F1357" s="359" t="s">
        <v>286</v>
      </c>
      <c r="G1357" s="215"/>
      <c r="H1357" s="216">
        <v>0</v>
      </c>
      <c r="J1357" s="358"/>
      <c r="K1357" s="358"/>
      <c r="L1357" s="358"/>
      <c r="M1357" s="358"/>
      <c r="N1357" s="359" t="s">
        <v>287</v>
      </c>
      <c r="O1357" s="215"/>
      <c r="P1357" s="216" t="s">
        <v>125</v>
      </c>
      <c r="Q1357" s="216"/>
      <c r="Y1357" s="501"/>
      <c r="BI1357" s="106"/>
      <c r="BJ1357" s="106"/>
      <c r="BK1357" s="106"/>
      <c r="BL1357" s="106"/>
      <c r="BM1357" s="106"/>
      <c r="BN1357" s="106"/>
      <c r="BO1357" s="106"/>
    </row>
    <row r="1358" spans="2:67" ht="47.25" customHeight="1" x14ac:dyDescent="0.25">
      <c r="B1358" s="238" t="s">
        <v>288</v>
      </c>
      <c r="C1358" s="239"/>
      <c r="D1358" s="235"/>
      <c r="E1358" s="239"/>
      <c r="F1358" s="240"/>
      <c r="G1358" s="238"/>
      <c r="H1358" s="238"/>
      <c r="I1358" s="238"/>
      <c r="J1358" s="241" t="s">
        <v>289</v>
      </c>
      <c r="K1358" s="241"/>
      <c r="L1358" s="242" t="s">
        <v>290</v>
      </c>
      <c r="N1358" s="242" t="s">
        <v>291</v>
      </c>
      <c r="P1358" s="242"/>
      <c r="Q1358" s="242"/>
      <c r="Y1358" s="501"/>
      <c r="BI1358" s="106"/>
      <c r="BJ1358" s="106"/>
      <c r="BK1358" s="106"/>
      <c r="BL1358" s="106"/>
      <c r="BM1358" s="106"/>
      <c r="BN1358" s="106"/>
      <c r="BO1358" s="106"/>
    </row>
    <row r="1359" spans="2:67" ht="3" customHeight="1" x14ac:dyDescent="0.25">
      <c r="B1359" s="215"/>
      <c r="C1359" s="218"/>
      <c r="D1359" s="215"/>
      <c r="E1359" s="218"/>
      <c r="F1359" s="244"/>
      <c r="G1359" s="215"/>
      <c r="J1359" s="245"/>
      <c r="K1359" s="245"/>
      <c r="L1359" s="215"/>
      <c r="M1359" s="215"/>
      <c r="N1359" s="309"/>
      <c r="O1359" s="218"/>
      <c r="P1359" s="246"/>
      <c r="Q1359" s="246"/>
      <c r="Y1359" s="501"/>
      <c r="BI1359" s="106"/>
      <c r="BJ1359" s="106"/>
      <c r="BK1359" s="106"/>
      <c r="BL1359" s="106"/>
      <c r="BM1359" s="106"/>
      <c r="BN1359" s="106"/>
      <c r="BO1359" s="106"/>
    </row>
    <row r="1360" spans="2:67" x14ac:dyDescent="0.25">
      <c r="B1360" s="358"/>
      <c r="C1360" s="358"/>
      <c r="D1360" s="358"/>
      <c r="E1360" s="358"/>
      <c r="F1360" s="359"/>
      <c r="G1360" s="358"/>
      <c r="H1360" s="359" t="s">
        <v>671</v>
      </c>
      <c r="J1360" s="223"/>
      <c r="K1360" s="215"/>
      <c r="L1360" s="224">
        <f>LE05_credits</f>
        <v>2</v>
      </c>
      <c r="M1360" s="215"/>
      <c r="N1360" s="270">
        <f>LE05_tot_err</f>
        <v>0</v>
      </c>
      <c r="O1360" s="215"/>
      <c r="P1360" s="252"/>
      <c r="Q1360" s="252"/>
      <c r="R1360" s="732"/>
      <c r="S1360" s="732"/>
      <c r="T1360" s="732"/>
      <c r="U1360" s="732"/>
      <c r="V1360" s="732"/>
      <c r="W1360" s="732"/>
      <c r="X1360" s="732"/>
      <c r="Y1360" s="501"/>
      <c r="BI1360" s="106"/>
      <c r="BJ1360" s="106"/>
      <c r="BK1360" s="106"/>
      <c r="BL1360" s="106"/>
      <c r="BM1360" s="106"/>
      <c r="BN1360" s="106"/>
      <c r="BO1360" s="106"/>
    </row>
    <row r="1361" spans="2:67" x14ac:dyDescent="0.25">
      <c r="B1361" s="358"/>
      <c r="C1361" s="358"/>
      <c r="D1361" s="358"/>
      <c r="E1361" s="358"/>
      <c r="F1361" s="359"/>
      <c r="G1361" s="358"/>
      <c r="H1361" s="359" t="s">
        <v>672</v>
      </c>
      <c r="J1361" s="605"/>
      <c r="K1361" s="215"/>
      <c r="R1361" s="732"/>
      <c r="S1361" s="732"/>
      <c r="T1361" s="732"/>
      <c r="U1361" s="732"/>
      <c r="V1361" s="732"/>
      <c r="W1361" s="732"/>
      <c r="X1361" s="732"/>
      <c r="Y1361" s="501"/>
      <c r="BI1361" s="106"/>
      <c r="BJ1361" s="106"/>
      <c r="BK1361" s="106"/>
      <c r="BL1361" s="106"/>
      <c r="BM1361" s="106"/>
      <c r="BN1361" s="106"/>
      <c r="BO1361" s="106"/>
    </row>
    <row r="1362" spans="2:67" x14ac:dyDescent="0.25">
      <c r="B1362" s="358"/>
      <c r="C1362" s="358"/>
      <c r="D1362" s="358"/>
      <c r="E1362" s="358"/>
      <c r="F1362" s="359"/>
      <c r="G1362" s="358"/>
      <c r="H1362" s="359" t="s">
        <v>673</v>
      </c>
      <c r="J1362" s="223" t="s">
        <v>497</v>
      </c>
      <c r="K1362" s="215"/>
      <c r="L1362" s="202" t="str">
        <f>IF(LE05_05="Please select","",IF(LE05_05&gt;LE05_04,"Applicable measures implemented cannot be higher than number of applicable measures",""))</f>
        <v/>
      </c>
      <c r="Y1362" s="501"/>
      <c r="BI1362" s="106"/>
      <c r="BJ1362" s="106"/>
      <c r="BK1362" s="106"/>
      <c r="BL1362" s="106"/>
      <c r="BM1362" s="106"/>
      <c r="BN1362" s="106"/>
      <c r="BO1362" s="106"/>
    </row>
    <row r="1363" spans="2:67" ht="15.6" customHeight="1" x14ac:dyDescent="0.25">
      <c r="B1363" s="358"/>
      <c r="C1363" s="358"/>
      <c r="D1363" s="358"/>
      <c r="E1363" s="358"/>
      <c r="F1363" s="359"/>
      <c r="G1363" s="358"/>
      <c r="H1363" s="359" t="s">
        <v>674</v>
      </c>
      <c r="J1363" s="223" t="s">
        <v>497</v>
      </c>
      <c r="K1363" s="215"/>
      <c r="L1363" s="709" t="str">
        <f>IF(AP2178=2,"Please note that as per CN 3, where the Suitably Qualified Ecologist confirms that no additional measures are applicable (due to the nature of the site and its surroundings) full credits can be awarded for demonstrating compliance with criteria 1 and 2.","")</f>
        <v/>
      </c>
      <c r="M1363" s="709"/>
      <c r="N1363" s="709"/>
      <c r="O1363" s="709"/>
      <c r="P1363" s="709"/>
      <c r="Q1363" s="709"/>
      <c r="R1363" s="709"/>
      <c r="S1363" s="709"/>
      <c r="T1363" s="709"/>
      <c r="U1363" s="709"/>
      <c r="Y1363" s="501"/>
      <c r="BI1363" s="106"/>
      <c r="BJ1363" s="106"/>
      <c r="BK1363" s="106"/>
      <c r="BL1363" s="106"/>
      <c r="BM1363" s="106"/>
      <c r="BN1363" s="106"/>
      <c r="BO1363" s="106"/>
    </row>
    <row r="1364" spans="2:67" x14ac:dyDescent="0.25">
      <c r="J1364" s="754"/>
      <c r="L1364" s="709"/>
      <c r="M1364" s="709"/>
      <c r="N1364" s="709"/>
      <c r="O1364" s="709"/>
      <c r="P1364" s="709"/>
      <c r="Q1364" s="709"/>
      <c r="R1364" s="709"/>
      <c r="S1364" s="709"/>
      <c r="T1364" s="709"/>
      <c r="U1364" s="709"/>
      <c r="Y1364" s="501"/>
      <c r="BI1364" s="106"/>
      <c r="BJ1364" s="106"/>
      <c r="BK1364" s="106"/>
      <c r="BL1364" s="106"/>
      <c r="BM1364" s="106"/>
      <c r="BN1364" s="106"/>
      <c r="BO1364" s="106"/>
    </row>
    <row r="1365" spans="2:67" x14ac:dyDescent="0.25">
      <c r="B1365" s="358"/>
      <c r="C1365" s="357"/>
      <c r="D1365" s="357"/>
      <c r="E1365" s="358"/>
      <c r="F1365" s="359" t="s">
        <v>296</v>
      </c>
      <c r="G1365" s="215"/>
      <c r="H1365" s="216">
        <f>IF(ISERROR(LE05_10),0,LE05_10)</f>
        <v>0</v>
      </c>
      <c r="J1365" s="755"/>
      <c r="K1365" s="215"/>
      <c r="L1365" s="709"/>
      <c r="M1365" s="709"/>
      <c r="N1365" s="709"/>
      <c r="O1365" s="709"/>
      <c r="P1365" s="709"/>
      <c r="Q1365" s="709"/>
      <c r="R1365" s="709"/>
      <c r="S1365" s="709"/>
      <c r="T1365" s="709"/>
      <c r="U1365" s="709"/>
      <c r="Y1365" s="501"/>
      <c r="BI1365" s="106"/>
      <c r="BJ1365" s="106"/>
      <c r="BK1365" s="106"/>
      <c r="BL1365" s="106"/>
      <c r="BM1365" s="106"/>
      <c r="BN1365" s="106"/>
      <c r="BO1365" s="106"/>
    </row>
    <row r="1366" spans="2:67" ht="3" customHeight="1" x14ac:dyDescent="0.25">
      <c r="B1366" s="215"/>
      <c r="E1366" s="215"/>
      <c r="F1366" s="225"/>
      <c r="G1366" s="215"/>
      <c r="H1366" s="252"/>
      <c r="J1366" s="203"/>
      <c r="K1366" s="215"/>
      <c r="M1366" s="215"/>
      <c r="N1366" s="215"/>
      <c r="O1366" s="215"/>
      <c r="P1366" s="215"/>
      <c r="Q1366" s="215"/>
      <c r="Y1366" s="501"/>
      <c r="BI1366" s="106"/>
      <c r="BJ1366" s="106"/>
      <c r="BK1366" s="106"/>
      <c r="BL1366" s="106"/>
      <c r="BM1366" s="106"/>
      <c r="BN1366" s="106"/>
      <c r="BO1366" s="106"/>
    </row>
    <row r="1367" spans="2:67" x14ac:dyDescent="0.25">
      <c r="B1367" s="358"/>
      <c r="C1367" s="357"/>
      <c r="D1367" s="357"/>
      <c r="E1367" s="358"/>
      <c r="F1367" s="359" t="s">
        <v>297</v>
      </c>
      <c r="G1367" s="215"/>
      <c r="H1367" s="217">
        <f>(LE05_14/LE05_credits)*LE05_tot</f>
        <v>0</v>
      </c>
      <c r="J1367" s="203"/>
      <c r="K1367" s="215"/>
      <c r="M1367" s="215"/>
      <c r="N1367" s="215"/>
      <c r="O1367" s="215"/>
      <c r="P1367" s="215"/>
      <c r="Q1367" s="215"/>
      <c r="Y1367" s="501"/>
      <c r="BI1367" s="106"/>
      <c r="BJ1367" s="106"/>
      <c r="BK1367" s="106"/>
      <c r="BL1367" s="106"/>
      <c r="BM1367" s="106"/>
      <c r="BN1367" s="106"/>
      <c r="BO1367" s="106"/>
    </row>
    <row r="1368" spans="2:67" ht="3" customHeight="1" x14ac:dyDescent="0.25">
      <c r="K1368" s="215"/>
      <c r="M1368" s="215"/>
      <c r="N1368" s="215"/>
      <c r="O1368" s="215"/>
      <c r="P1368" s="215"/>
      <c r="Q1368" s="215"/>
      <c r="Y1368" s="501"/>
      <c r="BI1368" s="106"/>
      <c r="BJ1368" s="106"/>
      <c r="BK1368" s="106"/>
      <c r="BL1368" s="106"/>
      <c r="BM1368" s="106"/>
      <c r="BN1368" s="106"/>
      <c r="BO1368" s="106"/>
    </row>
    <row r="1369" spans="2:67" x14ac:dyDescent="0.25">
      <c r="B1369" s="358"/>
      <c r="C1369" s="357"/>
      <c r="D1369" s="357"/>
      <c r="E1369" s="358"/>
      <c r="F1369" s="359" t="s">
        <v>298</v>
      </c>
      <c r="H1369" s="216" t="s">
        <v>300</v>
      </c>
      <c r="K1369" s="215"/>
      <c r="M1369" s="215"/>
      <c r="N1369" s="264"/>
      <c r="O1369" s="215"/>
      <c r="P1369" s="215"/>
      <c r="Q1369" s="215"/>
      <c r="Y1369" s="501"/>
      <c r="BI1369" s="106"/>
      <c r="BJ1369" s="106"/>
      <c r="BK1369" s="106"/>
      <c r="BL1369" s="106"/>
      <c r="BM1369" s="106"/>
      <c r="BN1369" s="106"/>
      <c r="BO1369" s="106"/>
    </row>
    <row r="1370" spans="2:67" ht="3" customHeight="1" x14ac:dyDescent="0.25">
      <c r="K1370" s="215"/>
      <c r="L1370" s="21">
        <v>1</v>
      </c>
      <c r="M1370" s="215"/>
      <c r="N1370" s="215"/>
      <c r="O1370" s="215"/>
      <c r="P1370" s="215"/>
      <c r="Q1370" s="215"/>
      <c r="Y1370" s="501"/>
      <c r="BI1370" s="106"/>
      <c r="BJ1370" s="106"/>
      <c r="BK1370" s="106"/>
      <c r="BL1370" s="106"/>
      <c r="BM1370" s="106"/>
      <c r="BN1370" s="106"/>
      <c r="BO1370" s="106"/>
    </row>
    <row r="1371" spans="2:67" x14ac:dyDescent="0.25">
      <c r="B1371" s="358"/>
      <c r="C1371" s="357"/>
      <c r="D1371" s="358"/>
      <c r="E1371" s="358"/>
      <c r="F1371" s="359" t="s">
        <v>299</v>
      </c>
      <c r="H1371" s="216" t="s">
        <v>300</v>
      </c>
      <c r="K1371" s="215"/>
      <c r="M1371" s="215"/>
      <c r="N1371" s="215"/>
      <c r="O1371" s="215"/>
      <c r="P1371" s="215"/>
      <c r="Q1371" s="215"/>
      <c r="Y1371" s="501"/>
      <c r="BI1371" s="106"/>
      <c r="BJ1371" s="106"/>
      <c r="BK1371" s="106"/>
      <c r="BL1371" s="106"/>
      <c r="BM1371" s="106"/>
      <c r="BN1371" s="106"/>
      <c r="BO1371" s="106"/>
    </row>
    <row r="1372" spans="2:67" x14ac:dyDescent="0.25">
      <c r="M1372" s="215"/>
      <c r="N1372" s="215"/>
      <c r="O1372" s="215"/>
      <c r="P1372" s="215"/>
      <c r="Q1372" s="215"/>
      <c r="Y1372" s="501"/>
      <c r="BI1372" s="106"/>
      <c r="BJ1372" s="106"/>
      <c r="BK1372" s="106"/>
      <c r="BL1372" s="106"/>
      <c r="BM1372" s="106"/>
      <c r="BN1372" s="106"/>
      <c r="BO1372" s="106"/>
    </row>
    <row r="1373" spans="2:67" x14ac:dyDescent="0.25">
      <c r="B1373" s="235" t="s">
        <v>301</v>
      </c>
      <c r="C1373" s="215"/>
      <c r="D1373" s="215"/>
      <c r="E1373" s="215"/>
      <c r="F1373" s="225"/>
      <c r="G1373" s="215"/>
      <c r="H1373" s="215"/>
      <c r="I1373" s="215"/>
      <c r="J1373" s="215"/>
      <c r="K1373" s="215"/>
      <c r="L1373" s="215"/>
      <c r="M1373" s="215"/>
      <c r="N1373" s="215"/>
      <c r="O1373" s="215"/>
      <c r="P1373" s="215"/>
      <c r="Q1373" s="215"/>
      <c r="Y1373" s="501"/>
      <c r="BI1373" s="106"/>
      <c r="BJ1373" s="106"/>
      <c r="BK1373" s="106"/>
      <c r="BL1373" s="106"/>
      <c r="BM1373" s="106"/>
      <c r="BN1373" s="106"/>
      <c r="BO1373" s="106"/>
    </row>
    <row r="1374" spans="2:67" ht="159.94999999999999" customHeight="1" x14ac:dyDescent="0.25">
      <c r="B1374" s="736"/>
      <c r="C1374" s="737"/>
      <c r="D1374" s="737"/>
      <c r="E1374" s="737"/>
      <c r="F1374" s="737"/>
      <c r="G1374" s="737"/>
      <c r="H1374" s="737"/>
      <c r="I1374" s="737"/>
      <c r="J1374" s="737"/>
      <c r="K1374" s="737"/>
      <c r="L1374" s="737"/>
      <c r="M1374" s="737"/>
      <c r="N1374" s="737"/>
      <c r="O1374" s="737"/>
      <c r="P1374" s="738"/>
      <c r="Q1374" s="416"/>
      <c r="Y1374" s="501"/>
      <c r="AI1374" s="512"/>
      <c r="AJ1374" s="512"/>
      <c r="BI1374" s="106"/>
      <c r="BJ1374" s="106"/>
      <c r="BK1374" s="106"/>
      <c r="BL1374" s="106"/>
      <c r="BM1374" s="106"/>
      <c r="BN1374" s="106"/>
      <c r="BO1374" s="106"/>
    </row>
    <row r="1375" spans="2:67" ht="24.95" customHeight="1" x14ac:dyDescent="0.25">
      <c r="B1375" s="204"/>
      <c r="C1375" s="294"/>
      <c r="D1375" s="294"/>
      <c r="E1375" s="294"/>
      <c r="F1375" s="294"/>
      <c r="G1375" s="294"/>
      <c r="H1375" s="294"/>
      <c r="I1375" s="294"/>
      <c r="J1375" s="294"/>
      <c r="K1375" s="294"/>
      <c r="L1375" s="294"/>
      <c r="M1375" s="294"/>
      <c r="N1375" s="294"/>
      <c r="O1375" s="294"/>
      <c r="P1375" s="294"/>
      <c r="Q1375" s="294"/>
      <c r="Y1375" s="501"/>
      <c r="BI1375" s="106"/>
      <c r="BJ1375" s="106"/>
      <c r="BK1375" s="106"/>
      <c r="BL1375" s="106"/>
      <c r="BM1375" s="106"/>
      <c r="BN1375" s="106"/>
      <c r="BO1375" s="106"/>
    </row>
    <row r="1376" spans="2:67" ht="24.95" customHeight="1" x14ac:dyDescent="0.25">
      <c r="B1376" s="360" t="s">
        <v>675</v>
      </c>
      <c r="C1376" s="361"/>
      <c r="D1376" s="361"/>
      <c r="E1376" s="361"/>
      <c r="F1376" s="361"/>
      <c r="G1376" s="361"/>
      <c r="H1376" s="361"/>
      <c r="I1376" s="361"/>
      <c r="J1376" s="361"/>
      <c r="K1376" s="361"/>
      <c r="L1376" s="361"/>
      <c r="M1376" s="361"/>
      <c r="N1376" s="362"/>
      <c r="O1376" s="362"/>
      <c r="P1376" s="363"/>
      <c r="Q1376" s="363"/>
      <c r="S1376" s="11"/>
      <c r="Y1376" s="501"/>
      <c r="BI1376" s="106"/>
      <c r="BJ1376" s="106"/>
      <c r="BK1376" s="106"/>
      <c r="BL1376" s="106"/>
      <c r="BM1376" s="106"/>
      <c r="BN1376" s="106"/>
      <c r="BO1376" s="106"/>
    </row>
    <row r="1377" spans="2:67" ht="15" customHeight="1" x14ac:dyDescent="0.25">
      <c r="Y1377" s="501"/>
      <c r="BI1377" s="106"/>
      <c r="BJ1377" s="106"/>
      <c r="BK1377" s="106"/>
      <c r="BL1377" s="106"/>
      <c r="BM1377" s="106"/>
      <c r="BN1377" s="106"/>
      <c r="BO1377" s="106"/>
    </row>
    <row r="1378" spans="2:67" ht="15" customHeight="1" x14ac:dyDescent="0.25">
      <c r="B1378" s="27" t="s">
        <v>676</v>
      </c>
      <c r="C1378" s="13"/>
      <c r="D1378" s="236"/>
      <c r="E1378" s="237"/>
      <c r="F1378" s="237"/>
      <c r="G1378" s="237"/>
      <c r="H1378" s="237"/>
      <c r="I1378" s="237"/>
      <c r="J1378" s="237"/>
      <c r="K1378" s="237"/>
      <c r="L1378" s="237"/>
      <c r="M1378" s="237"/>
      <c r="N1378" s="237"/>
      <c r="O1378" s="237"/>
      <c r="P1378" s="329" t="str">
        <f>IF(ADPT=ADPT02,AIS_statement32,IF(AND(ADBT0=ADBT2,ADIND_option01=AD_no,ADIND_option03=AD_no),AIS_statement32,""))</f>
        <v/>
      </c>
      <c r="Q1378" s="240"/>
      <c r="Y1378" s="501"/>
      <c r="BI1378" s="106"/>
      <c r="BJ1378" s="106"/>
      <c r="BK1378" s="106"/>
      <c r="BL1378" s="106"/>
      <c r="BM1378" s="106"/>
      <c r="BN1378" s="106"/>
      <c r="BO1378" s="106"/>
    </row>
    <row r="1379" spans="2:67" x14ac:dyDescent="0.25">
      <c r="B1379" s="215"/>
      <c r="C1379" s="215"/>
      <c r="D1379" s="215"/>
      <c r="E1379" s="215"/>
      <c r="F1379" s="215"/>
      <c r="G1379" s="215"/>
      <c r="H1379" s="215"/>
      <c r="I1379" s="215"/>
      <c r="J1379" s="215"/>
      <c r="K1379" s="215"/>
      <c r="L1379" s="215"/>
      <c r="M1379" s="215"/>
      <c r="N1379" s="215"/>
      <c r="O1379" s="215"/>
      <c r="P1379" s="215"/>
      <c r="Q1379" s="215"/>
      <c r="Y1379" s="501"/>
      <c r="BI1379" s="106"/>
      <c r="BJ1379" s="106"/>
      <c r="BK1379" s="106"/>
      <c r="BL1379" s="106"/>
      <c r="BM1379" s="106"/>
      <c r="BN1379" s="106"/>
      <c r="BO1379" s="106"/>
    </row>
    <row r="1380" spans="2:67" x14ac:dyDescent="0.25">
      <c r="B1380" s="357"/>
      <c r="C1380" s="357"/>
      <c r="D1380" s="358"/>
      <c r="E1380" s="358"/>
      <c r="F1380" s="359" t="s">
        <v>284</v>
      </c>
      <c r="G1380" s="215"/>
      <c r="H1380" s="216">
        <f>IF(Pol01_01=AIS_statement32,AIS_NA,3)</f>
        <v>3</v>
      </c>
      <c r="J1380" s="357"/>
      <c r="K1380" s="357"/>
      <c r="L1380" s="357"/>
      <c r="M1380" s="357"/>
      <c r="N1380" s="359" t="s">
        <v>285</v>
      </c>
      <c r="P1380" s="217" t="str">
        <f>IF(ISERROR(IF(Pol01_01=AIS_statement32,AIS_NA,(BP_41/BP_09)*Pol01_credits)),"",IF(Pol01_01=AIS_statement32,AIS_NA,(BP_41/BP_09)*Pol01_credits))</f>
        <v/>
      </c>
      <c r="Q1380" s="217"/>
      <c r="R1380" s="709" t="str">
        <f>IF(ADPT=ADPT02,"",IF(Pol01_01=AIS_statement32,AIS_statement72,AIS_statement75))</f>
        <v>Note: The data required for this assessment issue is sourced from the separate BREEAM Pol 01 calculator.</v>
      </c>
      <c r="S1380" s="732"/>
      <c r="T1380" s="732"/>
      <c r="U1380" s="732"/>
      <c r="V1380" s="732"/>
      <c r="W1380" s="732"/>
      <c r="Y1380" s="501"/>
      <c r="BI1380" s="106"/>
      <c r="BJ1380" s="106"/>
      <c r="BK1380" s="106"/>
      <c r="BL1380" s="106"/>
      <c r="BM1380" s="106"/>
      <c r="BN1380" s="106"/>
      <c r="BO1380" s="106"/>
    </row>
    <row r="1381" spans="2:67" ht="3.75" customHeight="1" x14ac:dyDescent="0.25">
      <c r="R1381" s="732"/>
      <c r="S1381" s="732"/>
      <c r="T1381" s="732"/>
      <c r="U1381" s="732"/>
      <c r="V1381" s="732"/>
      <c r="W1381" s="732"/>
      <c r="Y1381" s="501"/>
      <c r="BI1381" s="106"/>
      <c r="BJ1381" s="106"/>
      <c r="BK1381" s="106"/>
      <c r="BL1381" s="106"/>
      <c r="BM1381" s="106"/>
      <c r="BN1381" s="106"/>
      <c r="BO1381" s="106"/>
    </row>
    <row r="1382" spans="2:67" x14ac:dyDescent="0.25">
      <c r="B1382" s="357"/>
      <c r="C1382" s="357"/>
      <c r="D1382" s="358"/>
      <c r="E1382" s="358"/>
      <c r="F1382" s="359" t="s">
        <v>286</v>
      </c>
      <c r="G1382" s="215"/>
      <c r="H1382" s="216">
        <f>IF(Pol01_01=AIS_statement32,AIS_NA,0)</f>
        <v>0</v>
      </c>
      <c r="J1382" s="358"/>
      <c r="K1382" s="358"/>
      <c r="L1382" s="358"/>
      <c r="M1382" s="358"/>
      <c r="N1382" s="359" t="s">
        <v>287</v>
      </c>
      <c r="O1382" s="215"/>
      <c r="P1382" s="216" t="str">
        <f>IF(Pol01_01=AIS_statement32,AIS_NA,AIS_No)</f>
        <v>No</v>
      </c>
      <c r="Q1382" s="216"/>
      <c r="R1382" s="732"/>
      <c r="S1382" s="732"/>
      <c r="T1382" s="732"/>
      <c r="U1382" s="732"/>
      <c r="V1382" s="732"/>
      <c r="W1382" s="732"/>
      <c r="Y1382" s="501"/>
      <c r="BI1382" s="106"/>
      <c r="BJ1382" s="106"/>
      <c r="BK1382" s="106"/>
      <c r="BL1382" s="106"/>
      <c r="BM1382" s="106"/>
      <c r="BN1382" s="106"/>
      <c r="BO1382" s="106"/>
    </row>
    <row r="1383" spans="2:67" ht="47.25" customHeight="1" x14ac:dyDescent="0.25">
      <c r="B1383" s="238" t="s">
        <v>288</v>
      </c>
      <c r="L1383" s="242" t="s">
        <v>290</v>
      </c>
      <c r="N1383" s="242" t="s">
        <v>291</v>
      </c>
      <c r="P1383" s="242"/>
      <c r="Q1383" s="242"/>
      <c r="R1383" s="765"/>
      <c r="S1383" s="765"/>
      <c r="T1383" s="765"/>
      <c r="U1383" s="765"/>
      <c r="V1383" s="765"/>
      <c r="W1383" s="765"/>
      <c r="Y1383" s="501"/>
      <c r="BI1383" s="106"/>
      <c r="BJ1383" s="106"/>
      <c r="BK1383" s="106"/>
      <c r="BL1383" s="106"/>
      <c r="BM1383" s="106"/>
      <c r="BN1383" s="106"/>
      <c r="BO1383" s="106"/>
    </row>
    <row r="1384" spans="2:67" ht="3" customHeight="1" x14ac:dyDescent="0.25">
      <c r="L1384" s="242"/>
      <c r="N1384" s="242"/>
      <c r="P1384" s="246"/>
      <c r="Q1384" s="246"/>
      <c r="R1384" s="317"/>
      <c r="S1384" s="56"/>
      <c r="T1384" s="56"/>
      <c r="U1384" s="56"/>
      <c r="V1384" s="56"/>
      <c r="W1384" s="56"/>
      <c r="Y1384" s="501"/>
      <c r="BI1384" s="106"/>
      <c r="BJ1384" s="106"/>
      <c r="BK1384" s="106"/>
      <c r="BL1384" s="106"/>
      <c r="BM1384" s="106"/>
      <c r="BN1384" s="106"/>
      <c r="BO1384" s="106"/>
    </row>
    <row r="1385" spans="2:67" ht="15.75" customHeight="1" x14ac:dyDescent="0.25">
      <c r="B1385" s="357"/>
      <c r="C1385" s="357"/>
      <c r="D1385" s="358"/>
      <c r="E1385" s="358"/>
      <c r="F1385" s="358"/>
      <c r="G1385" s="358"/>
      <c r="H1385" s="359" t="s">
        <v>677</v>
      </c>
      <c r="J1385" s="223"/>
      <c r="L1385" s="224">
        <f>IF(Pol01_01=AIS_statement32,AIS_NA,IF(Pol01_02=AIS_No,Pol01_credits,Pol01_credits-1))</f>
        <v>2</v>
      </c>
      <c r="M1385" s="215"/>
      <c r="N1385" s="270" t="b">
        <f>IF(Pol01_01=AIS_statement32,AIS_NA,Pol01_17)</f>
        <v>0</v>
      </c>
      <c r="R1385" s="319"/>
      <c r="S1385" s="319"/>
      <c r="T1385" s="319"/>
      <c r="U1385" s="319"/>
      <c r="V1385" s="319"/>
      <c r="W1385" s="319"/>
      <c r="X1385" s="319"/>
      <c r="Y1385" s="501"/>
      <c r="BI1385" s="106"/>
      <c r="BJ1385" s="106"/>
      <c r="BK1385" s="106"/>
      <c r="BL1385" s="106"/>
      <c r="BM1385" s="106"/>
      <c r="BN1385" s="106"/>
      <c r="BO1385" s="106"/>
    </row>
    <row r="1386" spans="2:67" ht="15" customHeight="1" x14ac:dyDescent="0.25">
      <c r="B1386" s="476"/>
      <c r="C1386" s="476"/>
      <c r="D1386" s="476"/>
      <c r="E1386" s="476"/>
      <c r="F1386" s="476"/>
      <c r="G1386" s="476"/>
      <c r="H1386" s="359" t="s">
        <v>678</v>
      </c>
      <c r="J1386" s="471"/>
      <c r="L1386" s="252"/>
      <c r="M1386" s="215"/>
      <c r="N1386" s="300"/>
      <c r="R1386" s="319"/>
      <c r="S1386" s="319"/>
      <c r="T1386" s="319"/>
      <c r="U1386" s="319"/>
      <c r="V1386" s="319"/>
      <c r="W1386" s="319"/>
      <c r="X1386" s="319"/>
      <c r="Y1386" s="501"/>
      <c r="BI1386" s="106"/>
      <c r="BJ1386" s="106"/>
      <c r="BK1386" s="106"/>
      <c r="BL1386" s="106"/>
      <c r="BM1386" s="106"/>
      <c r="BN1386" s="106"/>
      <c r="BO1386" s="106"/>
    </row>
    <row r="1387" spans="2:67" x14ac:dyDescent="0.25">
      <c r="B1387" s="358"/>
      <c r="C1387" s="358"/>
      <c r="D1387" s="358"/>
      <c r="E1387" s="358"/>
      <c r="F1387" s="358"/>
      <c r="G1387" s="358"/>
      <c r="H1387" s="359" t="s">
        <v>679</v>
      </c>
      <c r="J1387" s="223"/>
      <c r="K1387" s="215"/>
      <c r="R1387" s="709" t="str">
        <f>IF(Pol01_01=AIS_statement32,"",IF(Pol01_07="",IF(Pol01_06=AIS_Yes,AIS_statement77,AIS_statement78),""))</f>
        <v>Instruction: If the total Direct Effect Life Cycle CO2eq. emissions from the system have not been calculated state "INA", i.e. Indicator Not Assessed, in the relevant cells.</v>
      </c>
      <c r="S1387" s="709"/>
      <c r="T1387" s="709"/>
      <c r="U1387" s="709"/>
      <c r="V1387" s="709"/>
      <c r="W1387" s="709"/>
      <c r="X1387" s="709"/>
      <c r="Y1387" s="501"/>
      <c r="BI1387" s="106"/>
      <c r="BJ1387" s="106"/>
      <c r="BK1387" s="106"/>
      <c r="BL1387" s="106"/>
      <c r="BM1387" s="106"/>
      <c r="BN1387" s="106"/>
      <c r="BO1387" s="106"/>
    </row>
    <row r="1388" spans="2:67" ht="18.75" x14ac:dyDescent="0.25">
      <c r="B1388" s="358"/>
      <c r="C1388" s="358"/>
      <c r="D1388" s="358"/>
      <c r="E1388" s="358"/>
      <c r="F1388" s="358"/>
      <c r="G1388" s="358"/>
      <c r="H1388" s="359" t="s">
        <v>680</v>
      </c>
      <c r="J1388" s="223"/>
      <c r="K1388" s="215"/>
      <c r="L1388" s="313" t="str">
        <f>IF(Pol01_01=AIS_statement32,"",AIS_units24)</f>
        <v>kgCO2eq/kW coolth capacity</v>
      </c>
      <c r="R1388" s="709"/>
      <c r="S1388" s="709"/>
      <c r="T1388" s="709"/>
      <c r="U1388" s="709"/>
      <c r="V1388" s="709"/>
      <c r="W1388" s="709"/>
      <c r="X1388" s="709"/>
      <c r="Y1388" s="501"/>
      <c r="AB1388" s="502"/>
      <c r="BI1388" s="106"/>
      <c r="BJ1388" s="106"/>
      <c r="BK1388" s="106"/>
      <c r="BL1388" s="106"/>
      <c r="BM1388" s="106"/>
      <c r="BN1388" s="106"/>
      <c r="BO1388" s="106"/>
    </row>
    <row r="1389" spans="2:67" x14ac:dyDescent="0.25">
      <c r="B1389" s="358"/>
      <c r="C1389" s="358"/>
      <c r="D1389" s="358"/>
      <c r="E1389" s="358"/>
      <c r="F1389" s="358"/>
      <c r="G1389" s="358"/>
      <c r="H1389" s="359" t="s">
        <v>681</v>
      </c>
      <c r="J1389" s="223"/>
      <c r="K1389" s="215"/>
      <c r="L1389" s="320" t="str">
        <f>IF(Pol01_01=AIS_statement32,"",AIS_units25)</f>
        <v>kW</v>
      </c>
      <c r="R1389" s="319"/>
      <c r="S1389" s="319"/>
      <c r="T1389" s="319"/>
      <c r="U1389" s="319"/>
      <c r="V1389" s="319"/>
      <c r="W1389" s="319"/>
      <c r="X1389" s="319"/>
      <c r="Y1389" s="501"/>
      <c r="AB1389" s="502"/>
      <c r="BI1389" s="106"/>
      <c r="BJ1389" s="106"/>
      <c r="BK1389" s="106"/>
      <c r="BL1389" s="106"/>
      <c r="BM1389" s="106"/>
      <c r="BN1389" s="106"/>
      <c r="BO1389" s="106"/>
    </row>
    <row r="1390" spans="2:67" x14ac:dyDescent="0.25">
      <c r="B1390" s="358"/>
      <c r="C1390" s="358"/>
      <c r="D1390" s="358"/>
      <c r="E1390" s="358"/>
      <c r="F1390" s="358"/>
      <c r="G1390" s="358"/>
      <c r="H1390" s="359" t="s">
        <v>682</v>
      </c>
      <c r="J1390" s="223"/>
      <c r="K1390" s="215"/>
      <c r="L1390" s="224">
        <f>IF(Pol01_01=AIS_statement32,AIS_NA,IF(Pol01_02=AIS_No,0,1))</f>
        <v>1</v>
      </c>
      <c r="M1390" s="215"/>
      <c r="N1390" s="270">
        <f>IF(Pol01_01=AIS_statement32,AIS_NA,IF(AND(Pol01_08=AIS_Yes,OR(Pol01_18=AIS_option00,Pol01_18=AIS_option01,Pol01_18=AIS_option03,Pol01_18=AIS_option05)),Pol01_09,IF(AND(Pol01_08=AIS_Yes,Pol01_18=AIS_option02),Pol01_09*0.5,IF(Pol01_18=AIS_option04,0,IF(Pol01_08=AIS_Yes,Pol01_09,0)))))</f>
        <v>0</v>
      </c>
      <c r="O1390" s="215"/>
      <c r="P1390" s="400"/>
      <c r="Q1390" s="400"/>
      <c r="R1390" s="319"/>
      <c r="S1390" s="319"/>
      <c r="T1390" s="319"/>
      <c r="U1390" s="319"/>
      <c r="V1390" s="319"/>
      <c r="W1390" s="319"/>
      <c r="X1390" s="319"/>
      <c r="Y1390" s="501"/>
      <c r="AB1390" s="502"/>
      <c r="BI1390" s="106"/>
      <c r="BJ1390" s="106"/>
      <c r="BK1390" s="106"/>
      <c r="BL1390" s="106"/>
      <c r="BM1390" s="106"/>
      <c r="BN1390" s="106"/>
      <c r="BO1390" s="106"/>
    </row>
    <row r="1391" spans="2:67" ht="15.6" customHeight="1" x14ac:dyDescent="0.25">
      <c r="R1391" s="210"/>
      <c r="S1391" s="595"/>
      <c r="T1391" s="595"/>
      <c r="U1391" s="595"/>
      <c r="V1391" s="595"/>
      <c r="W1391" s="595"/>
      <c r="Y1391" s="501"/>
      <c r="AB1391" s="502"/>
      <c r="BI1391" s="106"/>
      <c r="BJ1391" s="106"/>
      <c r="BK1391" s="106"/>
      <c r="BL1391" s="106"/>
      <c r="BM1391" s="106"/>
      <c r="BN1391" s="106"/>
      <c r="BO1391" s="106"/>
    </row>
    <row r="1392" spans="2:67" x14ac:dyDescent="0.25">
      <c r="B1392" s="358"/>
      <c r="C1392" s="357"/>
      <c r="D1392" s="357"/>
      <c r="E1392" s="358"/>
      <c r="F1392" s="359" t="s">
        <v>296</v>
      </c>
      <c r="G1392" s="215"/>
      <c r="H1392" s="216">
        <f>IF(Pol01_01=AIS_statement32,AIS_NA,IF(ISERROR(Pol01_Tot_Err),0,Pol01_Tot_Err))</f>
        <v>0</v>
      </c>
      <c r="J1392" s="215"/>
      <c r="K1392" s="215"/>
      <c r="M1392" s="215"/>
      <c r="N1392" s="215"/>
      <c r="O1392" s="215"/>
      <c r="P1392" s="215"/>
      <c r="Q1392" s="215"/>
      <c r="R1392" s="595"/>
      <c r="S1392" s="595"/>
      <c r="T1392" s="595"/>
      <c r="U1392" s="595"/>
      <c r="V1392" s="595"/>
      <c r="W1392" s="595"/>
      <c r="Y1392" s="501"/>
      <c r="AB1392" s="518"/>
      <c r="BI1392" s="106"/>
      <c r="BJ1392" s="106"/>
      <c r="BK1392" s="106"/>
      <c r="BL1392" s="106"/>
      <c r="BM1392" s="106"/>
      <c r="BN1392" s="106"/>
      <c r="BO1392" s="106"/>
    </row>
    <row r="1393" spans="2:67" ht="3" customHeight="1" x14ac:dyDescent="0.25">
      <c r="B1393" s="215"/>
      <c r="E1393" s="215"/>
      <c r="F1393" s="225"/>
      <c r="G1393" s="215"/>
      <c r="H1393" s="252"/>
      <c r="J1393" s="215"/>
      <c r="K1393" s="215"/>
      <c r="M1393" s="215"/>
      <c r="N1393" s="215"/>
      <c r="O1393" s="215"/>
      <c r="P1393" s="215"/>
      <c r="Q1393" s="215"/>
      <c r="R1393" s="595"/>
      <c r="S1393" s="595"/>
      <c r="T1393" s="595"/>
      <c r="U1393" s="595"/>
      <c r="V1393" s="595"/>
      <c r="W1393" s="595"/>
      <c r="Y1393" s="501"/>
      <c r="Z1393" s="518"/>
      <c r="AA1393" s="518"/>
      <c r="AB1393" s="518"/>
      <c r="AC1393" s="502"/>
      <c r="BI1393" s="106"/>
      <c r="BJ1393" s="106"/>
      <c r="BK1393" s="106"/>
      <c r="BL1393" s="106"/>
      <c r="BM1393" s="106"/>
      <c r="BN1393" s="106"/>
      <c r="BO1393" s="106"/>
    </row>
    <row r="1394" spans="2:67" x14ac:dyDescent="0.25">
      <c r="B1394" s="358"/>
      <c r="C1394" s="357"/>
      <c r="D1394" s="357"/>
      <c r="E1394" s="358"/>
      <c r="F1394" s="359" t="s">
        <v>297</v>
      </c>
      <c r="G1394" s="215"/>
      <c r="H1394" s="217" t="str">
        <f>IF(ISERROR(IF(Pol01_01=AIS_statement32,AIS_NA,(Pol01_19/Pol01_credits)*Pol01_tot)),"",IF(Pol01_01=AIS_statement32,AIS_NA,(Pol01_19/Pol01_credits)*Pol01_tot))</f>
        <v/>
      </c>
      <c r="J1394" s="215"/>
      <c r="K1394" s="215"/>
      <c r="M1394" s="215"/>
      <c r="N1394" s="215"/>
      <c r="O1394" s="215"/>
      <c r="P1394" s="215"/>
      <c r="Q1394" s="215"/>
      <c r="R1394" s="595"/>
      <c r="S1394" s="595"/>
      <c r="T1394" s="595"/>
      <c r="U1394" s="595"/>
      <c r="V1394" s="595"/>
      <c r="W1394" s="595"/>
      <c r="Y1394" s="501"/>
      <c r="Z1394" s="518"/>
      <c r="AA1394" s="518"/>
      <c r="AB1394" s="518"/>
      <c r="AC1394" s="502"/>
      <c r="BI1394" s="106"/>
      <c r="BJ1394" s="106"/>
      <c r="BK1394" s="106"/>
      <c r="BL1394" s="106"/>
      <c r="BM1394" s="106"/>
      <c r="BN1394" s="106"/>
      <c r="BO1394" s="106"/>
    </row>
    <row r="1395" spans="2:67" ht="3" customHeight="1" x14ac:dyDescent="0.25">
      <c r="K1395" s="215"/>
      <c r="M1395" s="215"/>
      <c r="N1395" s="215"/>
      <c r="O1395" s="215"/>
      <c r="P1395" s="215"/>
      <c r="Q1395" s="215"/>
      <c r="R1395" s="595"/>
      <c r="S1395" s="595"/>
      <c r="T1395" s="595"/>
      <c r="U1395" s="595"/>
      <c r="V1395" s="595"/>
      <c r="W1395" s="595"/>
      <c r="Y1395" s="501"/>
      <c r="BI1395" s="106"/>
      <c r="BJ1395" s="106"/>
      <c r="BK1395" s="106"/>
      <c r="BL1395" s="106"/>
      <c r="BM1395" s="106"/>
      <c r="BN1395" s="106"/>
      <c r="BO1395" s="106"/>
    </row>
    <row r="1396" spans="2:67" x14ac:dyDescent="0.25">
      <c r="B1396" s="358"/>
      <c r="C1396" s="357"/>
      <c r="D1396" s="357"/>
      <c r="E1396" s="358"/>
      <c r="F1396" s="359" t="s">
        <v>298</v>
      </c>
      <c r="H1396" s="216" t="s">
        <v>300</v>
      </c>
      <c r="K1396" s="215"/>
      <c r="M1396" s="215"/>
      <c r="N1396" s="215"/>
      <c r="O1396" s="215"/>
      <c r="P1396" s="215"/>
      <c r="Q1396" s="215"/>
      <c r="R1396" s="595"/>
      <c r="S1396" s="595"/>
      <c r="T1396" s="595"/>
      <c r="U1396" s="595"/>
      <c r="V1396" s="595"/>
      <c r="W1396" s="595"/>
      <c r="Y1396" s="501"/>
      <c r="BI1396" s="106"/>
      <c r="BJ1396" s="106"/>
      <c r="BK1396" s="106"/>
      <c r="BL1396" s="106"/>
      <c r="BM1396" s="106"/>
      <c r="BN1396" s="106"/>
      <c r="BO1396" s="106"/>
    </row>
    <row r="1397" spans="2:67" ht="3" customHeight="1" x14ac:dyDescent="0.25">
      <c r="K1397" s="215"/>
      <c r="M1397" s="215"/>
      <c r="N1397" s="215"/>
      <c r="O1397" s="215"/>
      <c r="P1397" s="215"/>
      <c r="Q1397" s="215"/>
      <c r="Y1397" s="501"/>
      <c r="BI1397" s="106"/>
      <c r="BJ1397" s="106"/>
      <c r="BK1397" s="106"/>
      <c r="BL1397" s="106"/>
      <c r="BM1397" s="106"/>
      <c r="BN1397" s="106"/>
      <c r="BO1397" s="106"/>
    </row>
    <row r="1398" spans="2:67" x14ac:dyDescent="0.25">
      <c r="B1398" s="358"/>
      <c r="C1398" s="357"/>
      <c r="D1398" s="358"/>
      <c r="E1398" s="358"/>
      <c r="F1398" s="359" t="s">
        <v>299</v>
      </c>
      <c r="H1398" s="216" t="s">
        <v>300</v>
      </c>
      <c r="K1398" s="215"/>
      <c r="M1398" s="215"/>
      <c r="O1398" s="215"/>
      <c r="P1398" s="215"/>
      <c r="Q1398" s="215"/>
      <c r="Y1398" s="501"/>
      <c r="BI1398" s="106"/>
      <c r="BJ1398" s="106"/>
      <c r="BK1398" s="106"/>
      <c r="BL1398" s="106"/>
      <c r="BM1398" s="106"/>
      <c r="BN1398" s="106"/>
      <c r="BO1398" s="106"/>
    </row>
    <row r="1399" spans="2:67" x14ac:dyDescent="0.25">
      <c r="M1399" s="215"/>
      <c r="N1399" s="215"/>
      <c r="O1399" s="215"/>
      <c r="P1399" s="215"/>
      <c r="Q1399" s="215"/>
      <c r="Y1399" s="501"/>
      <c r="BI1399" s="106"/>
      <c r="BJ1399" s="106"/>
      <c r="BK1399" s="106"/>
      <c r="BL1399" s="106"/>
      <c r="BM1399" s="106"/>
      <c r="BN1399" s="106"/>
      <c r="BO1399" s="106"/>
    </row>
    <row r="1400" spans="2:67" x14ac:dyDescent="0.25">
      <c r="B1400" s="235" t="s">
        <v>301</v>
      </c>
      <c r="C1400" s="215"/>
      <c r="D1400" s="215"/>
      <c r="E1400" s="215"/>
      <c r="F1400" s="225"/>
      <c r="G1400" s="215"/>
      <c r="H1400" s="215"/>
      <c r="I1400" s="215"/>
      <c r="J1400" s="215"/>
      <c r="K1400" s="215"/>
      <c r="L1400" s="215"/>
      <c r="M1400" s="215"/>
      <c r="N1400" s="215"/>
      <c r="O1400" s="215"/>
      <c r="P1400" s="215"/>
      <c r="Q1400" s="215"/>
      <c r="Y1400" s="501"/>
      <c r="BI1400" s="106"/>
      <c r="BJ1400" s="106"/>
      <c r="BK1400" s="106"/>
      <c r="BL1400" s="106"/>
      <c r="BM1400" s="106"/>
      <c r="BN1400" s="106"/>
      <c r="BO1400" s="106"/>
    </row>
    <row r="1401" spans="2:67" ht="159.94999999999999" customHeight="1" x14ac:dyDescent="0.25">
      <c r="B1401" s="736"/>
      <c r="C1401" s="737"/>
      <c r="D1401" s="737"/>
      <c r="E1401" s="737"/>
      <c r="F1401" s="737"/>
      <c r="G1401" s="737"/>
      <c r="H1401" s="737"/>
      <c r="I1401" s="737"/>
      <c r="J1401" s="737"/>
      <c r="K1401" s="737"/>
      <c r="L1401" s="737"/>
      <c r="M1401" s="737"/>
      <c r="N1401" s="737"/>
      <c r="O1401" s="737"/>
      <c r="P1401" s="738"/>
      <c r="Q1401" s="209"/>
      <c r="Y1401" s="501"/>
      <c r="BI1401" s="106"/>
      <c r="BJ1401" s="106"/>
      <c r="BK1401" s="106"/>
      <c r="BL1401" s="106"/>
      <c r="BM1401" s="106"/>
      <c r="BN1401" s="106"/>
      <c r="BO1401" s="106"/>
    </row>
    <row r="1402" spans="2:67" ht="36" customHeight="1" x14ac:dyDescent="0.35">
      <c r="B1402" s="617" t="s">
        <v>683</v>
      </c>
      <c r="C1402" s="13"/>
      <c r="D1402" s="236"/>
      <c r="E1402" s="237"/>
      <c r="F1402" s="237"/>
      <c r="G1402" s="237"/>
      <c r="H1402" s="237"/>
      <c r="I1402" s="237"/>
      <c r="J1402" s="237"/>
      <c r="K1402" s="237"/>
      <c r="L1402" s="237"/>
      <c r="M1402" s="237"/>
      <c r="N1402" s="237"/>
      <c r="O1402" s="237"/>
      <c r="P1402" s="329" t="str">
        <f>IF(ADPT=ADPT02,AIS_statement32,IF(Pol02_credits=AIS_NA,AIS_statement32,""))</f>
        <v/>
      </c>
      <c r="Q1402" s="240"/>
      <c r="R1402" s="709" t="str">
        <f>IF(Pol02_24=AIS_statement32,"",AIS_Statement104)</f>
        <v>Note: Credits for this issue are determined on the basis of NOx emissions from space heating systems only, and for some building types space and water heating systems. However, where cooling is specified information on the performance of the cooling system is required for the purposes of reporting and benchmarking.</v>
      </c>
      <c r="S1402" s="709"/>
      <c r="T1402" s="709"/>
      <c r="U1402" s="709"/>
      <c r="V1402" s="709"/>
      <c r="W1402" s="709"/>
      <c r="X1402" s="709"/>
      <c r="Y1402" s="501"/>
      <c r="BI1402" s="106"/>
      <c r="BJ1402" s="106"/>
      <c r="BK1402" s="106"/>
      <c r="BL1402" s="106"/>
      <c r="BM1402" s="106"/>
      <c r="BN1402" s="106"/>
      <c r="BO1402" s="106"/>
    </row>
    <row r="1403" spans="2:67" ht="34.5" customHeight="1" x14ac:dyDescent="0.25">
      <c r="B1403" s="215"/>
      <c r="C1403" s="215"/>
      <c r="D1403" s="215"/>
      <c r="E1403" s="215"/>
      <c r="F1403" s="215"/>
      <c r="G1403" s="215"/>
      <c r="H1403" s="215"/>
      <c r="I1403" s="215"/>
      <c r="J1403" s="215"/>
      <c r="K1403" s="215"/>
      <c r="L1403" s="215"/>
      <c r="M1403" s="215"/>
      <c r="N1403" s="215"/>
      <c r="O1403" s="215"/>
      <c r="P1403" s="215"/>
      <c r="Q1403" s="215"/>
      <c r="R1403" s="709"/>
      <c r="S1403" s="709"/>
      <c r="T1403" s="709"/>
      <c r="U1403" s="709"/>
      <c r="V1403" s="709"/>
      <c r="W1403" s="709"/>
      <c r="X1403" s="709"/>
      <c r="Y1403" s="501"/>
      <c r="BI1403" s="106"/>
      <c r="BJ1403" s="106"/>
      <c r="BK1403" s="106"/>
      <c r="BL1403" s="106"/>
      <c r="BM1403" s="106"/>
      <c r="BN1403" s="106"/>
      <c r="BO1403" s="106"/>
    </row>
    <row r="1404" spans="2:67" ht="15.75" customHeight="1" x14ac:dyDescent="0.25">
      <c r="B1404" s="357"/>
      <c r="C1404" s="357"/>
      <c r="D1404" s="358"/>
      <c r="E1404" s="358"/>
      <c r="F1404" s="359" t="s">
        <v>284</v>
      </c>
      <c r="G1404" s="215"/>
      <c r="H1404" s="216" t="str">
        <f>IF(ADPT=ADPT02,AIS_NA,IF(OR(ADBT0=ADBT1,ADBT0=ADBT3,ADBT0=ADBT7,ADBT0=ADBT10,ADBT0=ADBT11,ADBT0=ADBT12,ADBT0=ADBT4,ADBT0=ADBT5,ADBT0=ADBT6,ADBT0=ADBT8,ADBT0=ADBT9),2,IF(AND(ADBT0=ADBT2,ADIND_option01=AD_no,ADIND_option02=AD_no),AIS_NA,IF(AND(ADBT0=ADBT2,ADIND_option01=AD_no,ADIND_option02=AD_Yes),1,IF(AND(ADBT0=ADBT2,ADIND_option01=AD_Yes,ADIND_option02=AD_no),1,IF(AND(ADBT0=ADBT2,ADIND_option01=AD_Yes,ADIND_option02=AD_Yes),2,AIS_Missing_data))))))</f>
        <v>Missing data</v>
      </c>
      <c r="J1404" s="357"/>
      <c r="K1404" s="357"/>
      <c r="L1404" s="357"/>
      <c r="M1404" s="357"/>
      <c r="N1404" s="359" t="s">
        <v>285</v>
      </c>
      <c r="P1404" s="217" t="str">
        <f>IF(ISERROR(IF(Pol02_24=AIS_statement32,AIS_NA,(BP_41/BP_09)*Pol02_credits)),"",IF(Pol02_24=AIS_statement32,AIS_NA,(BP_41/BP_09)*Pol02_credits))</f>
        <v/>
      </c>
      <c r="Q1404" s="217"/>
      <c r="S1404" s="210"/>
      <c r="T1404" s="210"/>
      <c r="U1404" s="210"/>
      <c r="V1404" s="210"/>
      <c r="W1404" s="210"/>
      <c r="X1404" s="210"/>
      <c r="Y1404" s="501"/>
      <c r="BI1404" s="106"/>
      <c r="BJ1404" s="106"/>
      <c r="BK1404" s="106"/>
      <c r="BL1404" s="106"/>
      <c r="BM1404" s="106"/>
      <c r="BN1404" s="106"/>
      <c r="BO1404" s="106"/>
    </row>
    <row r="1405" spans="2:67" ht="3.75" customHeight="1" x14ac:dyDescent="0.25">
      <c r="R1405" s="210"/>
      <c r="S1405" s="210"/>
      <c r="T1405" s="210"/>
      <c r="U1405" s="210"/>
      <c r="V1405" s="210"/>
      <c r="W1405" s="210"/>
      <c r="X1405" s="210"/>
      <c r="Y1405" s="501"/>
      <c r="BI1405" s="106"/>
      <c r="BJ1405" s="106"/>
      <c r="BK1405" s="106"/>
      <c r="BL1405" s="106"/>
      <c r="BM1405" s="106"/>
      <c r="BN1405" s="106"/>
      <c r="BO1405" s="106"/>
    </row>
    <row r="1406" spans="2:67" ht="15.75" customHeight="1" x14ac:dyDescent="0.25">
      <c r="B1406" s="357"/>
      <c r="C1406" s="357"/>
      <c r="D1406" s="358"/>
      <c r="E1406" s="358"/>
      <c r="F1406" s="359" t="s">
        <v>286</v>
      </c>
      <c r="G1406" s="215"/>
      <c r="H1406" s="216">
        <f>IF(Pol02_24=AIS_statement32,AIS_NA,0)</f>
        <v>0</v>
      </c>
      <c r="J1406" s="358"/>
      <c r="K1406" s="358"/>
      <c r="L1406" s="358"/>
      <c r="M1406" s="358"/>
      <c r="N1406" s="359" t="s">
        <v>287</v>
      </c>
      <c r="O1406" s="215"/>
      <c r="P1406" s="216" t="str">
        <f>IF(Pol02_24=AIS_statement32,AIS_NA,AIS_No)</f>
        <v>No</v>
      </c>
      <c r="Q1406" s="216"/>
      <c r="R1406" s="709" t="str">
        <f>IF(Pol02_24=AIS_statement32,"",AIS_Statement103)</f>
        <v>Instruction: If the building has not specified mechanical cooling then insert zero in the 'NOx emission level - cooling' box. If cooling is, or will be specified then enter the NOx emissions level for the system. If heating and cooling is provided by the same system then pro-rata the overall NOx emissions according to modelled heating/cooling demand in the building and enter the relevant values in each box.</v>
      </c>
      <c r="S1406" s="709"/>
      <c r="T1406" s="709"/>
      <c r="U1406" s="709"/>
      <c r="V1406" s="709"/>
      <c r="W1406" s="709"/>
      <c r="X1406" s="709"/>
      <c r="Y1406" s="501"/>
      <c r="BI1406" s="106"/>
      <c r="BJ1406" s="106"/>
      <c r="BK1406" s="106"/>
      <c r="BL1406" s="106"/>
      <c r="BM1406" s="106"/>
      <c r="BN1406" s="106"/>
      <c r="BO1406" s="106"/>
    </row>
    <row r="1407" spans="2:67" ht="47.25" customHeight="1" x14ac:dyDescent="0.25">
      <c r="B1407" s="238" t="s">
        <v>288</v>
      </c>
      <c r="C1407" s="239"/>
      <c r="D1407" s="235"/>
      <c r="E1407" s="239"/>
      <c r="F1407" s="240"/>
      <c r="G1407" s="238"/>
      <c r="H1407" s="238"/>
      <c r="I1407" s="238"/>
      <c r="J1407" s="241"/>
      <c r="K1407" s="241"/>
      <c r="P1407" s="242"/>
      <c r="Q1407" s="242"/>
      <c r="R1407" s="709"/>
      <c r="S1407" s="709"/>
      <c r="T1407" s="709"/>
      <c r="U1407" s="709"/>
      <c r="V1407" s="709"/>
      <c r="W1407" s="709"/>
      <c r="X1407" s="709"/>
      <c r="Y1407" s="501"/>
      <c r="BI1407" s="106"/>
      <c r="BJ1407" s="106"/>
      <c r="BK1407" s="106"/>
      <c r="BL1407" s="106"/>
      <c r="BM1407" s="106"/>
      <c r="BN1407" s="106"/>
      <c r="BO1407" s="106"/>
    </row>
    <row r="1408" spans="2:67" ht="15" customHeight="1" x14ac:dyDescent="0.25">
      <c r="B1408" s="352"/>
      <c r="C1408" s="352"/>
      <c r="D1408" s="352"/>
      <c r="E1408" s="352"/>
      <c r="F1408" s="352"/>
      <c r="G1408" s="352"/>
      <c r="H1408" s="328" t="s">
        <v>684</v>
      </c>
      <c r="I1408" s="418"/>
      <c r="J1408" s="223"/>
      <c r="K1408" s="245"/>
      <c r="L1408" s="320" t="str">
        <f>IF(Pol02_24=AIS_statement32,"",AIS_units27)</f>
        <v>mg/kWh</v>
      </c>
      <c r="O1408" s="218"/>
      <c r="P1408" s="246"/>
      <c r="Q1408" s="246"/>
      <c r="R1408" s="210"/>
      <c r="S1408" s="210"/>
      <c r="T1408" s="210"/>
      <c r="U1408" s="210"/>
      <c r="V1408" s="210"/>
      <c r="W1408" s="210"/>
      <c r="X1408" s="210"/>
      <c r="Y1408" s="501"/>
      <c r="BI1408" s="106"/>
      <c r="BJ1408" s="106"/>
      <c r="BK1408" s="106"/>
      <c r="BL1408" s="106"/>
      <c r="BM1408" s="106"/>
      <c r="BN1408" s="106"/>
      <c r="BO1408" s="106"/>
    </row>
    <row r="1409" spans="2:67" ht="15.75" customHeight="1" x14ac:dyDescent="0.35">
      <c r="B1409" s="358"/>
      <c r="C1409" s="358"/>
      <c r="D1409" s="358"/>
      <c r="E1409" s="358"/>
      <c r="F1409" s="359"/>
      <c r="G1409" s="358"/>
      <c r="H1409" s="364" t="s">
        <v>685</v>
      </c>
      <c r="I1409" s="402"/>
      <c r="J1409" s="289"/>
      <c r="K1409" s="215"/>
      <c r="L1409" s="320" t="str">
        <f>IF(Pol02_24=AIS_statement32,"",AIS_units27)</f>
        <v>mg/kWh</v>
      </c>
      <c r="O1409" s="215"/>
      <c r="P1409" s="400"/>
      <c r="Q1409" s="400"/>
      <c r="R1409" s="709" t="str">
        <f>IF(Pol02_24=AIS_statement32,"",AIS_statement68)</f>
        <v>Instruction: If the building meets the definition of a 'highly insulated building' and the NOx emission level is low enough to claim more than one BREEAM credit, then select the "N/A" option from the drop-down list against the option for defining the building as a 'highly insulated building'. The reporting tool will then award the credits on the basis of the NOx emission level entered. If you select "yes" from the drop-down list against the option for defining the building as a 'highly insulated building' then only a single credit can be awarded, in accordance with the compliance note 'Highly insulated building'.</v>
      </c>
      <c r="S1409" s="709"/>
      <c r="T1409" s="709"/>
      <c r="U1409" s="709"/>
      <c r="V1409" s="709"/>
      <c r="W1409" s="709"/>
      <c r="X1409" s="709"/>
      <c r="Y1409" s="501"/>
      <c r="BI1409" s="106"/>
      <c r="BJ1409" s="106"/>
      <c r="BK1409" s="106"/>
      <c r="BL1409" s="106"/>
      <c r="BM1409" s="106"/>
      <c r="BN1409" s="106"/>
      <c r="BO1409" s="106"/>
    </row>
    <row r="1410" spans="2:67" ht="15.95" customHeight="1" x14ac:dyDescent="0.35">
      <c r="B1410" s="358"/>
      <c r="C1410" s="358"/>
      <c r="D1410" s="358"/>
      <c r="E1410" s="358"/>
      <c r="F1410" s="359"/>
      <c r="G1410" s="358"/>
      <c r="H1410" s="364" t="s">
        <v>686</v>
      </c>
      <c r="J1410" s="289"/>
      <c r="K1410" s="215"/>
      <c r="L1410" s="320" t="str">
        <f>IF(Pol02_24=AIS_statement32,"",AIS_units27)</f>
        <v>mg/kWh</v>
      </c>
      <c r="O1410" s="215"/>
      <c r="P1410" s="400"/>
      <c r="Q1410" s="400"/>
      <c r="R1410" s="709"/>
      <c r="S1410" s="709"/>
      <c r="T1410" s="709"/>
      <c r="U1410" s="709"/>
      <c r="V1410" s="709"/>
      <c r="W1410" s="709"/>
      <c r="X1410" s="709"/>
      <c r="Y1410" s="501"/>
      <c r="BI1410" s="106"/>
      <c r="BJ1410" s="106"/>
      <c r="BK1410" s="106"/>
      <c r="BL1410" s="106"/>
      <c r="BM1410" s="106"/>
      <c r="BN1410" s="106"/>
      <c r="BO1410" s="106"/>
    </row>
    <row r="1411" spans="2:67" ht="15.95" customHeight="1" x14ac:dyDescent="0.25">
      <c r="B1411" s="352"/>
      <c r="C1411" s="352"/>
      <c r="D1411" s="352"/>
      <c r="E1411" s="352"/>
      <c r="F1411" s="352"/>
      <c r="G1411" s="352"/>
      <c r="H1411" s="328" t="s">
        <v>687</v>
      </c>
      <c r="I1411" s="192"/>
      <c r="J1411" s="547"/>
      <c r="K1411" s="215"/>
      <c r="L1411" s="320" t="str">
        <f>IF(Pol02_24=AIS_statement32,"",AIS_units27)</f>
        <v>mg/kWh</v>
      </c>
      <c r="P1411" s="604"/>
      <c r="Q1411" s="604"/>
      <c r="R1411" s="709"/>
      <c r="S1411" s="709"/>
      <c r="T1411" s="709"/>
      <c r="U1411" s="709"/>
      <c r="V1411" s="709"/>
      <c r="W1411" s="709"/>
      <c r="X1411" s="709"/>
      <c r="Y1411" s="501"/>
      <c r="BI1411" s="106"/>
      <c r="BJ1411" s="106"/>
      <c r="BK1411" s="106"/>
      <c r="BL1411" s="106"/>
      <c r="BM1411" s="106"/>
      <c r="BN1411" s="106"/>
      <c r="BO1411" s="106"/>
    </row>
    <row r="1412" spans="2:67" ht="15.95" hidden="1" customHeight="1" x14ac:dyDescent="0.25">
      <c r="B1412" s="352"/>
      <c r="C1412" s="352"/>
      <c r="D1412" s="352"/>
      <c r="E1412" s="352"/>
      <c r="F1412" s="352"/>
      <c r="G1412" s="352"/>
      <c r="H1412" s="328" t="s">
        <v>688</v>
      </c>
      <c r="I1412" s="192"/>
      <c r="J1412" s="281"/>
      <c r="K1412" s="215"/>
      <c r="L1412" s="320"/>
      <c r="P1412" s="604"/>
      <c r="Q1412" s="604"/>
      <c r="R1412" s="709"/>
      <c r="S1412" s="709"/>
      <c r="T1412" s="709"/>
      <c r="U1412" s="709"/>
      <c r="V1412" s="709"/>
      <c r="W1412" s="709"/>
      <c r="X1412" s="709"/>
      <c r="Y1412" s="501"/>
      <c r="BI1412" s="106"/>
      <c r="BJ1412" s="106"/>
      <c r="BK1412" s="106"/>
      <c r="BL1412" s="106"/>
      <c r="BM1412" s="106"/>
      <c r="BN1412" s="106"/>
      <c r="BO1412" s="106"/>
    </row>
    <row r="1413" spans="2:67" ht="15.95" customHeight="1" x14ac:dyDescent="0.25">
      <c r="B1413" s="358"/>
      <c r="C1413" s="358"/>
      <c r="D1413" s="358"/>
      <c r="E1413" s="358"/>
      <c r="F1413" s="359"/>
      <c r="G1413" s="358"/>
      <c r="H1413" s="364" t="s">
        <v>689</v>
      </c>
      <c r="J1413" s="289"/>
      <c r="K1413" s="215"/>
      <c r="L1413" s="320" t="str">
        <f>IF(Pol02_24=AIS_statement32,"",AIS_units28)</f>
        <v>kWh/m2 yr</v>
      </c>
      <c r="R1413" s="709"/>
      <c r="S1413" s="709"/>
      <c r="T1413" s="709"/>
      <c r="U1413" s="709"/>
      <c r="V1413" s="709"/>
      <c r="W1413" s="709"/>
      <c r="X1413" s="709"/>
      <c r="Y1413" s="501"/>
      <c r="BI1413" s="106"/>
      <c r="BJ1413" s="106"/>
      <c r="BK1413" s="106"/>
      <c r="BL1413" s="106"/>
      <c r="BM1413" s="106"/>
      <c r="BN1413" s="106"/>
      <c r="BO1413" s="106"/>
    </row>
    <row r="1414" spans="2:67" ht="15.95" customHeight="1" x14ac:dyDescent="0.25">
      <c r="B1414" s="358"/>
      <c r="C1414" s="358"/>
      <c r="D1414" s="358"/>
      <c r="E1414" s="358"/>
      <c r="F1414" s="359"/>
      <c r="G1414" s="358"/>
      <c r="H1414" s="364" t="s">
        <v>690</v>
      </c>
      <c r="J1414" s="289"/>
      <c r="K1414" s="215"/>
      <c r="L1414" s="320" t="str">
        <f>IF(Pol02_24=AIS_statement32,"",AIS_units28)</f>
        <v>kWh/m2 yr</v>
      </c>
      <c r="R1414" s="211"/>
      <c r="S1414" s="211"/>
      <c r="T1414" s="211"/>
      <c r="U1414" s="211"/>
      <c r="V1414" s="211"/>
      <c r="W1414" s="211"/>
      <c r="X1414" s="211"/>
      <c r="Y1414" s="501"/>
      <c r="BI1414" s="106"/>
      <c r="BJ1414" s="106"/>
      <c r="BK1414" s="106"/>
      <c r="BL1414" s="106"/>
      <c r="BM1414" s="106"/>
      <c r="BN1414" s="106"/>
      <c r="BO1414" s="106"/>
    </row>
    <row r="1415" spans="2:67" ht="15.95" customHeight="1" x14ac:dyDescent="0.25">
      <c r="B1415" s="358"/>
      <c r="C1415" s="358"/>
      <c r="D1415" s="358"/>
      <c r="E1415" s="358"/>
      <c r="F1415" s="359"/>
      <c r="G1415" s="358"/>
      <c r="H1415" s="364" t="s">
        <v>691</v>
      </c>
      <c r="J1415" s="289"/>
      <c r="K1415" s="215"/>
      <c r="L1415" s="320" t="s">
        <v>222</v>
      </c>
      <c r="R1415" s="709" t="s">
        <v>692</v>
      </c>
      <c r="S1415" s="709"/>
      <c r="T1415" s="709"/>
      <c r="U1415" s="709"/>
      <c r="V1415" s="709"/>
      <c r="W1415" s="709"/>
      <c r="X1415" s="709"/>
      <c r="Y1415" s="501"/>
      <c r="BI1415" s="106"/>
      <c r="BJ1415" s="106"/>
      <c r="BK1415" s="106"/>
      <c r="BL1415" s="106"/>
      <c r="BM1415" s="106"/>
      <c r="BN1415" s="106"/>
      <c r="BO1415" s="106"/>
    </row>
    <row r="1416" spans="2:67" ht="15.95" customHeight="1" x14ac:dyDescent="0.25">
      <c r="B1416" s="358"/>
      <c r="C1416" s="358"/>
      <c r="D1416" s="358"/>
      <c r="E1416" s="358"/>
      <c r="F1416" s="359"/>
      <c r="G1416" s="358"/>
      <c r="H1416" s="364" t="s">
        <v>693</v>
      </c>
      <c r="J1416" s="289"/>
      <c r="K1416" s="215"/>
      <c r="L1416" s="320" t="s">
        <v>222</v>
      </c>
      <c r="R1416" s="211"/>
      <c r="S1416" s="211"/>
      <c r="T1416" s="211"/>
      <c r="U1416" s="211"/>
      <c r="V1416" s="211"/>
      <c r="W1416" s="211"/>
      <c r="X1416" s="211"/>
      <c r="Y1416" s="501"/>
      <c r="BI1416" s="106"/>
      <c r="BJ1416" s="106"/>
      <c r="BK1416" s="106"/>
      <c r="BL1416" s="106"/>
      <c r="BM1416" s="106"/>
      <c r="BN1416" s="106"/>
      <c r="BO1416" s="106"/>
    </row>
    <row r="1417" spans="2:67" ht="15.75" customHeight="1" x14ac:dyDescent="0.25">
      <c r="R1417" s="709" t="str">
        <f>IF(Pol02_24=AIS_statement32,"",AIS_statement76)</f>
        <v>Note: The energy consumption for heating or heating and cooling (where cooling specified) is sourced from the approved software's Building Regulations Output Document  (technical data sheet). This information is used to report the KPI for total NOx emissions, it is not required to award the available BREEAM credits (insert "INA" if not known).</v>
      </c>
      <c r="S1417" s="709"/>
      <c r="T1417" s="709"/>
      <c r="U1417" s="709"/>
      <c r="V1417" s="709"/>
      <c r="W1417" s="709"/>
      <c r="X1417" s="709"/>
      <c r="Y1417" s="501"/>
      <c r="BI1417" s="106"/>
      <c r="BJ1417" s="106"/>
      <c r="BK1417" s="106"/>
      <c r="BL1417" s="106"/>
      <c r="BM1417" s="106"/>
      <c r="BN1417" s="106"/>
      <c r="BO1417" s="106"/>
    </row>
    <row r="1418" spans="2:67" x14ac:dyDescent="0.25">
      <c r="B1418" s="358"/>
      <c r="C1418" s="357"/>
      <c r="D1418" s="357"/>
      <c r="E1418" s="358"/>
      <c r="F1418" s="359" t="s">
        <v>296</v>
      </c>
      <c r="G1418" s="215"/>
      <c r="H1418" s="216">
        <f>IF(Pol02_24=AIS_statement32,AIS_NA,Pol02_Tot_01)</f>
        <v>0</v>
      </c>
      <c r="J1418" s="394"/>
      <c r="K1418" s="313"/>
      <c r="L1418" s="3"/>
      <c r="M1418" s="3"/>
      <c r="N1418" s="3"/>
      <c r="O1418" s="215"/>
      <c r="P1418" s="215"/>
      <c r="Q1418" s="215"/>
      <c r="R1418" s="709"/>
      <c r="S1418" s="709"/>
      <c r="T1418" s="709"/>
      <c r="U1418" s="709"/>
      <c r="V1418" s="709"/>
      <c r="W1418" s="709"/>
      <c r="X1418" s="709"/>
      <c r="Y1418" s="501"/>
      <c r="BI1418" s="106"/>
      <c r="BJ1418" s="106"/>
      <c r="BK1418" s="106"/>
      <c r="BL1418" s="106"/>
      <c r="BM1418" s="106"/>
      <c r="BN1418" s="106"/>
      <c r="BO1418" s="106"/>
    </row>
    <row r="1419" spans="2:67" ht="3" customHeight="1" x14ac:dyDescent="0.25">
      <c r="B1419" s="215"/>
      <c r="E1419" s="215"/>
      <c r="F1419" s="225"/>
      <c r="G1419" s="215"/>
      <c r="H1419" s="252"/>
      <c r="J1419" s="205"/>
      <c r="K1419" s="215"/>
      <c r="M1419" s="215"/>
      <c r="N1419" s="215"/>
      <c r="O1419" s="215"/>
      <c r="P1419" s="215"/>
      <c r="Q1419" s="215"/>
      <c r="R1419" s="709"/>
      <c r="S1419" s="709"/>
      <c r="T1419" s="709"/>
      <c r="U1419" s="709"/>
      <c r="V1419" s="709"/>
      <c r="W1419" s="709"/>
      <c r="X1419" s="709"/>
      <c r="Y1419" s="501"/>
      <c r="BI1419" s="106"/>
      <c r="BJ1419" s="106"/>
      <c r="BK1419" s="106"/>
      <c r="BL1419" s="106"/>
      <c r="BM1419" s="106"/>
      <c r="BN1419" s="106"/>
      <c r="BO1419" s="106"/>
    </row>
    <row r="1420" spans="2:67" ht="15.75" customHeight="1" x14ac:dyDescent="0.25">
      <c r="B1420" s="358"/>
      <c r="C1420" s="357"/>
      <c r="D1420" s="357"/>
      <c r="E1420" s="358"/>
      <c r="F1420" s="359" t="s">
        <v>297</v>
      </c>
      <c r="G1420" s="215"/>
      <c r="H1420" s="217" t="str">
        <f>IF(ISERROR(IF(Pol02_24=AIS_statement32,AIS_NA,(Pol02_26/Pol02_credits)*Pol02_tot)),"",IF(Pol02_24=AIS_statement32,AIS_NA,(Pol02_26/Pol02_credits)*Pol02_tot))</f>
        <v/>
      </c>
      <c r="J1420" s="393"/>
      <c r="K1420" s="215"/>
      <c r="M1420" s="215"/>
      <c r="N1420" s="215"/>
      <c r="O1420" s="215"/>
      <c r="P1420" s="215"/>
      <c r="Q1420" s="215"/>
      <c r="R1420" s="709"/>
      <c r="S1420" s="709"/>
      <c r="T1420" s="709"/>
      <c r="U1420" s="709"/>
      <c r="V1420" s="709"/>
      <c r="W1420" s="709"/>
      <c r="X1420" s="709"/>
      <c r="Y1420" s="501"/>
      <c r="BI1420" s="106"/>
      <c r="BJ1420" s="106"/>
      <c r="BK1420" s="106"/>
      <c r="BL1420" s="106"/>
      <c r="BM1420" s="106"/>
      <c r="BN1420" s="106"/>
      <c r="BO1420" s="106"/>
    </row>
    <row r="1421" spans="2:67" ht="3" customHeight="1" x14ac:dyDescent="0.25">
      <c r="K1421" s="215"/>
      <c r="M1421" s="215"/>
      <c r="N1421" s="215"/>
      <c r="O1421" s="215"/>
      <c r="P1421" s="215"/>
      <c r="Q1421" s="215"/>
      <c r="R1421" s="210"/>
      <c r="S1421" s="210"/>
      <c r="T1421" s="210"/>
      <c r="U1421" s="210"/>
      <c r="V1421" s="210"/>
      <c r="W1421" s="210"/>
      <c r="X1421" s="210"/>
      <c r="Y1421" s="501"/>
      <c r="BI1421" s="106"/>
      <c r="BJ1421" s="106"/>
      <c r="BK1421" s="106"/>
      <c r="BL1421" s="106"/>
      <c r="BM1421" s="106"/>
      <c r="BN1421" s="106"/>
      <c r="BO1421" s="106"/>
    </row>
    <row r="1422" spans="2:67" ht="15.75" customHeight="1" x14ac:dyDescent="0.25">
      <c r="B1422" s="358"/>
      <c r="C1422" s="357"/>
      <c r="D1422" s="357"/>
      <c r="E1422" s="358"/>
      <c r="F1422" s="359" t="s">
        <v>298</v>
      </c>
      <c r="H1422" s="216" t="s">
        <v>300</v>
      </c>
      <c r="J1422" s="205"/>
      <c r="K1422" s="215"/>
      <c r="M1422" s="215"/>
      <c r="N1422" s="215"/>
      <c r="O1422" s="215"/>
      <c r="P1422" s="215"/>
      <c r="Q1422" s="215"/>
      <c r="R1422" s="709" t="str">
        <f>IF(Pol02_24=AIS_statement32,"",IF(OR(ADBT0=ADBT4,ADBT0=ADBT5,ADBT0=ADBT6,ADBT0=ADBT8,ADBT0=ADBT9),AIS_statement67,""))</f>
        <v/>
      </c>
      <c r="S1422" s="709"/>
      <c r="T1422" s="709"/>
      <c r="U1422" s="709"/>
      <c r="V1422" s="709"/>
      <c r="W1422" s="709"/>
      <c r="X1422" s="709"/>
      <c r="Y1422" s="501"/>
      <c r="BI1422" s="106"/>
      <c r="BJ1422" s="106"/>
      <c r="BK1422" s="106"/>
      <c r="BL1422" s="106"/>
      <c r="BM1422" s="106"/>
      <c r="BN1422" s="106"/>
      <c r="BO1422" s="106"/>
    </row>
    <row r="1423" spans="2:67" ht="3" customHeight="1" x14ac:dyDescent="0.25">
      <c r="K1423" s="215"/>
      <c r="M1423" s="215"/>
      <c r="N1423" s="215"/>
      <c r="O1423" s="215"/>
      <c r="P1423" s="215"/>
      <c r="Q1423" s="215"/>
      <c r="R1423" s="709"/>
      <c r="S1423" s="709"/>
      <c r="T1423" s="709"/>
      <c r="U1423" s="709"/>
      <c r="V1423" s="709"/>
      <c r="W1423" s="709"/>
      <c r="X1423" s="709"/>
      <c r="Y1423" s="501"/>
      <c r="BI1423" s="106"/>
      <c r="BJ1423" s="106"/>
      <c r="BK1423" s="106"/>
      <c r="BL1423" s="106"/>
      <c r="BM1423" s="106"/>
      <c r="BN1423" s="106"/>
      <c r="BO1423" s="106"/>
    </row>
    <row r="1424" spans="2:67" x14ac:dyDescent="0.25">
      <c r="B1424" s="358"/>
      <c r="C1424" s="357"/>
      <c r="D1424" s="358"/>
      <c r="E1424" s="358"/>
      <c r="F1424" s="359" t="s">
        <v>299</v>
      </c>
      <c r="H1424" s="216" t="s">
        <v>300</v>
      </c>
      <c r="K1424" s="215"/>
      <c r="M1424" s="215"/>
      <c r="N1424" s="215"/>
      <c r="O1424" s="215"/>
      <c r="P1424" s="215"/>
      <c r="Q1424" s="215"/>
      <c r="R1424" s="709"/>
      <c r="S1424" s="709"/>
      <c r="T1424" s="709"/>
      <c r="U1424" s="709"/>
      <c r="V1424" s="709"/>
      <c r="W1424" s="709"/>
      <c r="X1424" s="709"/>
      <c r="Y1424" s="501"/>
      <c r="BI1424" s="106"/>
      <c r="BJ1424" s="106"/>
      <c r="BK1424" s="106"/>
      <c r="BL1424" s="106"/>
      <c r="BM1424" s="106"/>
      <c r="BN1424" s="106"/>
      <c r="BO1424" s="106"/>
    </row>
    <row r="1425" spans="2:67" x14ac:dyDescent="0.25">
      <c r="M1425" s="215"/>
      <c r="N1425" s="215"/>
      <c r="O1425" s="215"/>
      <c r="P1425" s="215"/>
      <c r="Q1425" s="215"/>
      <c r="R1425" s="709"/>
      <c r="S1425" s="709"/>
      <c r="T1425" s="709"/>
      <c r="U1425" s="709"/>
      <c r="V1425" s="709"/>
      <c r="W1425" s="709"/>
      <c r="X1425" s="709"/>
      <c r="Y1425" s="501"/>
      <c r="BI1425" s="106"/>
      <c r="BJ1425" s="106"/>
      <c r="BK1425" s="106"/>
      <c r="BL1425" s="106"/>
      <c r="BM1425" s="106"/>
      <c r="BN1425" s="106"/>
      <c r="BO1425" s="106"/>
    </row>
    <row r="1426" spans="2:67" x14ac:dyDescent="0.25">
      <c r="B1426" s="235" t="s">
        <v>301</v>
      </c>
      <c r="C1426" s="215"/>
      <c r="D1426" s="215"/>
      <c r="E1426" s="215"/>
      <c r="F1426" s="225"/>
      <c r="G1426" s="215"/>
      <c r="H1426" s="215"/>
      <c r="I1426" s="215"/>
      <c r="J1426" s="215"/>
      <c r="K1426" s="215"/>
      <c r="L1426" s="215"/>
      <c r="M1426" s="215"/>
      <c r="N1426" s="215"/>
      <c r="O1426" s="215"/>
      <c r="P1426" s="215"/>
      <c r="Q1426" s="215"/>
      <c r="R1426" s="709"/>
      <c r="S1426" s="709"/>
      <c r="T1426" s="709"/>
      <c r="U1426" s="709"/>
      <c r="V1426" s="709"/>
      <c r="W1426" s="709"/>
      <c r="X1426" s="709"/>
      <c r="Y1426" s="501"/>
      <c r="BI1426" s="106"/>
      <c r="BJ1426" s="106"/>
      <c r="BK1426" s="106"/>
      <c r="BL1426" s="106"/>
      <c r="BM1426" s="106"/>
      <c r="BN1426" s="106"/>
      <c r="BO1426" s="106"/>
    </row>
    <row r="1427" spans="2:67" ht="159.94999999999999" customHeight="1" x14ac:dyDescent="0.25">
      <c r="B1427" s="736"/>
      <c r="C1427" s="737"/>
      <c r="D1427" s="737"/>
      <c r="E1427" s="737"/>
      <c r="F1427" s="737"/>
      <c r="G1427" s="737"/>
      <c r="H1427" s="737"/>
      <c r="I1427" s="737"/>
      <c r="J1427" s="737"/>
      <c r="K1427" s="737"/>
      <c r="L1427" s="737"/>
      <c r="M1427" s="737"/>
      <c r="N1427" s="737"/>
      <c r="O1427" s="737"/>
      <c r="P1427" s="738"/>
      <c r="Q1427" s="209"/>
      <c r="Y1427" s="501"/>
      <c r="BI1427" s="106"/>
      <c r="BJ1427" s="106"/>
      <c r="BK1427" s="106"/>
      <c r="BL1427" s="106"/>
      <c r="BM1427" s="106"/>
      <c r="BN1427" s="106"/>
      <c r="BO1427" s="106"/>
    </row>
    <row r="1428" spans="2:67" ht="36" customHeight="1" x14ac:dyDescent="0.25">
      <c r="B1428" s="27" t="s">
        <v>694</v>
      </c>
      <c r="C1428" s="13"/>
      <c r="D1428" s="236"/>
      <c r="E1428" s="237"/>
      <c r="F1428" s="237"/>
      <c r="G1428" s="237"/>
      <c r="H1428" s="237"/>
      <c r="I1428" s="237"/>
      <c r="J1428" s="237"/>
      <c r="K1428" s="237"/>
      <c r="L1428" s="237"/>
      <c r="M1428" s="237"/>
      <c r="N1428" s="237"/>
      <c r="O1428" s="237"/>
      <c r="P1428" s="237"/>
      <c r="Q1428" s="215"/>
      <c r="Y1428" s="501"/>
      <c r="BI1428" s="106"/>
      <c r="BJ1428" s="106"/>
      <c r="BK1428" s="106"/>
      <c r="BL1428" s="106"/>
      <c r="BM1428" s="106"/>
      <c r="BN1428" s="106"/>
      <c r="BO1428" s="106"/>
    </row>
    <row r="1429" spans="2:67" x14ac:dyDescent="0.25">
      <c r="B1429" s="215"/>
      <c r="C1429" s="215"/>
      <c r="D1429" s="215"/>
      <c r="E1429" s="215"/>
      <c r="F1429" s="215"/>
      <c r="G1429" s="215"/>
      <c r="H1429" s="215"/>
      <c r="I1429" s="215"/>
      <c r="J1429" s="215"/>
      <c r="K1429" s="215"/>
      <c r="L1429" s="215"/>
      <c r="M1429" s="215"/>
      <c r="N1429" s="215"/>
      <c r="O1429" s="215"/>
      <c r="P1429" s="215"/>
      <c r="Q1429" s="215"/>
      <c r="Y1429" s="501"/>
      <c r="BI1429" s="106"/>
      <c r="BJ1429" s="106"/>
      <c r="BK1429" s="106"/>
      <c r="BL1429" s="106"/>
      <c r="BM1429" s="106"/>
      <c r="BN1429" s="106"/>
      <c r="BO1429" s="106"/>
    </row>
    <row r="1430" spans="2:67" x14ac:dyDescent="0.25">
      <c r="B1430" s="357"/>
      <c r="C1430" s="357"/>
      <c r="D1430" s="358"/>
      <c r="E1430" s="358"/>
      <c r="F1430" s="359" t="s">
        <v>284</v>
      </c>
      <c r="G1430" s="215"/>
      <c r="H1430" s="216">
        <v>5</v>
      </c>
      <c r="J1430" s="357"/>
      <c r="K1430" s="357"/>
      <c r="L1430" s="357"/>
      <c r="M1430" s="357"/>
      <c r="N1430" s="359" t="s">
        <v>285</v>
      </c>
      <c r="P1430" s="217" t="str">
        <f>IF(ISERROR((BP_41/BP_09)*Pol03_credits),"",(BP_41/BP_09)*Pol03_credits)</f>
        <v/>
      </c>
      <c r="Q1430" s="217"/>
      <c r="Y1430" s="501"/>
      <c r="BI1430" s="106"/>
      <c r="BJ1430" s="106"/>
      <c r="BK1430" s="106"/>
      <c r="BL1430" s="106"/>
      <c r="BM1430" s="106"/>
      <c r="BN1430" s="106"/>
      <c r="BO1430" s="106"/>
    </row>
    <row r="1431" spans="2:67" ht="3.75" customHeight="1" x14ac:dyDescent="0.25">
      <c r="Y1431" s="501"/>
      <c r="BI1431" s="106"/>
      <c r="BJ1431" s="106"/>
      <c r="BK1431" s="106"/>
      <c r="BL1431" s="106"/>
      <c r="BM1431" s="106"/>
      <c r="BN1431" s="106"/>
      <c r="BO1431" s="106"/>
    </row>
    <row r="1432" spans="2:67" x14ac:dyDescent="0.25">
      <c r="B1432" s="357"/>
      <c r="C1432" s="357"/>
      <c r="D1432" s="358"/>
      <c r="E1432" s="358"/>
      <c r="F1432" s="359" t="s">
        <v>286</v>
      </c>
      <c r="G1432" s="215"/>
      <c r="H1432" s="216">
        <v>0</v>
      </c>
      <c r="J1432" s="358"/>
      <c r="K1432" s="358"/>
      <c r="L1432" s="358"/>
      <c r="M1432" s="358"/>
      <c r="N1432" s="359" t="s">
        <v>287</v>
      </c>
      <c r="O1432" s="215"/>
      <c r="P1432" s="216" t="s">
        <v>125</v>
      </c>
      <c r="Q1432" s="216"/>
      <c r="Y1432" s="501"/>
      <c r="BI1432" s="106"/>
      <c r="BJ1432" s="106"/>
      <c r="BK1432" s="106"/>
      <c r="BL1432" s="106"/>
      <c r="BM1432" s="106"/>
      <c r="BN1432" s="106"/>
      <c r="BO1432" s="106"/>
    </row>
    <row r="1433" spans="2:67" ht="47.25" customHeight="1" x14ac:dyDescent="0.25">
      <c r="B1433" s="238" t="s">
        <v>288</v>
      </c>
      <c r="C1433" s="239"/>
      <c r="D1433" s="235"/>
      <c r="E1433" s="239"/>
      <c r="F1433" s="240"/>
      <c r="G1433" s="238"/>
      <c r="H1433" s="238"/>
      <c r="I1433" s="238"/>
      <c r="J1433" s="241" t="s">
        <v>289</v>
      </c>
      <c r="K1433" s="241"/>
      <c r="L1433" s="242" t="s">
        <v>290</v>
      </c>
      <c r="N1433" s="242" t="s">
        <v>291</v>
      </c>
      <c r="P1433" s="242"/>
      <c r="Q1433" s="242"/>
      <c r="Y1433" s="501"/>
      <c r="BI1433" s="106"/>
      <c r="BJ1433" s="106"/>
      <c r="BK1433" s="106"/>
      <c r="BL1433" s="106"/>
      <c r="BM1433" s="106"/>
      <c r="BN1433" s="106"/>
      <c r="BO1433" s="106"/>
    </row>
    <row r="1434" spans="2:67" ht="3" customHeight="1" x14ac:dyDescent="0.25">
      <c r="B1434" s="215"/>
      <c r="C1434" s="218"/>
      <c r="D1434" s="215"/>
      <c r="E1434" s="218"/>
      <c r="F1434" s="244"/>
      <c r="G1434" s="215"/>
      <c r="J1434" s="245"/>
      <c r="K1434" s="245"/>
      <c r="L1434" s="215"/>
      <c r="M1434" s="215"/>
      <c r="N1434" s="309"/>
      <c r="O1434" s="218"/>
      <c r="P1434" s="246"/>
      <c r="Q1434" s="246"/>
      <c r="Y1434" s="501"/>
      <c r="BI1434" s="106"/>
      <c r="BJ1434" s="106"/>
      <c r="BK1434" s="106"/>
      <c r="BL1434" s="106"/>
      <c r="BM1434" s="106"/>
      <c r="BN1434" s="106"/>
      <c r="BO1434" s="106"/>
    </row>
    <row r="1435" spans="2:67" x14ac:dyDescent="0.25">
      <c r="B1435" s="358"/>
      <c r="C1435" s="358"/>
      <c r="D1435" s="358"/>
      <c r="E1435" s="358"/>
      <c r="F1435" s="359"/>
      <c r="G1435" s="358"/>
      <c r="H1435" s="359" t="s">
        <v>695</v>
      </c>
      <c r="J1435" s="223" t="s">
        <v>488</v>
      </c>
      <c r="K1435" s="215"/>
      <c r="L1435" s="794">
        <v>2</v>
      </c>
      <c r="M1435" s="215"/>
      <c r="N1435" s="751">
        <f>IF(AND(Pol03_02=AIS_Yes,Pol03_01=Pol03_option01),Pol03_06,IF(AND(Pol03_02=AIS_Yes,OR(Pol03_01=Pol03_option02,Pol03_01=Pol03_option03)),1,0))</f>
        <v>0</v>
      </c>
      <c r="O1435" s="215"/>
      <c r="P1435" s="252"/>
      <c r="Q1435" s="252"/>
      <c r="Y1435" s="501"/>
      <c r="BI1435" s="106"/>
      <c r="BJ1435" s="106"/>
      <c r="BK1435" s="106"/>
      <c r="BL1435" s="106"/>
      <c r="BM1435" s="106"/>
      <c r="BN1435" s="106"/>
      <c r="BO1435" s="106"/>
    </row>
    <row r="1436" spans="2:67" x14ac:dyDescent="0.25">
      <c r="B1436" s="358"/>
      <c r="C1436" s="358"/>
      <c r="D1436" s="358"/>
      <c r="E1436" s="358"/>
      <c r="F1436" s="359"/>
      <c r="G1436" s="358"/>
      <c r="H1436" s="359" t="str">
        <f>IF(Pol03_01=Pol03_option01,AIS_statement65,AIS_statement66)</f>
        <v xml:space="preserve">Flood Risk Assessment and ground level of the building and access </v>
      </c>
      <c r="J1436" s="223"/>
      <c r="K1436" s="215"/>
      <c r="L1436" s="795"/>
      <c r="M1436" s="215"/>
      <c r="N1436" s="752"/>
      <c r="O1436" s="215"/>
      <c r="P1436" s="252"/>
      <c r="Q1436" s="252"/>
      <c r="Y1436" s="501"/>
      <c r="BI1436" s="106"/>
      <c r="BJ1436" s="106"/>
      <c r="BK1436" s="106"/>
      <c r="BL1436" s="106"/>
      <c r="BM1436" s="106"/>
      <c r="BN1436" s="106"/>
      <c r="BO1436" s="106"/>
    </row>
    <row r="1437" spans="2:67" x14ac:dyDescent="0.25">
      <c r="B1437" s="358"/>
      <c r="C1437" s="358"/>
      <c r="D1437" s="358"/>
      <c r="E1437" s="358"/>
      <c r="F1437" s="359"/>
      <c r="G1437" s="358"/>
      <c r="H1437" s="359" t="s">
        <v>696</v>
      </c>
      <c r="J1437" s="223"/>
      <c r="K1437" s="215"/>
      <c r="L1437" s="224">
        <v>1</v>
      </c>
      <c r="M1437" s="215"/>
      <c r="N1437" s="270">
        <f>IF(Pol03_03=AIS_Yes,Pol03_07,0)</f>
        <v>0</v>
      </c>
      <c r="O1437" s="215"/>
      <c r="P1437" s="252"/>
      <c r="Q1437" s="252"/>
      <c r="Y1437" s="501"/>
      <c r="BI1437" s="106"/>
      <c r="BJ1437" s="106"/>
      <c r="BK1437" s="106"/>
      <c r="BL1437" s="106"/>
      <c r="BM1437" s="106"/>
      <c r="BN1437" s="106"/>
      <c r="BO1437" s="106"/>
    </row>
    <row r="1438" spans="2:67" x14ac:dyDescent="0.25">
      <c r="B1438" s="358"/>
      <c r="C1438" s="358"/>
      <c r="D1438" s="358"/>
      <c r="E1438" s="358"/>
      <c r="F1438" s="359"/>
      <c r="G1438" s="358"/>
      <c r="H1438" s="359" t="s">
        <v>697</v>
      </c>
      <c r="J1438" s="223"/>
      <c r="K1438" s="215"/>
      <c r="L1438" s="224">
        <v>1</v>
      </c>
      <c r="M1438" s="215"/>
      <c r="N1438" s="270">
        <f>IF(Pol03_04=AIS_Yes,Pol03_08,0)</f>
        <v>0</v>
      </c>
      <c r="O1438" s="215"/>
      <c r="P1438" s="252"/>
      <c r="Q1438" s="252"/>
      <c r="Y1438" s="501"/>
      <c r="BI1438" s="106"/>
      <c r="BJ1438" s="106"/>
      <c r="BK1438" s="106"/>
      <c r="BL1438" s="106"/>
      <c r="BM1438" s="106"/>
      <c r="BN1438" s="106"/>
      <c r="BO1438" s="106"/>
    </row>
    <row r="1439" spans="2:67" x14ac:dyDescent="0.25">
      <c r="B1439" s="358"/>
      <c r="C1439" s="358"/>
      <c r="D1439" s="358"/>
      <c r="E1439" s="358"/>
      <c r="F1439" s="359"/>
      <c r="G1439" s="358"/>
      <c r="H1439" s="359" t="s">
        <v>698</v>
      </c>
      <c r="J1439" s="223"/>
      <c r="K1439" s="215"/>
      <c r="L1439" s="224">
        <v>1</v>
      </c>
      <c r="M1439" s="215"/>
      <c r="N1439" s="270">
        <f>IF(Pol03_05=AIS_Yes,Pol03_09,0)</f>
        <v>0</v>
      </c>
      <c r="O1439" s="215"/>
      <c r="P1439" s="252"/>
      <c r="Q1439" s="252"/>
      <c r="Y1439" s="501"/>
      <c r="BI1439" s="106"/>
      <c r="BJ1439" s="106"/>
      <c r="BK1439" s="106"/>
      <c r="BL1439" s="106"/>
      <c r="BM1439" s="106"/>
      <c r="BN1439" s="106"/>
      <c r="BO1439" s="106"/>
    </row>
    <row r="1440" spans="2:67" x14ac:dyDescent="0.25">
      <c r="B1440" s="238" t="s">
        <v>699</v>
      </c>
      <c r="C1440" s="3"/>
      <c r="D1440" s="3"/>
      <c r="E1440" s="3"/>
      <c r="F1440" s="3"/>
      <c r="G1440" s="3"/>
      <c r="H1440" s="29">
        <f>IF(AND(ADBT0=ADBT8,ADBT_sub01=ADBT_sub28),1,0)</f>
        <v>0</v>
      </c>
      <c r="I1440" s="3"/>
      <c r="J1440" s="3"/>
      <c r="K1440" s="3"/>
      <c r="L1440" s="3"/>
      <c r="M1440" s="3"/>
      <c r="N1440" s="3"/>
      <c r="O1440" s="215"/>
      <c r="P1440" s="252"/>
      <c r="Q1440" s="252"/>
      <c r="Y1440" s="501"/>
      <c r="BI1440" s="106"/>
      <c r="BJ1440" s="106"/>
      <c r="BK1440" s="106"/>
      <c r="BL1440" s="106"/>
      <c r="BM1440" s="106"/>
      <c r="BN1440" s="106"/>
      <c r="BO1440" s="106"/>
    </row>
    <row r="1441" spans="2:67" x14ac:dyDescent="0.25">
      <c r="B1441" s="831" t="s">
        <v>525</v>
      </c>
      <c r="C1441" s="832"/>
      <c r="D1441" s="832"/>
      <c r="E1441" s="832"/>
      <c r="F1441" s="832"/>
      <c r="G1441" s="832"/>
      <c r="H1441" s="833"/>
      <c r="J1441" s="3"/>
      <c r="K1441" s="215"/>
      <c r="L1441" s="224">
        <f>IF(AND(ADBT0=ADBT8,ADBT_sub01=ADBT_sub28),2,0)</f>
        <v>0</v>
      </c>
      <c r="M1441" s="215"/>
      <c r="N1441" s="224">
        <f>IF(OR(Pol03_SD_01=Pol03_32,Pol03_SD_01=Pol03_33),Pol03_35,IF(OR(Pol03_43=Pol03_40,Pol03_43=Pol03_41),1,0))</f>
        <v>0</v>
      </c>
      <c r="O1441" s="215"/>
      <c r="P1441" s="252"/>
      <c r="Q1441" s="252"/>
      <c r="Y1441" s="501"/>
      <c r="BI1441" s="106"/>
      <c r="BJ1441" s="106"/>
      <c r="BK1441" s="106"/>
      <c r="BL1441" s="106"/>
      <c r="BM1441" s="106"/>
      <c r="BN1441" s="106"/>
      <c r="BO1441" s="106"/>
    </row>
    <row r="1442" spans="2:67" x14ac:dyDescent="0.25">
      <c r="B1442" s="748" t="s">
        <v>525</v>
      </c>
      <c r="C1442" s="748"/>
      <c r="D1442" s="748"/>
      <c r="E1442" s="748"/>
      <c r="F1442" s="748"/>
      <c r="G1442" s="748"/>
      <c r="H1442" s="748"/>
      <c r="J1442" s="3"/>
      <c r="K1442" s="3"/>
      <c r="L1442" s="3"/>
      <c r="M1442" s="3"/>
      <c r="N1442" s="3"/>
      <c r="O1442" s="215"/>
      <c r="P1442" s="252"/>
      <c r="Q1442" s="252"/>
      <c r="Y1442" s="501"/>
      <c r="BI1442" s="106"/>
      <c r="BJ1442" s="106"/>
      <c r="BK1442" s="106"/>
      <c r="BL1442" s="106"/>
      <c r="BM1442" s="106"/>
      <c r="BN1442" s="106"/>
      <c r="BO1442" s="106"/>
    </row>
    <row r="1443" spans="2:67" x14ac:dyDescent="0.25">
      <c r="Y1443" s="501"/>
      <c r="BI1443" s="106"/>
      <c r="BJ1443" s="106"/>
      <c r="BK1443" s="106"/>
      <c r="BL1443" s="106"/>
      <c r="BM1443" s="106"/>
      <c r="BN1443" s="106"/>
      <c r="BO1443" s="106"/>
    </row>
    <row r="1444" spans="2:67" x14ac:dyDescent="0.25">
      <c r="B1444" s="358"/>
      <c r="C1444" s="357"/>
      <c r="D1444" s="357"/>
      <c r="E1444" s="358"/>
      <c r="F1444" s="359" t="s">
        <v>296</v>
      </c>
      <c r="G1444" s="215"/>
      <c r="H1444" s="216">
        <f>IF(ISERROR(Pol03_Tot_Err),0,Pol03_Tot_Err)</f>
        <v>0</v>
      </c>
      <c r="J1444" s="203"/>
      <c r="K1444" s="215"/>
      <c r="M1444" s="215"/>
      <c r="N1444" s="215"/>
      <c r="O1444" s="215"/>
      <c r="P1444" s="215"/>
      <c r="Q1444" s="215"/>
      <c r="Y1444" s="501"/>
      <c r="BI1444" s="106"/>
      <c r="BJ1444" s="106"/>
      <c r="BK1444" s="106"/>
      <c r="BL1444" s="106"/>
      <c r="BM1444" s="106"/>
      <c r="BN1444" s="106"/>
      <c r="BO1444" s="106"/>
    </row>
    <row r="1445" spans="2:67" ht="3" customHeight="1" x14ac:dyDescent="0.25">
      <c r="B1445" s="215"/>
      <c r="E1445" s="215"/>
      <c r="F1445" s="225"/>
      <c r="G1445" s="215"/>
      <c r="H1445" s="252"/>
      <c r="J1445" s="203"/>
      <c r="K1445" s="215"/>
      <c r="M1445" s="215"/>
      <c r="N1445" s="215"/>
      <c r="O1445" s="215"/>
      <c r="P1445" s="215"/>
      <c r="Q1445" s="215"/>
      <c r="Y1445" s="501"/>
      <c r="BI1445" s="106"/>
      <c r="BJ1445" s="106"/>
      <c r="BK1445" s="106"/>
      <c r="BL1445" s="106"/>
      <c r="BM1445" s="106"/>
      <c r="BN1445" s="106"/>
      <c r="BO1445" s="106"/>
    </row>
    <row r="1446" spans="2:67" x14ac:dyDescent="0.25">
      <c r="B1446" s="358"/>
      <c r="C1446" s="357"/>
      <c r="D1446" s="357"/>
      <c r="E1446" s="358"/>
      <c r="F1446" s="359" t="s">
        <v>297</v>
      </c>
      <c r="G1446" s="215"/>
      <c r="H1446" s="217" t="str">
        <f>IF(ISERROR((Pol03_14/Pol03_credits)*Pol03_tot),"",(Pol03_14/Pol03_credits)*Pol03_tot)</f>
        <v/>
      </c>
      <c r="J1446" s="203"/>
      <c r="K1446" s="215"/>
      <c r="M1446" s="215"/>
      <c r="N1446" s="215"/>
      <c r="O1446" s="215"/>
      <c r="P1446" s="215"/>
      <c r="Q1446" s="215"/>
      <c r="Y1446" s="501"/>
      <c r="BI1446" s="106"/>
      <c r="BJ1446" s="106"/>
      <c r="BK1446" s="106"/>
      <c r="BL1446" s="106"/>
      <c r="BM1446" s="106"/>
      <c r="BN1446" s="106"/>
      <c r="BO1446" s="106"/>
    </row>
    <row r="1447" spans="2:67" ht="3" customHeight="1" x14ac:dyDescent="0.25">
      <c r="K1447" s="215"/>
      <c r="M1447" s="215"/>
      <c r="N1447" s="215"/>
      <c r="O1447" s="215"/>
      <c r="P1447" s="215"/>
      <c r="Q1447" s="215"/>
      <c r="Y1447" s="501"/>
      <c r="BI1447" s="106"/>
      <c r="BJ1447" s="106"/>
      <c r="BK1447" s="106"/>
      <c r="BL1447" s="106"/>
      <c r="BM1447" s="106"/>
      <c r="BN1447" s="106"/>
      <c r="BO1447" s="106"/>
    </row>
    <row r="1448" spans="2:67" x14ac:dyDescent="0.25">
      <c r="B1448" s="358"/>
      <c r="C1448" s="357"/>
      <c r="D1448" s="357"/>
      <c r="E1448" s="358"/>
      <c r="F1448" s="359" t="s">
        <v>298</v>
      </c>
      <c r="H1448" s="216" t="s">
        <v>300</v>
      </c>
      <c r="K1448" s="215"/>
      <c r="M1448" s="215"/>
      <c r="N1448" s="215"/>
      <c r="O1448" s="215"/>
      <c r="P1448" s="215"/>
      <c r="Q1448" s="215"/>
      <c r="Y1448" s="501"/>
      <c r="BI1448" s="106"/>
      <c r="BJ1448" s="106"/>
      <c r="BK1448" s="106"/>
      <c r="BL1448" s="106"/>
      <c r="BM1448" s="106"/>
      <c r="BN1448" s="106"/>
      <c r="BO1448" s="106"/>
    </row>
    <row r="1449" spans="2:67" ht="3" customHeight="1" x14ac:dyDescent="0.25">
      <c r="K1449" s="215"/>
      <c r="M1449" s="215"/>
      <c r="N1449" s="215"/>
      <c r="O1449" s="215"/>
      <c r="P1449" s="215"/>
      <c r="Q1449" s="215"/>
      <c r="Y1449" s="501"/>
      <c r="BI1449" s="106"/>
      <c r="BJ1449" s="106"/>
      <c r="BK1449" s="106"/>
      <c r="BL1449" s="106"/>
      <c r="BM1449" s="106"/>
      <c r="BN1449" s="106"/>
      <c r="BO1449" s="106"/>
    </row>
    <row r="1450" spans="2:67" x14ac:dyDescent="0.25">
      <c r="B1450" s="358"/>
      <c r="C1450" s="357"/>
      <c r="D1450" s="358"/>
      <c r="E1450" s="358"/>
      <c r="F1450" s="359" t="s">
        <v>299</v>
      </c>
      <c r="H1450" s="216" t="s">
        <v>300</v>
      </c>
      <c r="K1450" s="215"/>
      <c r="M1450" s="215"/>
      <c r="N1450" s="215"/>
      <c r="O1450" s="215"/>
      <c r="P1450" s="215"/>
      <c r="Q1450" s="215"/>
      <c r="Y1450" s="501"/>
      <c r="BI1450" s="106"/>
      <c r="BJ1450" s="106"/>
      <c r="BK1450" s="106"/>
      <c r="BL1450" s="106"/>
      <c r="BM1450" s="106"/>
      <c r="BN1450" s="106"/>
      <c r="BO1450" s="106"/>
    </row>
    <row r="1451" spans="2:67" x14ac:dyDescent="0.25">
      <c r="M1451" s="215"/>
      <c r="N1451" s="215"/>
      <c r="O1451" s="215"/>
      <c r="P1451" s="215"/>
      <c r="Q1451" s="215"/>
      <c r="Y1451" s="501"/>
      <c r="BI1451" s="106"/>
      <c r="BJ1451" s="106"/>
      <c r="BK1451" s="106"/>
      <c r="BL1451" s="106"/>
      <c r="BM1451" s="106"/>
      <c r="BN1451" s="106"/>
      <c r="BO1451" s="106"/>
    </row>
    <row r="1452" spans="2:67" x14ac:dyDescent="0.25">
      <c r="B1452" s="235" t="s">
        <v>301</v>
      </c>
      <c r="C1452" s="215"/>
      <c r="D1452" s="215"/>
      <c r="E1452" s="215"/>
      <c r="F1452" s="225"/>
      <c r="G1452" s="215"/>
      <c r="H1452" s="215"/>
      <c r="I1452" s="215"/>
      <c r="J1452" s="215"/>
      <c r="K1452" s="215"/>
      <c r="L1452" s="215"/>
      <c r="M1452" s="215"/>
      <c r="N1452" s="215"/>
      <c r="O1452" s="215"/>
      <c r="P1452" s="215"/>
      <c r="Q1452" s="215"/>
      <c r="Y1452" s="501"/>
      <c r="BI1452" s="106"/>
      <c r="BJ1452" s="106"/>
      <c r="BK1452" s="106"/>
      <c r="BL1452" s="106"/>
      <c r="BM1452" s="106"/>
      <c r="BN1452" s="106"/>
      <c r="BO1452" s="106"/>
    </row>
    <row r="1453" spans="2:67" ht="159.94999999999999" customHeight="1" x14ac:dyDescent="0.25">
      <c r="B1453" s="736"/>
      <c r="C1453" s="737"/>
      <c r="D1453" s="737"/>
      <c r="E1453" s="737"/>
      <c r="F1453" s="737"/>
      <c r="G1453" s="737"/>
      <c r="H1453" s="737"/>
      <c r="I1453" s="737"/>
      <c r="J1453" s="737"/>
      <c r="K1453" s="737"/>
      <c r="L1453" s="737"/>
      <c r="M1453" s="737"/>
      <c r="N1453" s="737"/>
      <c r="O1453" s="737"/>
      <c r="P1453" s="738"/>
      <c r="Q1453" s="416"/>
      <c r="Y1453" s="501"/>
      <c r="BI1453" s="106"/>
      <c r="BJ1453" s="106"/>
      <c r="BK1453" s="106"/>
      <c r="BL1453" s="106"/>
      <c r="BM1453" s="106"/>
      <c r="BN1453" s="106"/>
      <c r="BO1453" s="106"/>
    </row>
    <row r="1454" spans="2:67" ht="36" customHeight="1" x14ac:dyDescent="0.25">
      <c r="B1454" s="27" t="s">
        <v>700</v>
      </c>
      <c r="C1454" s="13"/>
      <c r="D1454" s="236"/>
      <c r="E1454" s="237"/>
      <c r="F1454" s="237"/>
      <c r="G1454" s="237"/>
      <c r="H1454" s="237"/>
      <c r="I1454" s="237"/>
      <c r="J1454" s="237"/>
      <c r="K1454" s="237"/>
      <c r="L1454" s="237"/>
      <c r="M1454" s="237"/>
      <c r="N1454" s="237"/>
      <c r="O1454" s="237"/>
      <c r="P1454" s="329" t="str">
        <f>IF(ADBT0=ADBT8,AIS_statement32,"")</f>
        <v/>
      </c>
      <c r="Q1454" s="27"/>
      <c r="R1454" s="192" t="str">
        <f>IF(Pol04_08=AIS_statement32,1,"")</f>
        <v/>
      </c>
      <c r="Y1454" s="501"/>
      <c r="BI1454" s="106"/>
      <c r="BJ1454" s="106"/>
      <c r="BK1454" s="106"/>
      <c r="BL1454" s="106"/>
      <c r="BM1454" s="106"/>
      <c r="BN1454" s="106"/>
      <c r="BO1454" s="106"/>
    </row>
    <row r="1455" spans="2:67" x14ac:dyDescent="0.25">
      <c r="B1455" s="215"/>
      <c r="C1455" s="215"/>
      <c r="D1455" s="215"/>
      <c r="E1455" s="215"/>
      <c r="F1455" s="215"/>
      <c r="G1455" s="215"/>
      <c r="H1455" s="215"/>
      <c r="I1455" s="215"/>
      <c r="J1455" s="215"/>
      <c r="K1455" s="215"/>
      <c r="L1455" s="215"/>
      <c r="M1455" s="215"/>
      <c r="N1455" s="215"/>
      <c r="O1455" s="215"/>
      <c r="P1455" s="215"/>
      <c r="Q1455" s="215"/>
      <c r="Y1455" s="501"/>
      <c r="BI1455" s="106"/>
      <c r="BJ1455" s="106"/>
      <c r="BK1455" s="106"/>
      <c r="BL1455" s="106"/>
      <c r="BM1455" s="106"/>
      <c r="BN1455" s="106"/>
      <c r="BO1455" s="106"/>
    </row>
    <row r="1456" spans="2:67" x14ac:dyDescent="0.25">
      <c r="B1456" s="357"/>
      <c r="C1456" s="357"/>
      <c r="D1456" s="358"/>
      <c r="E1456" s="358"/>
      <c r="F1456" s="359" t="s">
        <v>284</v>
      </c>
      <c r="G1456" s="215"/>
      <c r="H1456" s="216">
        <f>IF(Pol04_switch=1,AIS_NA,1)</f>
        <v>1</v>
      </c>
      <c r="J1456" s="357"/>
      <c r="K1456" s="357"/>
      <c r="L1456" s="357"/>
      <c r="M1456" s="357"/>
      <c r="N1456" s="359" t="s">
        <v>285</v>
      </c>
      <c r="P1456" s="217" t="str">
        <f>IF(Pol04_switch=1,AIS_NA,IF(ISERROR((BP_41/BP_09)*Pol04_credits),"",(BP_41/BP_09)*Pol04_credits))</f>
        <v/>
      </c>
      <c r="Q1456" s="217"/>
      <c r="Y1456" s="501"/>
      <c r="BI1456" s="106"/>
      <c r="BJ1456" s="106"/>
      <c r="BK1456" s="106"/>
      <c r="BL1456" s="106"/>
      <c r="BM1456" s="106"/>
      <c r="BN1456" s="106"/>
      <c r="BO1456" s="106"/>
    </row>
    <row r="1457" spans="2:67" ht="3.75" customHeight="1" x14ac:dyDescent="0.25">
      <c r="Y1457" s="501"/>
      <c r="BI1457" s="106"/>
      <c r="BJ1457" s="106"/>
      <c r="BK1457" s="106"/>
      <c r="BL1457" s="106"/>
      <c r="BM1457" s="106"/>
      <c r="BN1457" s="106"/>
      <c r="BO1457" s="106"/>
    </row>
    <row r="1458" spans="2:67" x14ac:dyDescent="0.25">
      <c r="B1458" s="357"/>
      <c r="C1458" s="357"/>
      <c r="D1458" s="358"/>
      <c r="E1458" s="358"/>
      <c r="F1458" s="359" t="s">
        <v>286</v>
      </c>
      <c r="G1458" s="215"/>
      <c r="H1458" s="216">
        <v>0</v>
      </c>
      <c r="J1458" s="358"/>
      <c r="K1458" s="358"/>
      <c r="L1458" s="358"/>
      <c r="M1458" s="358"/>
      <c r="N1458" s="359" t="s">
        <v>287</v>
      </c>
      <c r="O1458" s="215"/>
      <c r="P1458" s="216" t="s">
        <v>125</v>
      </c>
      <c r="Q1458" s="216"/>
      <c r="Y1458" s="501"/>
      <c r="BI1458" s="106"/>
      <c r="BJ1458" s="106"/>
      <c r="BK1458" s="106"/>
      <c r="BL1458" s="106"/>
      <c r="BM1458" s="106"/>
      <c r="BN1458" s="106"/>
      <c r="BO1458" s="106"/>
    </row>
    <row r="1459" spans="2:67" ht="47.25" customHeight="1" x14ac:dyDescent="0.25">
      <c r="B1459" s="238" t="s">
        <v>288</v>
      </c>
      <c r="C1459" s="239"/>
      <c r="D1459" s="235"/>
      <c r="E1459" s="239"/>
      <c r="F1459" s="240"/>
      <c r="G1459" s="238"/>
      <c r="H1459" s="238"/>
      <c r="I1459" s="238"/>
      <c r="J1459" s="241" t="s">
        <v>289</v>
      </c>
      <c r="K1459" s="241"/>
      <c r="L1459" s="242" t="s">
        <v>290</v>
      </c>
      <c r="N1459" s="242" t="s">
        <v>291</v>
      </c>
      <c r="P1459" s="242"/>
      <c r="Q1459" s="242"/>
      <c r="Y1459" s="501"/>
      <c r="BI1459" s="106"/>
      <c r="BJ1459" s="106"/>
      <c r="BK1459" s="106"/>
      <c r="BL1459" s="106"/>
      <c r="BM1459" s="106"/>
      <c r="BN1459" s="106"/>
      <c r="BO1459" s="106"/>
    </row>
    <row r="1460" spans="2:67" ht="3" customHeight="1" x14ac:dyDescent="0.25">
      <c r="B1460" s="215"/>
      <c r="C1460" s="218"/>
      <c r="D1460" s="215"/>
      <c r="E1460" s="218"/>
      <c r="F1460" s="244"/>
      <c r="G1460" s="215"/>
      <c r="J1460" s="245"/>
      <c r="K1460" s="245"/>
      <c r="L1460" s="215"/>
      <c r="M1460" s="215"/>
      <c r="N1460" s="309"/>
      <c r="O1460" s="218"/>
      <c r="P1460" s="246"/>
      <c r="Q1460" s="246"/>
      <c r="Y1460" s="501"/>
      <c r="BI1460" s="106"/>
      <c r="BJ1460" s="106"/>
      <c r="BK1460" s="106"/>
      <c r="BL1460" s="106"/>
      <c r="BM1460" s="106"/>
      <c r="BN1460" s="106"/>
      <c r="BO1460" s="106"/>
    </row>
    <row r="1461" spans="2:67" x14ac:dyDescent="0.25">
      <c r="B1461" s="358"/>
      <c r="C1461" s="358"/>
      <c r="D1461" s="358"/>
      <c r="E1461" s="358"/>
      <c r="F1461" s="359"/>
      <c r="G1461" s="358"/>
      <c r="H1461" s="359" t="s">
        <v>434</v>
      </c>
      <c r="J1461" s="223"/>
      <c r="K1461" s="215"/>
      <c r="L1461" s="224">
        <f>IF(Pol04_switch=1,AIS_NA,Pol04_credits)</f>
        <v>1</v>
      </c>
      <c r="M1461" s="215"/>
      <c r="N1461" s="270">
        <f>IF(Pol04_switch=1,AIS_NA,IF(Pol04_01=AIS_Yes,Pol04_02,0))</f>
        <v>0</v>
      </c>
      <c r="O1461" s="215"/>
      <c r="P1461" s="400"/>
      <c r="Q1461" s="400"/>
      <c r="Y1461" s="501"/>
      <c r="BI1461" s="106"/>
      <c r="BJ1461" s="106"/>
      <c r="BK1461" s="106"/>
      <c r="BL1461" s="106"/>
      <c r="BM1461" s="106"/>
      <c r="BN1461" s="106"/>
      <c r="BO1461" s="106"/>
    </row>
    <row r="1462" spans="2:67" x14ac:dyDescent="0.25">
      <c r="Y1462" s="501"/>
      <c r="BI1462" s="106"/>
      <c r="BJ1462" s="106"/>
      <c r="BK1462" s="106"/>
      <c r="BL1462" s="106"/>
      <c r="BM1462" s="106"/>
      <c r="BN1462" s="106"/>
      <c r="BO1462" s="106"/>
    </row>
    <row r="1463" spans="2:67" x14ac:dyDescent="0.25">
      <c r="B1463" s="358"/>
      <c r="C1463" s="357"/>
      <c r="D1463" s="357"/>
      <c r="E1463" s="358"/>
      <c r="F1463" s="359" t="s">
        <v>296</v>
      </c>
      <c r="G1463" s="215"/>
      <c r="H1463" s="216">
        <f>IF(Pol04_switch=1,AIS_NA,IF(ISERROR(Pol04_03),0,Pol04_03))</f>
        <v>0</v>
      </c>
      <c r="J1463" s="203"/>
      <c r="K1463" s="215"/>
      <c r="M1463" s="215"/>
      <c r="N1463" s="215"/>
      <c r="O1463" s="215"/>
      <c r="P1463" s="215"/>
      <c r="Q1463" s="215"/>
      <c r="Y1463" s="501"/>
      <c r="BI1463" s="106"/>
      <c r="BJ1463" s="106"/>
      <c r="BK1463" s="106"/>
      <c r="BL1463" s="106"/>
      <c r="BM1463" s="106"/>
      <c r="BN1463" s="106"/>
      <c r="BO1463" s="106"/>
    </row>
    <row r="1464" spans="2:67" ht="3" customHeight="1" x14ac:dyDescent="0.25">
      <c r="B1464" s="215"/>
      <c r="E1464" s="215"/>
      <c r="F1464" s="225"/>
      <c r="G1464" s="215"/>
      <c r="H1464" s="252"/>
      <c r="J1464" s="203"/>
      <c r="K1464" s="215"/>
      <c r="M1464" s="215"/>
      <c r="N1464" s="215"/>
      <c r="O1464" s="215"/>
      <c r="P1464" s="215"/>
      <c r="Q1464" s="215"/>
      <c r="Y1464" s="501"/>
      <c r="BI1464" s="106"/>
      <c r="BJ1464" s="106"/>
      <c r="BK1464" s="106"/>
      <c r="BL1464" s="106"/>
      <c r="BM1464" s="106"/>
      <c r="BN1464" s="106"/>
      <c r="BO1464" s="106"/>
    </row>
    <row r="1465" spans="2:67" x14ac:dyDescent="0.25">
      <c r="B1465" s="358"/>
      <c r="C1465" s="357"/>
      <c r="D1465" s="357"/>
      <c r="E1465" s="358"/>
      <c r="F1465" s="359" t="s">
        <v>297</v>
      </c>
      <c r="G1465" s="215"/>
      <c r="H1465" s="217" t="str">
        <f>IF(Pol04_switch=1,AIS_NA,IF(ISERROR((Pol04_05/Pol04_credits)*Pol04_tot),"",(Pol04_05/Pol04_credits)*Pol04_tot))</f>
        <v/>
      </c>
      <c r="J1465" s="203"/>
      <c r="K1465" s="215"/>
      <c r="M1465" s="215"/>
      <c r="N1465" s="215"/>
      <c r="O1465" s="215"/>
      <c r="P1465" s="215"/>
      <c r="Q1465" s="215"/>
      <c r="Y1465" s="501"/>
      <c r="BI1465" s="106"/>
      <c r="BJ1465" s="106"/>
      <c r="BK1465" s="106"/>
      <c r="BL1465" s="106"/>
      <c r="BM1465" s="106"/>
      <c r="BN1465" s="106"/>
      <c r="BO1465" s="106"/>
    </row>
    <row r="1466" spans="2:67" ht="3" customHeight="1" x14ac:dyDescent="0.25">
      <c r="K1466" s="215"/>
      <c r="M1466" s="215"/>
      <c r="N1466" s="215"/>
      <c r="O1466" s="215"/>
      <c r="P1466" s="215"/>
      <c r="Q1466" s="215"/>
      <c r="Y1466" s="501"/>
      <c r="BI1466" s="106"/>
      <c r="BJ1466" s="106"/>
      <c r="BK1466" s="106"/>
      <c r="BL1466" s="106"/>
      <c r="BM1466" s="106"/>
      <c r="BN1466" s="106"/>
      <c r="BO1466" s="106"/>
    </row>
    <row r="1467" spans="2:67" x14ac:dyDescent="0.25">
      <c r="B1467" s="358"/>
      <c r="C1467" s="357"/>
      <c r="D1467" s="357"/>
      <c r="E1467" s="358"/>
      <c r="F1467" s="359" t="s">
        <v>298</v>
      </c>
      <c r="H1467" s="216" t="s">
        <v>300</v>
      </c>
      <c r="K1467" s="215"/>
      <c r="M1467" s="215"/>
      <c r="N1467" s="215"/>
      <c r="O1467" s="215"/>
      <c r="P1467" s="215"/>
      <c r="Q1467" s="215"/>
      <c r="Y1467" s="501"/>
      <c r="BI1467" s="106"/>
      <c r="BJ1467" s="106"/>
      <c r="BK1467" s="106"/>
      <c r="BL1467" s="106"/>
      <c r="BM1467" s="106"/>
      <c r="BN1467" s="106"/>
      <c r="BO1467" s="106"/>
    </row>
    <row r="1468" spans="2:67" ht="3" customHeight="1" x14ac:dyDescent="0.25">
      <c r="K1468" s="215"/>
      <c r="M1468" s="215"/>
      <c r="N1468" s="215"/>
      <c r="O1468" s="215"/>
      <c r="P1468" s="215"/>
      <c r="Q1468" s="215"/>
      <c r="Y1468" s="501"/>
      <c r="BI1468" s="106"/>
      <c r="BJ1468" s="106"/>
      <c r="BK1468" s="106"/>
      <c r="BL1468" s="106"/>
      <c r="BM1468" s="106"/>
      <c r="BN1468" s="106"/>
      <c r="BO1468" s="106"/>
    </row>
    <row r="1469" spans="2:67" x14ac:dyDescent="0.25">
      <c r="B1469" s="358"/>
      <c r="C1469" s="357"/>
      <c r="D1469" s="358"/>
      <c r="E1469" s="358"/>
      <c r="F1469" s="359" t="s">
        <v>299</v>
      </c>
      <c r="H1469" s="216" t="s">
        <v>300</v>
      </c>
      <c r="K1469" s="215"/>
      <c r="M1469" s="215"/>
      <c r="N1469" s="215"/>
      <c r="O1469" s="215"/>
      <c r="P1469" s="215"/>
      <c r="Q1469" s="215"/>
      <c r="Y1469" s="501"/>
      <c r="BI1469" s="106"/>
      <c r="BJ1469" s="106"/>
      <c r="BK1469" s="106"/>
      <c r="BL1469" s="106"/>
      <c r="BM1469" s="106"/>
      <c r="BN1469" s="106"/>
      <c r="BO1469" s="106"/>
    </row>
    <row r="1470" spans="2:67" x14ac:dyDescent="0.25">
      <c r="M1470" s="215"/>
      <c r="N1470" s="215"/>
      <c r="O1470" s="215"/>
      <c r="P1470" s="215"/>
      <c r="Q1470" s="215"/>
      <c r="Y1470" s="501"/>
      <c r="BI1470" s="106"/>
      <c r="BJ1470" s="106"/>
      <c r="BK1470" s="106"/>
      <c r="BL1470" s="106"/>
      <c r="BM1470" s="106"/>
      <c r="BN1470" s="106"/>
      <c r="BO1470" s="106"/>
    </row>
    <row r="1471" spans="2:67" x14ac:dyDescent="0.25">
      <c r="B1471" s="235" t="s">
        <v>301</v>
      </c>
      <c r="C1471" s="215"/>
      <c r="D1471" s="215"/>
      <c r="E1471" s="215"/>
      <c r="F1471" s="225"/>
      <c r="G1471" s="215"/>
      <c r="H1471" s="215"/>
      <c r="I1471" s="215"/>
      <c r="J1471" s="215"/>
      <c r="K1471" s="215"/>
      <c r="L1471" s="215"/>
      <c r="M1471" s="215"/>
      <c r="N1471" s="215"/>
      <c r="O1471" s="215"/>
      <c r="P1471" s="215"/>
      <c r="Q1471" s="215"/>
      <c r="Y1471" s="501"/>
      <c r="BI1471" s="106"/>
      <c r="BJ1471" s="106"/>
      <c r="BK1471" s="106"/>
      <c r="BL1471" s="106"/>
      <c r="BM1471" s="106"/>
      <c r="BN1471" s="106"/>
      <c r="BO1471" s="106"/>
    </row>
    <row r="1472" spans="2:67" ht="159.94999999999999" customHeight="1" x14ac:dyDescent="0.25">
      <c r="B1472" s="736"/>
      <c r="C1472" s="737"/>
      <c r="D1472" s="737"/>
      <c r="E1472" s="737"/>
      <c r="F1472" s="737"/>
      <c r="G1472" s="737"/>
      <c r="H1472" s="737"/>
      <c r="I1472" s="737"/>
      <c r="J1472" s="737"/>
      <c r="K1472" s="737"/>
      <c r="L1472" s="737"/>
      <c r="M1472" s="737"/>
      <c r="N1472" s="737"/>
      <c r="O1472" s="737"/>
      <c r="P1472" s="738"/>
      <c r="Q1472" s="416"/>
      <c r="Y1472" s="501"/>
      <c r="BI1472" s="106"/>
      <c r="BJ1472" s="106"/>
      <c r="BK1472" s="106"/>
      <c r="BL1472" s="106"/>
      <c r="BM1472" s="106"/>
      <c r="BN1472" s="106"/>
      <c r="BO1472" s="106"/>
    </row>
    <row r="1473" spans="2:67" ht="36" customHeight="1" x14ac:dyDescent="0.25">
      <c r="B1473" s="27" t="s">
        <v>701</v>
      </c>
      <c r="C1473" s="13"/>
      <c r="D1473" s="236"/>
      <c r="E1473" s="237"/>
      <c r="F1473" s="237"/>
      <c r="G1473" s="237"/>
      <c r="H1473" s="237"/>
      <c r="I1473" s="237"/>
      <c r="J1473" s="237"/>
      <c r="K1473" s="237"/>
      <c r="L1473" s="237"/>
      <c r="M1473" s="237"/>
      <c r="N1473" s="237"/>
      <c r="O1473" s="237"/>
      <c r="P1473" s="329" t="str">
        <f>IF(ADPT=ADPT02,AIS_statement32,IF(AND(ADBT0=ADBT8,ADBT_sub01=ADBT_sub28),AIS_statement32,IF(Pol05_14=1,AIS_statement32,IF(AND(AD_heat=AD_none,AD_cool=AD_none),AIS_statement32,""))))</f>
        <v/>
      </c>
      <c r="Q1473" s="240"/>
      <c r="Y1473" s="501"/>
      <c r="BI1473" s="106"/>
      <c r="BJ1473" s="106"/>
      <c r="BK1473" s="106"/>
      <c r="BL1473" s="106"/>
      <c r="BM1473" s="106"/>
      <c r="BN1473" s="106"/>
      <c r="BO1473" s="106"/>
    </row>
    <row r="1474" spans="2:67" x14ac:dyDescent="0.25">
      <c r="B1474" s="215"/>
      <c r="C1474" s="215"/>
      <c r="D1474" s="215"/>
      <c r="E1474" s="215"/>
      <c r="F1474" s="215"/>
      <c r="G1474" s="215"/>
      <c r="H1474" s="215"/>
      <c r="I1474" s="215"/>
      <c r="J1474" s="215"/>
      <c r="K1474" s="215"/>
      <c r="L1474" s="215"/>
      <c r="M1474" s="215"/>
      <c r="N1474" s="215"/>
      <c r="O1474" s="215"/>
      <c r="P1474" s="215"/>
      <c r="Q1474" s="215"/>
      <c r="Y1474" s="501"/>
      <c r="BI1474" s="106"/>
      <c r="BJ1474" s="106"/>
      <c r="BK1474" s="106"/>
      <c r="BL1474" s="106"/>
      <c r="BM1474" s="106"/>
      <c r="BN1474" s="106"/>
      <c r="BO1474" s="106"/>
    </row>
    <row r="1475" spans="2:67" x14ac:dyDescent="0.25">
      <c r="B1475" s="357"/>
      <c r="C1475" s="357"/>
      <c r="D1475" s="358"/>
      <c r="E1475" s="358"/>
      <c r="F1475" s="359" t="s">
        <v>284</v>
      </c>
      <c r="G1475" s="215"/>
      <c r="H1475" s="216">
        <f>IF(Pol05_09=AIS_statement32,AIS_NA,1)</f>
        <v>1</v>
      </c>
      <c r="J1475" s="357"/>
      <c r="K1475" s="357"/>
      <c r="L1475" s="357"/>
      <c r="M1475" s="357"/>
      <c r="N1475" s="359" t="s">
        <v>285</v>
      </c>
      <c r="P1475" s="217" t="str">
        <f>IF(ISERROR(IF(Pol05_09=AIS_statement32,AIS_NA,(BP_41/BP_09)*Pol05_credits)),"",IF(Pol05_09=AIS_statement32,AIS_NA,(BP_41/BP_09)*Pol05_credits))</f>
        <v/>
      </c>
      <c r="Q1475" s="217"/>
      <c r="Y1475" s="501"/>
      <c r="BI1475" s="106"/>
      <c r="BJ1475" s="106"/>
      <c r="BK1475" s="106"/>
      <c r="BL1475" s="106"/>
      <c r="BM1475" s="106"/>
      <c r="BN1475" s="106"/>
      <c r="BO1475" s="106"/>
    </row>
    <row r="1476" spans="2:67" ht="3.75" customHeight="1" x14ac:dyDescent="0.25">
      <c r="Y1476" s="501"/>
      <c r="BI1476" s="106"/>
      <c r="BJ1476" s="106"/>
      <c r="BK1476" s="106"/>
      <c r="BL1476" s="106"/>
      <c r="BM1476" s="106"/>
      <c r="BN1476" s="106"/>
      <c r="BO1476" s="106"/>
    </row>
    <row r="1477" spans="2:67" x14ac:dyDescent="0.25">
      <c r="B1477" s="357"/>
      <c r="C1477" s="357"/>
      <c r="D1477" s="358"/>
      <c r="E1477" s="358"/>
      <c r="F1477" s="359" t="s">
        <v>286</v>
      </c>
      <c r="G1477" s="215"/>
      <c r="H1477" s="216">
        <f>IF(Pol05_09=AIS_statement32,AIS_NA,0)</f>
        <v>0</v>
      </c>
      <c r="J1477" s="358"/>
      <c r="K1477" s="358"/>
      <c r="L1477" s="358"/>
      <c r="M1477" s="358"/>
      <c r="N1477" s="359" t="s">
        <v>287</v>
      </c>
      <c r="O1477" s="215"/>
      <c r="P1477" s="216" t="str">
        <f>IF(Pol05_09=AIS_statement32,AIS_NA,AIS_No)</f>
        <v>No</v>
      </c>
      <c r="Q1477" s="216"/>
      <c r="Y1477" s="501"/>
      <c r="BI1477" s="106"/>
      <c r="BJ1477" s="106"/>
      <c r="BK1477" s="106"/>
      <c r="BL1477" s="106"/>
      <c r="BM1477" s="106"/>
      <c r="BN1477" s="106"/>
      <c r="BO1477" s="106"/>
    </row>
    <row r="1478" spans="2:67" ht="47.25" customHeight="1" x14ac:dyDescent="0.25">
      <c r="B1478" s="238" t="s">
        <v>288</v>
      </c>
      <c r="C1478" s="239"/>
      <c r="D1478" s="235"/>
      <c r="E1478" s="239"/>
      <c r="F1478" s="240"/>
      <c r="G1478" s="238"/>
      <c r="H1478" s="238"/>
      <c r="I1478" s="238"/>
      <c r="J1478" s="242" t="str">
        <f>IF(Pol05_02=AIS_No,"","Compliant")</f>
        <v>Compliant</v>
      </c>
      <c r="L1478" s="242" t="s">
        <v>290</v>
      </c>
      <c r="N1478" s="242" t="s">
        <v>291</v>
      </c>
      <c r="P1478" s="242"/>
      <c r="Q1478" s="242"/>
      <c r="Y1478" s="501"/>
      <c r="BI1478" s="106"/>
      <c r="BJ1478" s="106"/>
      <c r="BK1478" s="106"/>
      <c r="BL1478" s="106"/>
      <c r="BM1478" s="106"/>
      <c r="BN1478" s="106"/>
      <c r="BO1478" s="106"/>
    </row>
    <row r="1479" spans="2:67" ht="3" customHeight="1" x14ac:dyDescent="0.25">
      <c r="B1479" s="215"/>
      <c r="C1479" s="218"/>
      <c r="D1479" s="215"/>
      <c r="E1479" s="218"/>
      <c r="F1479" s="244"/>
      <c r="G1479" s="215"/>
      <c r="J1479" s="245"/>
      <c r="K1479" s="245"/>
      <c r="O1479" s="218"/>
      <c r="P1479" s="246"/>
      <c r="Q1479" s="246"/>
      <c r="Y1479" s="501"/>
      <c r="BI1479" s="106"/>
      <c r="BJ1479" s="106"/>
      <c r="BK1479" s="106"/>
      <c r="BL1479" s="106"/>
      <c r="BM1479" s="106"/>
      <c r="BN1479" s="106"/>
      <c r="BO1479" s="106"/>
    </row>
    <row r="1480" spans="2:67" ht="14.45" customHeight="1" x14ac:dyDescent="0.25">
      <c r="B1480" s="215"/>
      <c r="C1480" s="218"/>
      <c r="D1480" s="215"/>
      <c r="E1480" s="218"/>
      <c r="F1480" s="244"/>
      <c r="G1480" s="215"/>
      <c r="H1480" s="618" t="s">
        <v>702</v>
      </c>
      <c r="J1480" s="604"/>
      <c r="K1480" s="245"/>
      <c r="O1480" s="218"/>
      <c r="P1480" s="29">
        <f>IF(AND(ADBT0=ADBT8,ADBT_sub01=ADBT_sub29),1,0)</f>
        <v>0</v>
      </c>
      <c r="Q1480" s="688"/>
      <c r="R1480" s="192">
        <f>IF(AND(Pol05_12=1,Pol05_13=AIS_No),1,0)</f>
        <v>0</v>
      </c>
      <c r="Y1480" s="501"/>
      <c r="BI1480" s="106"/>
      <c r="BJ1480" s="106"/>
      <c r="BK1480" s="106"/>
      <c r="BL1480" s="106"/>
      <c r="BM1480" s="106"/>
      <c r="BN1480" s="106"/>
      <c r="BO1480" s="106"/>
    </row>
    <row r="1481" spans="2:67" ht="3" customHeight="1" x14ac:dyDescent="0.25">
      <c r="B1481" s="215"/>
      <c r="C1481" s="218"/>
      <c r="D1481" s="215"/>
      <c r="E1481" s="218"/>
      <c r="F1481" s="244"/>
      <c r="G1481" s="215"/>
      <c r="J1481" s="245"/>
      <c r="K1481" s="245"/>
      <c r="O1481" s="218"/>
      <c r="P1481" s="246"/>
      <c r="Q1481" s="246"/>
      <c r="Y1481" s="501"/>
      <c r="BI1481" s="106"/>
      <c r="BJ1481" s="106"/>
      <c r="BK1481" s="106"/>
      <c r="BL1481" s="106"/>
      <c r="BM1481" s="106"/>
      <c r="BN1481" s="106"/>
      <c r="BO1481" s="106"/>
    </row>
    <row r="1482" spans="2:67" x14ac:dyDescent="0.25">
      <c r="B1482" s="355"/>
      <c r="C1482" s="355"/>
      <c r="D1482" s="355"/>
      <c r="E1482" s="355"/>
      <c r="F1482" s="356"/>
      <c r="G1482" s="355"/>
      <c r="H1482" s="359" t="s">
        <v>703</v>
      </c>
      <c r="J1482" s="223"/>
      <c r="K1482" s="215"/>
      <c r="L1482" s="224">
        <f>Pol05_credits</f>
        <v>1</v>
      </c>
      <c r="M1482" s="215"/>
      <c r="N1482" s="224">
        <f>IF(Pol05_09=AIS_statement32,AIS_NA,IF(Pol05_02=AIS_No,Pol05_04,IF(AND(Pol05_02=AIS_Yes,Pol05_03=AIS_No),0,IF(AND(Pol05_02=AIS_Yes,Pol05_03=AIS_Yes),Pol05_04,0))))</f>
        <v>0</v>
      </c>
      <c r="R1482" s="316"/>
      <c r="S1482" s="58"/>
      <c r="T1482" s="58"/>
      <c r="U1482" s="58"/>
      <c r="V1482" s="58"/>
      <c r="W1482" s="58"/>
      <c r="Y1482" s="501"/>
      <c r="BI1482" s="106"/>
      <c r="BJ1482" s="106"/>
      <c r="BK1482" s="106"/>
      <c r="BL1482" s="106"/>
      <c r="BM1482" s="106"/>
      <c r="BN1482" s="106"/>
      <c r="BO1482" s="106"/>
    </row>
    <row r="1483" spans="2:67" customFormat="1" ht="3" customHeight="1" x14ac:dyDescent="0.25">
      <c r="P1483" s="1"/>
      <c r="Q1483" s="1"/>
      <c r="AX1483" s="521"/>
      <c r="AY1483" s="521"/>
      <c r="AZ1483" s="521"/>
      <c r="BA1483" s="521"/>
      <c r="BB1483" s="521"/>
      <c r="BC1483" s="521"/>
      <c r="BD1483" s="521"/>
      <c r="BE1483" s="521"/>
      <c r="BF1483" s="521"/>
      <c r="BG1483" s="521"/>
      <c r="BH1483" s="521"/>
      <c r="BI1483" s="533"/>
      <c r="BJ1483" s="533"/>
      <c r="BK1483" s="533"/>
      <c r="BL1483" s="533"/>
      <c r="BM1483" s="533"/>
      <c r="BN1483" s="533"/>
      <c r="BO1483" s="533"/>
    </row>
    <row r="1484" spans="2:67" x14ac:dyDescent="0.25">
      <c r="B1484" s="355"/>
      <c r="C1484" s="355"/>
      <c r="D1484" s="355"/>
      <c r="E1484" s="355"/>
      <c r="F1484" s="355"/>
      <c r="G1484" s="355"/>
      <c r="H1484" s="359" t="s">
        <v>704</v>
      </c>
      <c r="J1484" s="223"/>
      <c r="K1484" s="215"/>
      <c r="O1484" s="215"/>
      <c r="R1484" s="319"/>
      <c r="S1484" s="58"/>
      <c r="T1484" s="58"/>
      <c r="U1484" s="58"/>
      <c r="V1484" s="58"/>
      <c r="W1484" s="58"/>
      <c r="Y1484" s="501"/>
      <c r="BI1484" s="106"/>
      <c r="BJ1484" s="106"/>
      <c r="BK1484" s="106"/>
      <c r="BL1484" s="106"/>
      <c r="BM1484" s="106"/>
      <c r="BN1484" s="106"/>
      <c r="BO1484" s="106"/>
    </row>
    <row r="1485" spans="2:67" x14ac:dyDescent="0.25">
      <c r="Y1485" s="501"/>
      <c r="BI1485" s="106"/>
      <c r="BJ1485" s="106"/>
      <c r="BK1485" s="106"/>
      <c r="BL1485" s="106"/>
      <c r="BM1485" s="106"/>
      <c r="BN1485" s="106"/>
      <c r="BO1485" s="106"/>
    </row>
    <row r="1486" spans="2:67" x14ac:dyDescent="0.25">
      <c r="B1486" s="358"/>
      <c r="C1486" s="357"/>
      <c r="D1486" s="357"/>
      <c r="E1486" s="358"/>
      <c r="F1486" s="359" t="s">
        <v>296</v>
      </c>
      <c r="G1486" s="215"/>
      <c r="H1486" s="216">
        <f>IF(ISERROR(Pol05_Tot_Err),0,Pol05_Tot_Err)</f>
        <v>0</v>
      </c>
      <c r="J1486" s="203"/>
      <c r="K1486" s="215"/>
      <c r="M1486" s="215"/>
      <c r="N1486" s="215"/>
      <c r="O1486" s="215"/>
      <c r="P1486" s="215"/>
      <c r="Q1486" s="215"/>
      <c r="Y1486" s="501"/>
      <c r="BI1486" s="106"/>
      <c r="BJ1486" s="106"/>
      <c r="BK1486" s="106"/>
      <c r="BL1486" s="106"/>
      <c r="BM1486" s="106"/>
      <c r="BN1486" s="106"/>
      <c r="BO1486" s="106"/>
    </row>
    <row r="1487" spans="2:67" ht="3" customHeight="1" x14ac:dyDescent="0.25">
      <c r="B1487" s="215"/>
      <c r="E1487" s="215"/>
      <c r="F1487" s="225"/>
      <c r="G1487" s="215"/>
      <c r="H1487" s="252"/>
      <c r="J1487" s="203"/>
      <c r="K1487" s="215"/>
      <c r="M1487" s="215"/>
      <c r="N1487" s="215"/>
      <c r="O1487" s="215"/>
      <c r="P1487" s="215"/>
      <c r="Q1487" s="215"/>
      <c r="Y1487" s="501"/>
      <c r="BI1487" s="106"/>
      <c r="BJ1487" s="106"/>
      <c r="BK1487" s="106"/>
      <c r="BL1487" s="106"/>
      <c r="BM1487" s="106"/>
      <c r="BN1487" s="106"/>
      <c r="BO1487" s="106"/>
    </row>
    <row r="1488" spans="2:67" x14ac:dyDescent="0.25">
      <c r="B1488" s="358"/>
      <c r="C1488" s="357"/>
      <c r="D1488" s="357"/>
      <c r="E1488" s="358"/>
      <c r="F1488" s="359" t="s">
        <v>297</v>
      </c>
      <c r="G1488" s="215"/>
      <c r="H1488" s="217" t="str">
        <f>IF(ISERROR(IF(Pol05_09=AIS_statement32,AIS_NA,(Pol05_10/Pol05_credits)*Pol05_tot)),"",IF(Pol05_09=AIS_statement32,AIS_NA,(Pol05_10/Pol05_credits)*Pol05_tot))</f>
        <v/>
      </c>
      <c r="J1488" s="203"/>
      <c r="K1488" s="215"/>
      <c r="M1488" s="215"/>
      <c r="N1488" s="215"/>
      <c r="O1488" s="215"/>
      <c r="P1488" s="215"/>
      <c r="Q1488" s="215"/>
      <c r="Y1488" s="501"/>
      <c r="BI1488" s="106"/>
      <c r="BJ1488" s="106"/>
      <c r="BK1488" s="106"/>
      <c r="BL1488" s="106"/>
      <c r="BM1488" s="106"/>
      <c r="BN1488" s="106"/>
      <c r="BO1488" s="106"/>
    </row>
    <row r="1489" spans="2:67" ht="3" customHeight="1" x14ac:dyDescent="0.25">
      <c r="K1489" s="215"/>
      <c r="M1489" s="215"/>
      <c r="N1489" s="215"/>
      <c r="O1489" s="215"/>
      <c r="P1489" s="215"/>
      <c r="Q1489" s="215"/>
      <c r="Y1489" s="501"/>
      <c r="BI1489" s="106"/>
      <c r="BJ1489" s="106"/>
      <c r="BK1489" s="106"/>
      <c r="BL1489" s="106"/>
      <c r="BM1489" s="106"/>
      <c r="BN1489" s="106"/>
      <c r="BO1489" s="106"/>
    </row>
    <row r="1490" spans="2:67" x14ac:dyDescent="0.25">
      <c r="B1490" s="358"/>
      <c r="C1490" s="357"/>
      <c r="D1490" s="357"/>
      <c r="E1490" s="358"/>
      <c r="F1490" s="359" t="s">
        <v>298</v>
      </c>
      <c r="H1490" s="216" t="s">
        <v>300</v>
      </c>
      <c r="K1490" s="215"/>
      <c r="M1490" s="215"/>
      <c r="N1490" s="215"/>
      <c r="O1490" s="215"/>
      <c r="P1490" s="215"/>
      <c r="Q1490" s="215"/>
      <c r="Y1490" s="501"/>
      <c r="BI1490" s="106"/>
      <c r="BJ1490" s="106"/>
      <c r="BK1490" s="106"/>
      <c r="BL1490" s="106"/>
      <c r="BM1490" s="106"/>
      <c r="BN1490" s="106"/>
      <c r="BO1490" s="106"/>
    </row>
    <row r="1491" spans="2:67" ht="3" customHeight="1" x14ac:dyDescent="0.25">
      <c r="K1491" s="215"/>
      <c r="M1491" s="215"/>
      <c r="N1491" s="215"/>
      <c r="O1491" s="215"/>
      <c r="P1491" s="215"/>
      <c r="Q1491" s="215"/>
      <c r="Y1491" s="501"/>
      <c r="BI1491" s="106"/>
      <c r="BJ1491" s="106"/>
      <c r="BK1491" s="106"/>
      <c r="BL1491" s="106"/>
      <c r="BM1491" s="106"/>
      <c r="BN1491" s="106"/>
      <c r="BO1491" s="106"/>
    </row>
    <row r="1492" spans="2:67" x14ac:dyDescent="0.25">
      <c r="B1492" s="358"/>
      <c r="C1492" s="357"/>
      <c r="D1492" s="358"/>
      <c r="E1492" s="358"/>
      <c r="F1492" s="359" t="s">
        <v>299</v>
      </c>
      <c r="H1492" s="216" t="s">
        <v>300</v>
      </c>
      <c r="K1492" s="215"/>
      <c r="M1492" s="215"/>
      <c r="N1492" s="215"/>
      <c r="O1492" s="215"/>
      <c r="P1492" s="215"/>
      <c r="Q1492" s="215"/>
      <c r="Y1492" s="501"/>
      <c r="BI1492" s="106"/>
      <c r="BJ1492" s="106"/>
      <c r="BK1492" s="106"/>
      <c r="BL1492" s="106"/>
      <c r="BM1492" s="106"/>
      <c r="BN1492" s="106"/>
      <c r="BO1492" s="106"/>
    </row>
    <row r="1493" spans="2:67" x14ac:dyDescent="0.25">
      <c r="M1493" s="215"/>
      <c r="N1493" s="215"/>
      <c r="O1493" s="215"/>
      <c r="P1493" s="215"/>
      <c r="Q1493" s="215"/>
      <c r="Y1493" s="501"/>
      <c r="BI1493" s="106"/>
      <c r="BJ1493" s="106"/>
      <c r="BK1493" s="106"/>
      <c r="BL1493" s="106"/>
      <c r="BM1493" s="106"/>
      <c r="BN1493" s="106"/>
      <c r="BO1493" s="106"/>
    </row>
    <row r="1494" spans="2:67" x14ac:dyDescent="0.25">
      <c r="B1494" s="235" t="s">
        <v>301</v>
      </c>
      <c r="C1494" s="215"/>
      <c r="D1494" s="215"/>
      <c r="E1494" s="215"/>
      <c r="F1494" s="225"/>
      <c r="G1494" s="215"/>
      <c r="H1494" s="215"/>
      <c r="I1494" s="215"/>
      <c r="J1494" s="215"/>
      <c r="K1494" s="215"/>
      <c r="L1494" s="215"/>
      <c r="M1494" s="215"/>
      <c r="N1494" s="215"/>
      <c r="O1494" s="215"/>
      <c r="P1494" s="215"/>
      <c r="Q1494" s="215"/>
      <c r="Y1494" s="501"/>
      <c r="BI1494" s="106"/>
      <c r="BJ1494" s="106"/>
      <c r="BK1494" s="106"/>
      <c r="BL1494" s="106"/>
      <c r="BM1494" s="106"/>
      <c r="BN1494" s="106"/>
      <c r="BO1494" s="106"/>
    </row>
    <row r="1495" spans="2:67" ht="159.94999999999999" customHeight="1" x14ac:dyDescent="0.25">
      <c r="B1495" s="736"/>
      <c r="C1495" s="737"/>
      <c r="D1495" s="737"/>
      <c r="E1495" s="737"/>
      <c r="F1495" s="737"/>
      <c r="G1495" s="737"/>
      <c r="H1495" s="737"/>
      <c r="I1495" s="737"/>
      <c r="J1495" s="737"/>
      <c r="K1495" s="737"/>
      <c r="L1495" s="737"/>
      <c r="M1495" s="737"/>
      <c r="N1495" s="737"/>
      <c r="O1495" s="737"/>
      <c r="P1495" s="738"/>
      <c r="Q1495" s="209"/>
      <c r="Y1495" s="501"/>
      <c r="BI1495" s="106"/>
      <c r="BJ1495" s="106"/>
      <c r="BK1495" s="106"/>
      <c r="BL1495" s="106"/>
      <c r="BM1495" s="106"/>
      <c r="BN1495" s="106"/>
      <c r="BO1495" s="106"/>
    </row>
    <row r="1496" spans="2:67" ht="24.95" customHeight="1" x14ac:dyDescent="0.25">
      <c r="Y1496" s="501"/>
      <c r="BI1496" s="106"/>
      <c r="BJ1496" s="106"/>
      <c r="BK1496" s="106"/>
      <c r="BL1496" s="106"/>
      <c r="BM1496" s="106"/>
      <c r="BN1496" s="106"/>
      <c r="BO1496" s="106"/>
    </row>
    <row r="1497" spans="2:67" ht="24.95" customHeight="1" x14ac:dyDescent="0.25">
      <c r="B1497" s="360" t="s">
        <v>705</v>
      </c>
      <c r="C1497" s="361"/>
      <c r="D1497" s="361"/>
      <c r="E1497" s="361"/>
      <c r="F1497" s="361"/>
      <c r="G1497" s="361"/>
      <c r="H1497" s="361"/>
      <c r="I1497" s="361"/>
      <c r="J1497" s="361"/>
      <c r="K1497" s="361"/>
      <c r="L1497" s="361"/>
      <c r="M1497" s="361"/>
      <c r="N1497" s="362"/>
      <c r="O1497" s="361"/>
      <c r="P1497" s="366"/>
      <c r="Q1497" s="366"/>
      <c r="Y1497" s="501"/>
      <c r="BI1497" s="106"/>
      <c r="BJ1497" s="106"/>
      <c r="BK1497" s="106"/>
      <c r="BL1497" s="106"/>
      <c r="BM1497" s="106"/>
      <c r="BN1497" s="106"/>
      <c r="BO1497" s="106"/>
    </row>
    <row r="1498" spans="2:67" ht="15" customHeight="1" x14ac:dyDescent="0.25">
      <c r="Y1498" s="501"/>
      <c r="BI1498" s="106"/>
      <c r="BJ1498" s="106"/>
      <c r="BK1498" s="106"/>
      <c r="BL1498" s="106"/>
      <c r="BM1498" s="106"/>
      <c r="BN1498" s="106"/>
      <c r="BO1498" s="106"/>
    </row>
    <row r="1499" spans="2:67" ht="15" customHeight="1" x14ac:dyDescent="0.25">
      <c r="B1499" s="24" t="s">
        <v>706</v>
      </c>
      <c r="C1499" s="13"/>
      <c r="D1499" s="236"/>
      <c r="E1499" s="237"/>
      <c r="F1499" s="237"/>
      <c r="G1499" s="237"/>
      <c r="H1499" s="237"/>
      <c r="I1499" s="237"/>
      <c r="J1499" s="237"/>
      <c r="K1499" s="237"/>
      <c r="L1499" s="237"/>
      <c r="M1499" s="237"/>
      <c r="N1499" s="237"/>
      <c r="O1499" s="237"/>
      <c r="P1499" s="237"/>
      <c r="Q1499" s="215"/>
      <c r="Y1499" s="501"/>
      <c r="BI1499" s="106"/>
      <c r="BJ1499" s="106"/>
      <c r="BK1499" s="106"/>
      <c r="BL1499" s="106"/>
      <c r="BM1499" s="106"/>
      <c r="BN1499" s="106"/>
      <c r="BO1499" s="106"/>
    </row>
    <row r="1500" spans="2:67" ht="15" customHeight="1" x14ac:dyDescent="0.25">
      <c r="B1500" s="215"/>
      <c r="C1500" s="215"/>
      <c r="D1500" s="215"/>
      <c r="E1500" s="215"/>
      <c r="F1500" s="215"/>
      <c r="G1500" s="215"/>
      <c r="H1500" s="215"/>
      <c r="I1500" s="215"/>
      <c r="J1500" s="215"/>
      <c r="K1500" s="215"/>
      <c r="L1500" s="215"/>
      <c r="M1500" s="215"/>
      <c r="N1500" s="215"/>
      <c r="O1500" s="215"/>
      <c r="P1500" s="215"/>
      <c r="Q1500" s="215"/>
      <c r="Y1500" s="501"/>
      <c r="BI1500" s="106"/>
      <c r="BJ1500" s="106"/>
      <c r="BK1500" s="106"/>
      <c r="BL1500" s="106"/>
      <c r="BM1500" s="106"/>
      <c r="BN1500" s="106"/>
      <c r="BO1500" s="106"/>
    </row>
    <row r="1501" spans="2:67" ht="15" customHeight="1" x14ac:dyDescent="0.25">
      <c r="B1501" s="357"/>
      <c r="C1501" s="357"/>
      <c r="D1501" s="358"/>
      <c r="E1501" s="358"/>
      <c r="F1501" s="359" t="s">
        <v>286</v>
      </c>
      <c r="G1501" s="215"/>
      <c r="H1501" s="216">
        <v>10</v>
      </c>
      <c r="J1501" s="357"/>
      <c r="K1501" s="357"/>
      <c r="L1501" s="358"/>
      <c r="M1501" s="358"/>
      <c r="N1501" s="359" t="s">
        <v>285</v>
      </c>
      <c r="O1501" s="215"/>
      <c r="P1501" s="217">
        <f>(0.1/BP_10)*Inn01_credits</f>
        <v>0.1</v>
      </c>
      <c r="Q1501" s="217"/>
      <c r="Y1501" s="501"/>
      <c r="BI1501" s="106"/>
      <c r="BJ1501" s="106"/>
      <c r="BK1501" s="106"/>
      <c r="BL1501" s="106"/>
      <c r="BM1501" s="106"/>
      <c r="BN1501" s="106"/>
      <c r="BO1501" s="106"/>
    </row>
    <row r="1502" spans="2:67" ht="3" customHeight="1" x14ac:dyDescent="0.25">
      <c r="Y1502" s="501"/>
      <c r="BI1502" s="106"/>
      <c r="BJ1502" s="106"/>
      <c r="BK1502" s="106"/>
      <c r="BL1502" s="106"/>
      <c r="BM1502" s="106"/>
      <c r="BN1502" s="106"/>
      <c r="BO1502" s="106"/>
    </row>
    <row r="1503" spans="2:67" ht="15" customHeight="1" x14ac:dyDescent="0.25">
      <c r="J1503" s="358"/>
      <c r="K1503" s="358"/>
      <c r="L1503" s="358"/>
      <c r="M1503" s="358"/>
      <c r="N1503" s="359" t="s">
        <v>287</v>
      </c>
      <c r="O1503" s="215"/>
      <c r="P1503" s="216" t="s">
        <v>125</v>
      </c>
      <c r="Q1503" s="216"/>
      <c r="Y1503" s="501"/>
      <c r="BI1503" s="106"/>
      <c r="BJ1503" s="106"/>
      <c r="BK1503" s="106"/>
      <c r="BL1503" s="106"/>
      <c r="BM1503" s="106"/>
      <c r="BN1503" s="106"/>
      <c r="BO1503" s="106"/>
    </row>
    <row r="1504" spans="2:67" ht="47.25" customHeight="1" x14ac:dyDescent="0.25">
      <c r="B1504" s="23" t="s">
        <v>288</v>
      </c>
      <c r="C1504" s="218"/>
      <c r="D1504" s="215"/>
      <c r="E1504" s="218"/>
      <c r="F1504" s="255"/>
      <c r="J1504" s="219" t="s">
        <v>289</v>
      </c>
      <c r="K1504" s="219"/>
      <c r="L1504" s="220" t="s">
        <v>290</v>
      </c>
      <c r="M1504" s="23"/>
      <c r="N1504" s="220" t="s">
        <v>291</v>
      </c>
      <c r="O1504" s="23"/>
      <c r="S1504" s="19"/>
      <c r="Y1504" s="501"/>
      <c r="BI1504" s="106"/>
      <c r="BJ1504" s="106"/>
      <c r="BK1504" s="106"/>
      <c r="BL1504" s="106"/>
      <c r="BM1504" s="106"/>
      <c r="BN1504" s="106"/>
      <c r="BO1504" s="106"/>
    </row>
    <row r="1505" spans="2:67" ht="3" customHeight="1" x14ac:dyDescent="0.25">
      <c r="B1505" s="215"/>
      <c r="C1505" s="218"/>
      <c r="D1505" s="215"/>
      <c r="E1505" s="218"/>
      <c r="F1505" s="244"/>
      <c r="G1505" s="215"/>
      <c r="J1505" s="245"/>
      <c r="K1505" s="245"/>
      <c r="L1505" s="215"/>
      <c r="M1505" s="215"/>
      <c r="N1505" s="246"/>
      <c r="O1505" s="218"/>
      <c r="Y1505" s="501"/>
      <c r="BI1505" s="106"/>
      <c r="BJ1505" s="106"/>
      <c r="BK1505" s="106"/>
      <c r="BL1505" s="106"/>
      <c r="BM1505" s="106"/>
      <c r="BN1505" s="106"/>
      <c r="BO1505" s="106"/>
    </row>
    <row r="1506" spans="2:67" ht="15" hidden="1" customHeight="1" x14ac:dyDescent="0.25">
      <c r="B1506" s="358"/>
      <c r="C1506" s="358"/>
      <c r="D1506" s="358"/>
      <c r="E1506" s="358"/>
      <c r="F1506" s="359"/>
      <c r="G1506" s="358"/>
      <c r="H1506" s="359" t="str">
        <f>Man_03</f>
        <v>Man 03 Responsible construction practices</v>
      </c>
      <c r="J1506" s="224" t="str">
        <f>IF(Man03_11c=AIS_Yes,AIS_Yes,AIS_No)</f>
        <v>No</v>
      </c>
      <c r="K1506" s="215"/>
      <c r="L1506" s="224">
        <f>Man03_inn</f>
        <v>0</v>
      </c>
      <c r="M1506" s="215"/>
      <c r="N1506" s="224">
        <f>Man03_47</f>
        <v>0</v>
      </c>
      <c r="O1506" s="215"/>
      <c r="S1506" s="19"/>
      <c r="Y1506" s="501"/>
      <c r="BI1506" s="106"/>
      <c r="BJ1506" s="106"/>
      <c r="BK1506" s="106"/>
      <c r="BL1506" s="106"/>
      <c r="BM1506" s="106"/>
      <c r="BN1506" s="106"/>
      <c r="BO1506" s="106"/>
    </row>
    <row r="1507" spans="2:67" ht="15" customHeight="1" x14ac:dyDescent="0.25">
      <c r="B1507" s="358"/>
      <c r="C1507" s="358"/>
      <c r="D1507" s="358"/>
      <c r="E1507" s="358"/>
      <c r="F1507" s="359"/>
      <c r="G1507" s="358"/>
      <c r="H1507" s="359" t="str">
        <f>Man_05</f>
        <v>Man 05 Aftercare</v>
      </c>
      <c r="J1507" s="224" t="str">
        <f>IF(Man05_exemp_01=AIS_NA,AIS_NA,IF(Man05_exemp_02&gt;0,AIS_Yes,AIS_No))</f>
        <v>No</v>
      </c>
      <c r="K1507" s="215"/>
      <c r="L1507" s="224">
        <f>H140</f>
        <v>1</v>
      </c>
      <c r="M1507" s="215"/>
      <c r="N1507" s="224">
        <f>Man05_exemp_02</f>
        <v>0</v>
      </c>
      <c r="O1507" s="215"/>
      <c r="R1507" s="314"/>
      <c r="S1507" s="19"/>
      <c r="Y1507" s="501"/>
      <c r="BI1507" s="106"/>
      <c r="BJ1507" s="106"/>
      <c r="BK1507" s="106"/>
      <c r="BL1507" s="106"/>
      <c r="BM1507" s="106"/>
      <c r="BN1507" s="106"/>
      <c r="BO1507" s="106"/>
    </row>
    <row r="1508" spans="2:67" ht="15" hidden="1" customHeight="1" x14ac:dyDescent="0.25">
      <c r="B1508" s="358"/>
      <c r="C1508" s="358"/>
      <c r="D1508" s="358"/>
      <c r="E1508" s="358"/>
      <c r="F1508" s="359"/>
      <c r="G1508" s="358"/>
      <c r="H1508" s="359" t="str">
        <f>B182</f>
        <v>Hea 01 Visual Comfort</v>
      </c>
      <c r="J1508" s="224" t="str">
        <f>IF(N194&gt;0,AIS_Yes,AIS_No)</f>
        <v>No</v>
      </c>
      <c r="K1508" s="215"/>
      <c r="L1508" s="224">
        <f>H186</f>
        <v>0</v>
      </c>
      <c r="M1508" s="215"/>
      <c r="N1508" s="224" t="str">
        <f>Hea01_25</f>
        <v>N/A</v>
      </c>
      <c r="O1508" s="215"/>
      <c r="S1508" s="19"/>
      <c r="T1508" s="17"/>
      <c r="U1508" s="17"/>
      <c r="V1508" s="17"/>
      <c r="W1508" s="17"/>
      <c r="X1508" s="17"/>
      <c r="Y1508" s="501"/>
      <c r="BI1508" s="106"/>
      <c r="BJ1508" s="106"/>
      <c r="BK1508" s="106"/>
      <c r="BL1508" s="106"/>
      <c r="BM1508" s="106"/>
      <c r="BN1508" s="106"/>
      <c r="BO1508" s="106"/>
    </row>
    <row r="1509" spans="2:67" ht="15" customHeight="1" x14ac:dyDescent="0.25">
      <c r="B1509" s="357"/>
      <c r="C1509" s="357"/>
      <c r="D1509" s="357"/>
      <c r="E1509" s="357"/>
      <c r="F1509" s="357"/>
      <c r="G1509" s="357"/>
      <c r="H1509" s="364" t="str">
        <f>Hea_02</f>
        <v>Hea 02 Indoor Air Quality</v>
      </c>
      <c r="J1509" s="224" t="str">
        <f>IF(H210=AIS_NA,AIS_NA,IF(Hea02_30&gt;0,AIS_Yes,AIS_No))</f>
        <v>No</v>
      </c>
      <c r="L1509" s="247">
        <f>H210</f>
        <v>2</v>
      </c>
      <c r="N1509" s="247">
        <f>Hea02_30</f>
        <v>0</v>
      </c>
      <c r="S1509" s="19"/>
      <c r="Y1509" s="501"/>
      <c r="BI1509" s="106"/>
      <c r="BJ1509" s="106"/>
      <c r="BK1509" s="106"/>
      <c r="BL1509" s="106"/>
      <c r="BM1509" s="106"/>
      <c r="BN1509" s="106"/>
      <c r="BO1509" s="106"/>
    </row>
    <row r="1510" spans="2:67" ht="15" customHeight="1" x14ac:dyDescent="0.25">
      <c r="B1510" s="358"/>
      <c r="C1510" s="358"/>
      <c r="D1510" s="358"/>
      <c r="E1510" s="358"/>
      <c r="F1510" s="359"/>
      <c r="G1510" s="358"/>
      <c r="H1510" s="359" t="str">
        <f>Ene_04</f>
        <v>Ene 04 Low carbon design</v>
      </c>
      <c r="J1510" s="224" t="str">
        <f>IF(Ene04_15&gt;0,AIS_Yes,AIS_No)</f>
        <v>No</v>
      </c>
      <c r="K1510" s="215"/>
      <c r="L1510" s="262">
        <f>Ene04_17</f>
        <v>5</v>
      </c>
      <c r="M1510" s="215"/>
      <c r="N1510" s="224">
        <f>IFERROR(Ene04_15,0)</f>
        <v>0</v>
      </c>
      <c r="O1510" s="215"/>
      <c r="S1510" s="19"/>
      <c r="Y1510" s="501"/>
      <c r="BI1510" s="106"/>
      <c r="BJ1510" s="106"/>
      <c r="BK1510" s="106"/>
      <c r="BL1510" s="106"/>
      <c r="BM1510" s="106"/>
      <c r="BN1510" s="106"/>
      <c r="BO1510" s="106"/>
    </row>
    <row r="1511" spans="2:67" ht="15" customHeight="1" x14ac:dyDescent="0.25">
      <c r="B1511" s="357"/>
      <c r="C1511" s="357"/>
      <c r="D1511" s="357"/>
      <c r="E1511" s="357"/>
      <c r="F1511" s="357"/>
      <c r="G1511" s="357"/>
      <c r="H1511" s="364" t="str">
        <f>IF(ADBT0=ADBT8,Tra_03b,Tra_03)</f>
        <v>Tra 03a Alternative modes of transport</v>
      </c>
      <c r="J1511" s="224" t="str">
        <f>IF(ADBT0=ADBT8,IF(Tra03b_Inn=1,AIS_Yes,AIS_No),IF(Tra03b_Inn=1,AIS_Yes,AIS_No))</f>
        <v>No</v>
      </c>
      <c r="L1511" s="224">
        <v>1</v>
      </c>
      <c r="N1511" s="224">
        <f>IF(ADBT0=ADBT8,Tra03b_Inn,Tra03a_Inn)</f>
        <v>0</v>
      </c>
      <c r="S1511" s="19"/>
      <c r="Y1511" s="501"/>
      <c r="BI1511" s="106"/>
      <c r="BJ1511" s="106"/>
      <c r="BK1511" s="106"/>
      <c r="BL1511" s="106"/>
      <c r="BM1511" s="106"/>
      <c r="BN1511" s="106"/>
      <c r="BO1511" s="106"/>
    </row>
    <row r="1512" spans="2:67" ht="15" customHeight="1" x14ac:dyDescent="0.25">
      <c r="B1512" s="357"/>
      <c r="C1512" s="357"/>
      <c r="D1512" s="357"/>
      <c r="E1512" s="357"/>
      <c r="F1512" s="357"/>
      <c r="G1512" s="357"/>
      <c r="H1512" s="364" t="str">
        <f>B810</f>
        <v>Wat 01 Water Consumption</v>
      </c>
      <c r="J1512" s="224" t="str">
        <f>IF(Wat01_00=AIS_NA,AIS_NA,IF(Wat01_08&gt;0,AIS_Yes,AIS_No))</f>
        <v>No</v>
      </c>
      <c r="L1512" s="247">
        <f>Wat01_00</f>
        <v>1</v>
      </c>
      <c r="N1512" s="247">
        <f>Wat01_08</f>
        <v>0</v>
      </c>
      <c r="S1512" s="19"/>
      <c r="Y1512" s="501"/>
      <c r="BI1512" s="106"/>
      <c r="BJ1512" s="106"/>
      <c r="BK1512" s="106"/>
      <c r="BL1512" s="106"/>
      <c r="BM1512" s="106"/>
      <c r="BN1512" s="106"/>
      <c r="BO1512" s="106"/>
    </row>
    <row r="1513" spans="2:67" ht="16.5" customHeight="1" x14ac:dyDescent="0.25">
      <c r="B1513" s="357"/>
      <c r="C1513" s="357"/>
      <c r="D1513" s="357"/>
      <c r="E1513" s="357"/>
      <c r="F1513" s="357"/>
      <c r="G1513" s="357"/>
      <c r="H1513" s="364" t="s">
        <v>707</v>
      </c>
      <c r="J1513" s="224" t="str">
        <f>IF(OR(Mat01_07=AIS_No,Mat01_07=""),AIS_No,IF(Mat01_07=AIS_Yes,AIS_Yes))</f>
        <v>No</v>
      </c>
      <c r="L1513" s="247">
        <f>Mat01_02</f>
        <v>1</v>
      </c>
      <c r="N1513" s="247">
        <f>Mat01_08</f>
        <v>0</v>
      </c>
      <c r="S1513" s="19"/>
      <c r="Y1513" s="501"/>
      <c r="BI1513" s="106"/>
      <c r="BJ1513" s="106"/>
      <c r="BK1513" s="106"/>
      <c r="BL1513" s="106"/>
      <c r="BM1513" s="106"/>
      <c r="BN1513" s="106"/>
      <c r="BO1513" s="106"/>
    </row>
    <row r="1514" spans="2:67" ht="16.5" customHeight="1" x14ac:dyDescent="0.25">
      <c r="B1514" s="357"/>
      <c r="C1514" s="357"/>
      <c r="D1514" s="357"/>
      <c r="E1514" s="357"/>
      <c r="F1514" s="357"/>
      <c r="G1514" s="357"/>
      <c r="H1514" s="364" t="s">
        <v>708</v>
      </c>
      <c r="J1514" s="224" t="str">
        <f>IF(Mat03_35&gt;0,AIS_Yes,AIS_No)</f>
        <v>No</v>
      </c>
      <c r="L1514" s="247">
        <f>Mat03_02</f>
        <v>1</v>
      </c>
      <c r="N1514" s="247">
        <f>Mat03_35</f>
        <v>0</v>
      </c>
      <c r="S1514" s="19"/>
      <c r="Y1514" s="501"/>
      <c r="BI1514" s="106"/>
      <c r="BJ1514" s="106"/>
      <c r="BK1514" s="106"/>
      <c r="BL1514" s="106"/>
      <c r="BM1514" s="106"/>
      <c r="BN1514" s="106"/>
      <c r="BO1514" s="106"/>
    </row>
    <row r="1515" spans="2:67" ht="16.5" customHeight="1" x14ac:dyDescent="0.25">
      <c r="B1515" s="357"/>
      <c r="C1515" s="357"/>
      <c r="D1515" s="357"/>
      <c r="E1515" s="357"/>
      <c r="F1515" s="357"/>
      <c r="G1515" s="357"/>
      <c r="H1515" s="364" t="s">
        <v>580</v>
      </c>
      <c r="J1515" s="224" t="str">
        <f>IF(Mat07_10=1,AIS_Yes,AIS_No)</f>
        <v>No</v>
      </c>
      <c r="L1515" s="247">
        <f>Mat07_08</f>
        <v>1</v>
      </c>
      <c r="N1515" s="247">
        <f>Mat07_10</f>
        <v>0</v>
      </c>
      <c r="S1515" s="19"/>
      <c r="Y1515" s="501"/>
      <c r="BI1515" s="106"/>
      <c r="BJ1515" s="106"/>
      <c r="BK1515" s="106"/>
      <c r="BL1515" s="106"/>
      <c r="BM1515" s="106"/>
      <c r="BN1515" s="106"/>
      <c r="BO1515" s="106"/>
    </row>
    <row r="1516" spans="2:67" ht="16.5" customHeight="1" x14ac:dyDescent="0.25">
      <c r="B1516" s="357"/>
      <c r="C1516" s="357"/>
      <c r="D1516" s="357"/>
      <c r="E1516" s="357"/>
      <c r="F1516" s="357"/>
      <c r="G1516" s="357"/>
      <c r="H1516" s="364" t="s">
        <v>709</v>
      </c>
      <c r="J1516" s="224" t="str">
        <f>IF(Wst01_17=1,AIS_Yes,AIS_No)</f>
        <v>No</v>
      </c>
      <c r="L1516" s="247">
        <f>Wst01_74</f>
        <v>1</v>
      </c>
      <c r="N1516" s="247">
        <f>Wst01_17</f>
        <v>0</v>
      </c>
      <c r="S1516" s="19"/>
      <c r="Y1516" s="501"/>
      <c r="BI1516" s="106"/>
      <c r="BJ1516" s="106"/>
      <c r="BK1516" s="106"/>
      <c r="BL1516" s="106"/>
      <c r="BM1516" s="106"/>
      <c r="BN1516" s="106"/>
      <c r="BO1516" s="106"/>
    </row>
    <row r="1517" spans="2:67" ht="16.5" customHeight="1" x14ac:dyDescent="0.25">
      <c r="B1517" s="357"/>
      <c r="C1517" s="357"/>
      <c r="D1517" s="357"/>
      <c r="E1517" s="357"/>
      <c r="F1517" s="357"/>
      <c r="G1517" s="357"/>
      <c r="H1517" s="364" t="s">
        <v>710</v>
      </c>
      <c r="J1517" s="224" t="str">
        <f>IF(Wst02_11&gt;0,AIS_Yes,AIS_No)</f>
        <v>No</v>
      </c>
      <c r="L1517" s="247">
        <f>Wst02_13</f>
        <v>1</v>
      </c>
      <c r="N1517" s="247">
        <f>Wst02_11</f>
        <v>0</v>
      </c>
      <c r="S1517" s="19"/>
      <c r="Y1517" s="501"/>
      <c r="BI1517" s="106"/>
      <c r="BJ1517" s="106"/>
      <c r="BK1517" s="106"/>
      <c r="BL1517" s="106"/>
      <c r="BM1517" s="106"/>
      <c r="BN1517" s="106"/>
      <c r="BO1517" s="106"/>
    </row>
    <row r="1518" spans="2:67" ht="16.5" customHeight="1" x14ac:dyDescent="0.25">
      <c r="B1518" s="357"/>
      <c r="C1518" s="357"/>
      <c r="D1518" s="357"/>
      <c r="E1518" s="357"/>
      <c r="F1518" s="357"/>
      <c r="G1518" s="357"/>
      <c r="H1518" s="364" t="str">
        <f>B1226</f>
        <v>Wst 05 Adaption to climate change</v>
      </c>
      <c r="J1518" s="224" t="str">
        <f>IF(H1230=AIS_NA,AIS_NA,IF(Wst05_08&gt;0,AIS_Yes,AIS_No))</f>
        <v>No</v>
      </c>
      <c r="L1518" s="247">
        <f>Wst05_11</f>
        <v>1</v>
      </c>
      <c r="N1518" s="247">
        <f>Wst05_08</f>
        <v>0</v>
      </c>
      <c r="S1518" s="19"/>
      <c r="Y1518" s="501"/>
      <c r="BI1518" s="106"/>
      <c r="BJ1518" s="106"/>
      <c r="BK1518" s="106"/>
      <c r="BL1518" s="106"/>
      <c r="BM1518" s="106"/>
      <c r="BN1518" s="106"/>
      <c r="BO1518" s="106"/>
    </row>
    <row r="1519" spans="2:67" ht="16.5" customHeight="1" x14ac:dyDescent="0.25">
      <c r="S1519" s="19"/>
      <c r="Y1519" s="501"/>
      <c r="BI1519" s="106"/>
      <c r="BJ1519" s="106"/>
      <c r="BK1519" s="106"/>
      <c r="BL1519" s="106"/>
      <c r="BM1519" s="106"/>
      <c r="BN1519" s="106"/>
      <c r="BO1519" s="106"/>
    </row>
    <row r="1520" spans="2:67" ht="16.5" customHeight="1" x14ac:dyDescent="0.25">
      <c r="B1520" s="357"/>
      <c r="C1520" s="357"/>
      <c r="D1520" s="357"/>
      <c r="E1520" s="357"/>
      <c r="F1520" s="357"/>
      <c r="G1520" s="357"/>
      <c r="H1520" s="364"/>
      <c r="I1520" s="357"/>
      <c r="J1520" s="357"/>
      <c r="K1520" s="357"/>
      <c r="L1520" s="359" t="s">
        <v>711</v>
      </c>
      <c r="N1520" s="223"/>
      <c r="R1520" s="709" t="str">
        <f>IF(Inn01_01&gt;0,AIS_statement11,"")</f>
        <v/>
      </c>
      <c r="S1520" s="709"/>
      <c r="T1520" s="709"/>
      <c r="U1520" s="709"/>
      <c r="V1520" s="709"/>
      <c r="W1520" s="709"/>
      <c r="Y1520" s="501"/>
      <c r="BI1520" s="106"/>
      <c r="BJ1520" s="106"/>
      <c r="BK1520" s="106"/>
      <c r="BL1520" s="106"/>
      <c r="BM1520" s="106"/>
      <c r="BN1520" s="106"/>
      <c r="BO1520" s="106"/>
    </row>
    <row r="1521" spans="2:67" ht="16.5" customHeight="1" x14ac:dyDescent="0.25">
      <c r="R1521" s="709"/>
      <c r="S1521" s="709"/>
      <c r="T1521" s="709"/>
      <c r="U1521" s="709"/>
      <c r="V1521" s="709"/>
      <c r="W1521" s="709"/>
      <c r="Y1521" s="501"/>
      <c r="BI1521" s="106"/>
      <c r="BJ1521" s="106"/>
      <c r="BK1521" s="106"/>
      <c r="BL1521" s="106"/>
      <c r="BM1521" s="106"/>
      <c r="BN1521" s="106"/>
      <c r="BO1521" s="106"/>
    </row>
    <row r="1522" spans="2:67" x14ac:dyDescent="0.25">
      <c r="B1522" s="358"/>
      <c r="C1522" s="357"/>
      <c r="D1522" s="357"/>
      <c r="E1522" s="358"/>
      <c r="F1522" s="359" t="s">
        <v>298</v>
      </c>
      <c r="H1522" s="216">
        <f>IF(ISERROR(Inn01_Tot_Err),0,Inn01_Tot_Err)</f>
        <v>0</v>
      </c>
      <c r="K1522" s="215"/>
      <c r="M1522" s="215"/>
      <c r="N1522" s="202"/>
      <c r="O1522" s="215"/>
      <c r="P1522" s="215"/>
      <c r="Q1522" s="215"/>
      <c r="R1522" s="192" t="str">
        <f>IF(SUM(N1506:N1520)&gt;10,AIS_statement10,"")</f>
        <v/>
      </c>
      <c r="Y1522" s="501"/>
      <c r="BI1522" s="106"/>
      <c r="BJ1522" s="106"/>
      <c r="BK1522" s="106"/>
      <c r="BL1522" s="106"/>
      <c r="BM1522" s="106"/>
      <c r="BN1522" s="106"/>
      <c r="BO1522" s="106"/>
    </row>
    <row r="1523" spans="2:67" ht="3" customHeight="1" x14ac:dyDescent="0.25">
      <c r="B1523" s="215"/>
      <c r="E1523" s="215"/>
      <c r="F1523" s="225"/>
      <c r="G1523" s="215"/>
      <c r="H1523" s="252"/>
      <c r="K1523" s="215"/>
      <c r="M1523" s="215"/>
      <c r="N1523" s="202"/>
      <c r="O1523" s="215"/>
      <c r="P1523" s="215"/>
      <c r="Q1523" s="215"/>
      <c r="Y1523" s="501"/>
      <c r="BI1523" s="106"/>
      <c r="BJ1523" s="106"/>
      <c r="BK1523" s="106"/>
      <c r="BL1523" s="106"/>
      <c r="BM1523" s="106"/>
      <c r="BN1523" s="106"/>
      <c r="BO1523" s="106"/>
    </row>
    <row r="1524" spans="2:67" x14ac:dyDescent="0.25">
      <c r="B1524" s="358"/>
      <c r="C1524" s="357"/>
      <c r="D1524" s="357"/>
      <c r="E1524" s="358"/>
      <c r="F1524" s="359" t="s">
        <v>297</v>
      </c>
      <c r="G1524" s="215"/>
      <c r="H1524" s="217">
        <f>(Inn01_02/Inn01_credits)*Inn01_tot</f>
        <v>0</v>
      </c>
      <c r="K1524" s="215"/>
      <c r="M1524" s="215"/>
      <c r="N1524" s="202"/>
      <c r="O1524" s="215"/>
      <c r="P1524" s="215"/>
      <c r="Q1524" s="215"/>
      <c r="Y1524" s="501"/>
      <c r="BI1524" s="106"/>
      <c r="BJ1524" s="106"/>
      <c r="BK1524" s="106"/>
      <c r="BL1524" s="106"/>
      <c r="BM1524" s="106"/>
      <c r="BN1524" s="106"/>
      <c r="BO1524" s="106"/>
    </row>
    <row r="1525" spans="2:67" ht="3" customHeight="1" x14ac:dyDescent="0.25">
      <c r="K1525" s="215"/>
      <c r="M1525" s="215"/>
      <c r="N1525" s="215"/>
      <c r="O1525" s="215"/>
      <c r="P1525" s="215"/>
      <c r="Q1525" s="215"/>
      <c r="Y1525" s="501"/>
      <c r="BI1525" s="106"/>
      <c r="BJ1525" s="106"/>
      <c r="BK1525" s="106"/>
      <c r="BL1525" s="106"/>
      <c r="BM1525" s="106"/>
      <c r="BN1525" s="106"/>
      <c r="BO1525" s="106"/>
    </row>
    <row r="1526" spans="2:67" x14ac:dyDescent="0.25">
      <c r="B1526" s="358"/>
      <c r="C1526" s="357"/>
      <c r="D1526" s="358"/>
      <c r="E1526" s="358"/>
      <c r="F1526" s="359" t="s">
        <v>299</v>
      </c>
      <c r="H1526" s="216" t="s">
        <v>300</v>
      </c>
      <c r="K1526" s="215"/>
      <c r="M1526" s="215"/>
      <c r="N1526" s="215"/>
      <c r="O1526" s="215"/>
      <c r="P1526" s="215"/>
      <c r="Q1526" s="215"/>
      <c r="Y1526" s="501"/>
      <c r="BI1526" s="106"/>
      <c r="BJ1526" s="106"/>
      <c r="BK1526" s="106"/>
      <c r="BL1526" s="106"/>
      <c r="BM1526" s="106"/>
      <c r="BN1526" s="106"/>
      <c r="BO1526" s="106"/>
    </row>
    <row r="1527" spans="2:67" ht="16.5" customHeight="1" x14ac:dyDescent="0.25">
      <c r="K1527" s="215"/>
      <c r="M1527" s="215"/>
      <c r="N1527" s="215"/>
      <c r="O1527" s="215"/>
      <c r="P1527" s="215"/>
      <c r="Q1527" s="215"/>
      <c r="Y1527" s="501"/>
      <c r="BI1527" s="106"/>
      <c r="BJ1527" s="106"/>
      <c r="BK1527" s="106"/>
      <c r="BL1527" s="106"/>
      <c r="BM1527" s="106"/>
      <c r="BN1527" s="106"/>
      <c r="BO1527" s="106"/>
    </row>
    <row r="1528" spans="2:67" x14ac:dyDescent="0.25">
      <c r="B1528" s="257" t="s">
        <v>301</v>
      </c>
      <c r="C1528" s="215"/>
      <c r="D1528" s="215"/>
      <c r="E1528" s="215"/>
      <c r="F1528" s="225"/>
      <c r="G1528" s="215"/>
      <c r="H1528" s="215"/>
      <c r="I1528" s="215"/>
      <c r="J1528" s="215"/>
      <c r="K1528" s="215"/>
      <c r="L1528" s="215"/>
      <c r="M1528" s="215"/>
      <c r="N1528" s="215"/>
      <c r="O1528" s="215"/>
      <c r="P1528" s="215"/>
      <c r="Q1528" s="215"/>
      <c r="Y1528" s="501"/>
      <c r="BI1528" s="106"/>
      <c r="BJ1528" s="106"/>
      <c r="BK1528" s="106"/>
      <c r="BL1528" s="106"/>
      <c r="BM1528" s="106"/>
      <c r="BN1528" s="106"/>
      <c r="BO1528" s="106"/>
    </row>
    <row r="1529" spans="2:67" ht="159.94999999999999" customHeight="1" x14ac:dyDescent="0.25">
      <c r="B1529" s="736"/>
      <c r="C1529" s="737"/>
      <c r="D1529" s="737"/>
      <c r="E1529" s="737"/>
      <c r="F1529" s="737"/>
      <c r="G1529" s="737"/>
      <c r="H1529" s="737"/>
      <c r="I1529" s="737"/>
      <c r="J1529" s="737"/>
      <c r="K1529" s="737"/>
      <c r="L1529" s="737"/>
      <c r="M1529" s="737"/>
      <c r="N1529" s="737"/>
      <c r="O1529" s="737"/>
      <c r="P1529" s="738"/>
      <c r="Q1529" s="416"/>
      <c r="Y1529" s="501"/>
      <c r="BI1529" s="106"/>
      <c r="BJ1529" s="106"/>
      <c r="BK1529" s="106"/>
      <c r="BL1529" s="106"/>
      <c r="BM1529" s="106"/>
      <c r="BN1529" s="106"/>
      <c r="BO1529" s="106"/>
    </row>
    <row r="1530" spans="2:67" x14ac:dyDescent="0.25">
      <c r="Y1530" s="501"/>
      <c r="BI1530" s="106"/>
      <c r="BJ1530" s="106"/>
      <c r="BK1530" s="106"/>
      <c r="BL1530" s="106"/>
      <c r="BM1530" s="106"/>
      <c r="BN1530" s="106"/>
      <c r="BO1530" s="106"/>
    </row>
    <row r="1531" spans="2:67" x14ac:dyDescent="0.25">
      <c r="Y1531" s="501"/>
      <c r="BI1531" s="106"/>
      <c r="BJ1531" s="106"/>
      <c r="BK1531" s="106"/>
      <c r="BL1531" s="106"/>
      <c r="BM1531" s="106"/>
      <c r="BN1531" s="106"/>
      <c r="BO1531" s="106"/>
    </row>
    <row r="1532" spans="2:67" x14ac:dyDescent="0.25">
      <c r="Y1532" s="501"/>
      <c r="BI1532" s="106"/>
      <c r="BJ1532" s="106"/>
      <c r="BK1532" s="106"/>
      <c r="BL1532" s="106"/>
      <c r="BM1532" s="106"/>
      <c r="BN1532" s="106"/>
      <c r="BO1532" s="106"/>
    </row>
    <row r="1533" spans="2:67" ht="15.75" customHeight="1" x14ac:dyDescent="0.25">
      <c r="Y1533" s="501"/>
      <c r="Z1533" s="522" t="s">
        <v>712</v>
      </c>
      <c r="AB1533" s="522" t="s">
        <v>713</v>
      </c>
      <c r="AD1533" s="522" t="s">
        <v>198</v>
      </c>
      <c r="AG1533" s="505" t="s">
        <v>25</v>
      </c>
      <c r="AT1533" s="505" t="s">
        <v>714</v>
      </c>
      <c r="AU1533" s="505"/>
      <c r="AV1533" s="505" t="s">
        <v>715</v>
      </c>
      <c r="BI1533" s="106"/>
      <c r="BJ1533" s="106"/>
      <c r="BK1533" s="106"/>
      <c r="BL1533" s="106"/>
      <c r="BM1533" s="106"/>
      <c r="BN1533" s="106"/>
      <c r="BO1533" s="106"/>
    </row>
    <row r="1534" spans="2:67" ht="14.25" hidden="1" customHeight="1" x14ac:dyDescent="0.25">
      <c r="Y1534" s="91"/>
      <c r="Z1534" s="68" t="s">
        <v>488</v>
      </c>
      <c r="AA1534" s="69"/>
      <c r="AB1534" s="81" t="s">
        <v>300</v>
      </c>
      <c r="AC1534" s="91"/>
      <c r="AD1534" s="70" t="s">
        <v>716</v>
      </c>
      <c r="AE1534" s="91"/>
      <c r="AF1534" s="91"/>
      <c r="AG1534" s="71">
        <f>ADAS0</f>
        <v>0</v>
      </c>
      <c r="AH1534" s="91"/>
      <c r="AI1534" s="91"/>
      <c r="AJ1534" s="91"/>
      <c r="AK1534" s="91"/>
      <c r="AL1534" s="91"/>
      <c r="AM1534" s="91"/>
      <c r="AN1534" s="91"/>
      <c r="AO1534" s="91"/>
      <c r="AP1534" s="91"/>
      <c r="AQ1534" s="91"/>
      <c r="AR1534" s="91"/>
      <c r="AS1534" s="91"/>
      <c r="AT1534" s="91"/>
      <c r="AU1534" s="91"/>
      <c r="AV1534" s="81">
        <v>0</v>
      </c>
      <c r="AW1534" s="67"/>
      <c r="AX1534" s="160"/>
      <c r="AY1534" s="160"/>
      <c r="AZ1534" s="160"/>
      <c r="BA1534" s="160"/>
      <c r="BB1534" s="160"/>
      <c r="BC1534" s="160"/>
      <c r="BD1534" s="160"/>
      <c r="BE1534" s="160"/>
      <c r="BF1534" s="160"/>
      <c r="BG1534" s="160"/>
      <c r="BH1534" s="160"/>
      <c r="BI1534" s="106"/>
      <c r="BJ1534" s="106"/>
      <c r="BK1534" s="106"/>
      <c r="BL1534" s="106"/>
      <c r="BM1534" s="106"/>
      <c r="BN1534" s="106"/>
      <c r="BO1534" s="106"/>
    </row>
    <row r="1535" spans="2:67" hidden="1" x14ac:dyDescent="0.25">
      <c r="Y1535" s="91"/>
      <c r="Z1535" s="71" t="s">
        <v>121</v>
      </c>
      <c r="AA1535" s="91"/>
      <c r="AB1535" s="447">
        <v>0</v>
      </c>
      <c r="AC1535" s="91"/>
      <c r="AD1535" s="70" t="s">
        <v>717</v>
      </c>
      <c r="AE1535" s="91"/>
      <c r="AF1535" s="91"/>
      <c r="AG1535" s="73" t="str">
        <f>ADAS01</f>
        <v xml:space="preserve">Design (interim) </v>
      </c>
      <c r="AH1535" s="91"/>
      <c r="AI1535" s="91"/>
      <c r="AJ1535" s="91"/>
      <c r="AK1535" s="91"/>
      <c r="AL1535" s="91"/>
      <c r="AM1535" s="91"/>
      <c r="AN1535" s="91"/>
      <c r="AO1535" s="91"/>
      <c r="AP1535" s="91"/>
      <c r="AQ1535" s="91"/>
      <c r="AR1535" s="91"/>
      <c r="AS1535" s="91"/>
      <c r="AT1535" s="71" t="str">
        <f>IF(OR(ADPT=ADPT01,ADPT=ADPT03),AIS_NA,"Option 1")</f>
        <v>Option 1</v>
      </c>
      <c r="AU1535" s="91"/>
      <c r="AV1535" s="81">
        <v>1</v>
      </c>
      <c r="AW1535" s="67"/>
      <c r="AX1535" s="160"/>
      <c r="AY1535" s="160"/>
      <c r="AZ1535" s="160"/>
      <c r="BA1535" s="160"/>
      <c r="BB1535" s="160"/>
      <c r="BC1535" s="160"/>
      <c r="BD1535" s="160"/>
      <c r="BE1535" s="160"/>
      <c r="BF1535" s="160"/>
      <c r="BG1535" s="160"/>
      <c r="BH1535" s="160"/>
      <c r="BI1535" s="106"/>
      <c r="BJ1535" s="106"/>
      <c r="BK1535" s="106"/>
      <c r="BL1535" s="106"/>
      <c r="BM1535" s="106"/>
      <c r="BN1535" s="106"/>
      <c r="BO1535" s="106"/>
    </row>
    <row r="1536" spans="2:67" ht="18" hidden="1" x14ac:dyDescent="0.25">
      <c r="Y1536" s="91"/>
      <c r="Z1536" s="71" t="s">
        <v>125</v>
      </c>
      <c r="AA1536" s="91"/>
      <c r="AB1536" s="447">
        <v>0.01</v>
      </c>
      <c r="AC1536" s="91"/>
      <c r="AD1536" s="70" t="s">
        <v>718</v>
      </c>
      <c r="AE1536" s="91"/>
      <c r="AF1536" s="91"/>
      <c r="AG1536" s="71" t="str">
        <f>ADAS02</f>
        <v>Post Construction (Final, as-built)</v>
      </c>
      <c r="AH1536" s="91"/>
      <c r="AI1536" s="91"/>
      <c r="AJ1536" s="91"/>
      <c r="AK1536" s="91"/>
      <c r="AL1536" s="91"/>
      <c r="AM1536" s="91"/>
      <c r="AN1536" s="91"/>
      <c r="AO1536" s="91"/>
      <c r="AP1536" s="91"/>
      <c r="AQ1536" s="91"/>
      <c r="AR1536" s="91"/>
      <c r="AS1536" s="91"/>
      <c r="AT1536" s="71" t="str">
        <f>IF(OR(ADPT=ADPT01,ADPT=ADPT03),AIS_NA,"Option 2")</f>
        <v>Option 2</v>
      </c>
      <c r="AU1536" s="91"/>
      <c r="AV1536" s="81">
        <v>2</v>
      </c>
      <c r="AW1536" s="67"/>
      <c r="AX1536" s="160"/>
      <c r="AY1536" s="160"/>
      <c r="AZ1536" s="160"/>
      <c r="BA1536" s="160"/>
      <c r="BB1536" s="160"/>
      <c r="BC1536" s="160"/>
      <c r="BD1536" s="160"/>
      <c r="BE1536" s="160"/>
      <c r="BF1536" s="160"/>
      <c r="BG1536" s="160"/>
      <c r="BH1536" s="160"/>
      <c r="BI1536" s="106"/>
      <c r="BJ1536" s="106"/>
      <c r="BK1536" s="106"/>
      <c r="BL1536" s="106"/>
      <c r="BM1536" s="106"/>
      <c r="BN1536" s="106"/>
      <c r="BO1536" s="106"/>
    </row>
    <row r="1537" spans="25:67" ht="18" hidden="1" x14ac:dyDescent="0.25">
      <c r="Y1537" s="91"/>
      <c r="Z1537" s="71" t="s">
        <v>300</v>
      </c>
      <c r="AA1537" s="91"/>
      <c r="AB1537" s="447">
        <v>0.02</v>
      </c>
      <c r="AC1537" s="91"/>
      <c r="AD1537" s="70" t="s">
        <v>719</v>
      </c>
      <c r="AE1537" s="91"/>
      <c r="AF1537" s="91"/>
      <c r="AG1537" s="91"/>
      <c r="AH1537" s="91"/>
      <c r="AI1537" s="91"/>
      <c r="AJ1537" s="91"/>
      <c r="AK1537" s="91"/>
      <c r="AL1537" s="91"/>
      <c r="AM1537" s="91"/>
      <c r="AN1537" s="91"/>
      <c r="AO1537" s="91"/>
      <c r="AP1537" s="91"/>
      <c r="AQ1537" s="91"/>
      <c r="AR1537" s="91"/>
      <c r="AS1537" s="91"/>
      <c r="AT1537" s="71" t="str">
        <f>IF(OR(ADPT=ADPT01,ADPT=ADPT03),AIS_NA,"Option 3")</f>
        <v>Option 3</v>
      </c>
      <c r="AU1537" s="91"/>
      <c r="AV1537" s="81">
        <v>3</v>
      </c>
      <c r="AW1537" s="67"/>
      <c r="AX1537" s="160"/>
      <c r="AY1537" s="160"/>
      <c r="AZ1537" s="160"/>
      <c r="BA1537" s="160"/>
      <c r="BB1537" s="160"/>
      <c r="BC1537" s="160"/>
      <c r="BD1537" s="160"/>
      <c r="BE1537" s="160"/>
      <c r="BF1537" s="160"/>
      <c r="BG1537" s="160"/>
      <c r="BH1537" s="160"/>
      <c r="BI1537" s="106"/>
      <c r="BJ1537" s="106"/>
      <c r="BK1537" s="106"/>
      <c r="BL1537" s="106"/>
      <c r="BM1537" s="106"/>
      <c r="BN1537" s="106"/>
      <c r="BO1537" s="106"/>
    </row>
    <row r="1538" spans="25:67" hidden="1" x14ac:dyDescent="0.25">
      <c r="Y1538" s="91"/>
      <c r="Z1538" s="71" t="s">
        <v>720</v>
      </c>
      <c r="AA1538" s="91"/>
      <c r="AB1538" s="447">
        <v>0.03</v>
      </c>
      <c r="AC1538" s="91"/>
      <c r="AD1538" s="75" t="s">
        <v>721</v>
      </c>
      <c r="AE1538" s="91"/>
      <c r="AF1538" s="91"/>
      <c r="AG1538" s="91"/>
      <c r="AH1538" s="91"/>
      <c r="AI1538" s="91"/>
      <c r="AJ1538" s="91"/>
      <c r="AK1538" s="91"/>
      <c r="AL1538" s="91"/>
      <c r="AM1538" s="91"/>
      <c r="AN1538" s="91"/>
      <c r="AO1538" s="91"/>
      <c r="AP1538" s="91"/>
      <c r="AQ1538" s="91"/>
      <c r="AR1538" s="91"/>
      <c r="AS1538" s="91"/>
      <c r="AT1538" s="426" t="str">
        <f>IF(OR(ADPT=ADPT01,ADPT=ADPT03),AIS_NA,"Option 4")</f>
        <v>Option 4</v>
      </c>
      <c r="AU1538" s="91"/>
      <c r="AV1538" s="81">
        <v>4</v>
      </c>
      <c r="AW1538" s="67"/>
      <c r="AX1538" s="160"/>
      <c r="AY1538" s="160"/>
      <c r="AZ1538" s="160"/>
      <c r="BA1538" s="160"/>
      <c r="BB1538" s="160"/>
      <c r="BC1538" s="160"/>
      <c r="BD1538" s="160"/>
      <c r="BE1538" s="160"/>
      <c r="BF1538" s="160"/>
      <c r="BG1538" s="160"/>
      <c r="BH1538" s="160"/>
      <c r="BI1538" s="106"/>
      <c r="BJ1538" s="106"/>
      <c r="BK1538" s="106"/>
      <c r="BL1538" s="106"/>
      <c r="BM1538" s="106"/>
      <c r="BN1538" s="106"/>
      <c r="BO1538" s="106"/>
    </row>
    <row r="1539" spans="25:67" hidden="1" x14ac:dyDescent="0.25">
      <c r="Y1539" s="91"/>
      <c r="Z1539" s="71" t="s">
        <v>722</v>
      </c>
      <c r="AA1539" s="91"/>
      <c r="AB1539" s="447">
        <v>0.04</v>
      </c>
      <c r="AC1539" s="91"/>
      <c r="AD1539" s="71" t="s">
        <v>723</v>
      </c>
      <c r="AE1539" s="91"/>
      <c r="AF1539" s="91"/>
      <c r="AG1539" s="91"/>
      <c r="AH1539" s="91"/>
      <c r="AI1539" s="91"/>
      <c r="AJ1539" s="91"/>
      <c r="AK1539" s="91"/>
      <c r="AL1539" s="91"/>
      <c r="AM1539" s="91"/>
      <c r="AN1539" s="91"/>
      <c r="AO1539" s="91"/>
      <c r="AP1539" s="91"/>
      <c r="AQ1539" s="91"/>
      <c r="AR1539" s="91"/>
      <c r="AS1539" s="91"/>
      <c r="AT1539" s="71" t="str">
        <f>IF(OR(ADPT=ADPT01,ADPT=ADPT03),AIS_NA,"N/A")</f>
        <v>N/A</v>
      </c>
      <c r="AU1539" s="91"/>
      <c r="AV1539" s="81">
        <v>5</v>
      </c>
      <c r="AW1539" s="67"/>
      <c r="AX1539" s="160"/>
      <c r="AY1539" s="160"/>
      <c r="AZ1539" s="160"/>
      <c r="BA1539" s="160"/>
      <c r="BB1539" s="160"/>
      <c r="BC1539" s="160"/>
      <c r="BD1539" s="160"/>
      <c r="BE1539" s="160"/>
      <c r="BF1539" s="160"/>
      <c r="BG1539" s="160"/>
      <c r="BH1539" s="160"/>
      <c r="BI1539" s="106"/>
      <c r="BJ1539" s="106"/>
      <c r="BK1539" s="106"/>
      <c r="BL1539" s="106"/>
      <c r="BM1539" s="106"/>
      <c r="BN1539" s="106"/>
      <c r="BO1539" s="106"/>
    </row>
    <row r="1540" spans="25:67" hidden="1" x14ac:dyDescent="0.25">
      <c r="Y1540" s="91"/>
      <c r="Z1540" s="71" t="s">
        <v>213</v>
      </c>
      <c r="AA1540" s="91"/>
      <c r="AB1540" s="447">
        <v>0.05</v>
      </c>
      <c r="AC1540" s="91"/>
      <c r="AD1540" s="71" t="s">
        <v>597</v>
      </c>
      <c r="AE1540" s="91"/>
      <c r="AF1540" s="91"/>
      <c r="AG1540" s="91"/>
      <c r="AH1540" s="91"/>
      <c r="AI1540" s="91"/>
      <c r="AJ1540" s="91"/>
      <c r="AK1540" s="91"/>
      <c r="AL1540" s="91"/>
      <c r="AM1540" s="91"/>
      <c r="AN1540" s="91"/>
      <c r="AO1540" s="91"/>
      <c r="AP1540" s="91"/>
      <c r="AQ1540" s="91"/>
      <c r="AR1540" s="91"/>
      <c r="AS1540" s="91"/>
      <c r="AT1540" s="91"/>
      <c r="AU1540" s="91"/>
      <c r="AV1540" s="81">
        <v>6</v>
      </c>
      <c r="AW1540" s="67"/>
      <c r="AX1540" s="160"/>
      <c r="AY1540" s="160"/>
      <c r="AZ1540" s="160"/>
      <c r="BA1540" s="160"/>
      <c r="BB1540" s="160"/>
      <c r="BC1540" s="160"/>
      <c r="BD1540" s="160"/>
      <c r="BE1540" s="160"/>
      <c r="BF1540" s="160"/>
      <c r="BG1540" s="160"/>
      <c r="BH1540" s="160"/>
      <c r="BI1540" s="106"/>
      <c r="BJ1540" s="106"/>
      <c r="BK1540" s="106"/>
      <c r="BL1540" s="106"/>
      <c r="BM1540" s="106"/>
      <c r="BN1540" s="106"/>
      <c r="BO1540" s="106"/>
    </row>
    <row r="1541" spans="25:67" hidden="1" x14ac:dyDescent="0.25">
      <c r="Y1541" s="91"/>
      <c r="Z1541" s="71" t="s">
        <v>724</v>
      </c>
      <c r="AA1541" s="91"/>
      <c r="AB1541" s="447">
        <v>0.06</v>
      </c>
      <c r="AC1541" s="91"/>
      <c r="AD1541" s="71" t="s">
        <v>725</v>
      </c>
      <c r="AE1541" s="91"/>
      <c r="AF1541" s="91"/>
      <c r="AG1541" s="91"/>
      <c r="AH1541" s="91"/>
      <c r="AI1541" s="91"/>
      <c r="AJ1541" s="91"/>
      <c r="AK1541" s="91"/>
      <c r="AL1541" s="91"/>
      <c r="AM1541" s="91"/>
      <c r="AN1541" s="91"/>
      <c r="AO1541" s="91"/>
      <c r="AP1541" s="91"/>
      <c r="AQ1541" s="91"/>
      <c r="AR1541" s="91"/>
      <c r="AS1541" s="91"/>
      <c r="AT1541" s="71" t="str">
        <f>IF(OR(ADPT=ADPT01,ADPT=ADPT03),AIS_NA,"Option 1")</f>
        <v>Option 1</v>
      </c>
      <c r="AU1541" s="91"/>
      <c r="AV1541" s="81">
        <v>7</v>
      </c>
      <c r="AW1541" s="67"/>
      <c r="AX1541" s="160"/>
      <c r="AY1541" s="160"/>
      <c r="AZ1541" s="160"/>
      <c r="BA1541" s="160"/>
      <c r="BB1541" s="160"/>
      <c r="BC1541" s="160"/>
      <c r="BD1541" s="160"/>
      <c r="BE1541" s="160"/>
      <c r="BF1541" s="160"/>
      <c r="BG1541" s="160"/>
      <c r="BH1541" s="160"/>
      <c r="BI1541" s="106"/>
      <c r="BJ1541" s="106"/>
      <c r="BK1541" s="106"/>
      <c r="BL1541" s="106"/>
      <c r="BM1541" s="106"/>
      <c r="BN1541" s="106"/>
      <c r="BO1541" s="106"/>
    </row>
    <row r="1542" spans="25:67" hidden="1" x14ac:dyDescent="0.25">
      <c r="Y1542" s="91"/>
      <c r="Z1542" s="71" t="s">
        <v>240</v>
      </c>
      <c r="AA1542" s="91"/>
      <c r="AB1542" s="447">
        <v>7.0000000000000007E-2</v>
      </c>
      <c r="AC1542" s="91"/>
      <c r="AD1542" s="71" t="s">
        <v>726</v>
      </c>
      <c r="AE1542" s="91"/>
      <c r="AF1542" s="91"/>
      <c r="AG1542" s="91"/>
      <c r="AH1542" s="91"/>
      <c r="AI1542" s="91"/>
      <c r="AJ1542" s="91"/>
      <c r="AK1542" s="91"/>
      <c r="AL1542" s="91"/>
      <c r="AM1542" s="91"/>
      <c r="AN1542" s="91"/>
      <c r="AO1542" s="91"/>
      <c r="AP1542" s="91"/>
      <c r="AQ1542" s="91"/>
      <c r="AR1542" s="91"/>
      <c r="AS1542" s="91"/>
      <c r="AT1542" s="71" t="str">
        <f>IF(OR(ADPT=ADPT01,ADPT=ADPT03),AIS_NA,"Option 2: N/A")</f>
        <v>Option 2: N/A</v>
      </c>
      <c r="AU1542" s="91"/>
      <c r="AV1542" s="81">
        <v>8</v>
      </c>
      <c r="AW1542" s="67"/>
      <c r="AX1542" s="160"/>
      <c r="AY1542" s="160"/>
      <c r="AZ1542" s="160"/>
      <c r="BA1542" s="160"/>
      <c r="BB1542" s="160"/>
      <c r="BC1542" s="160"/>
      <c r="BD1542" s="160"/>
      <c r="BE1542" s="160"/>
      <c r="BF1542" s="160"/>
      <c r="BG1542" s="160"/>
      <c r="BH1542" s="160"/>
      <c r="BI1542" s="106"/>
      <c r="BJ1542" s="106"/>
      <c r="BK1542" s="106"/>
      <c r="BL1542" s="106"/>
      <c r="BM1542" s="106"/>
      <c r="BN1542" s="106"/>
      <c r="BO1542" s="106"/>
    </row>
    <row r="1543" spans="25:67" hidden="1" x14ac:dyDescent="0.25">
      <c r="Y1543" s="91"/>
      <c r="Z1543" s="71" t="s">
        <v>201</v>
      </c>
      <c r="AA1543" s="91"/>
      <c r="AB1543" s="447">
        <v>0.08</v>
      </c>
      <c r="AC1543" s="91"/>
      <c r="AD1543" s="71" t="s">
        <v>727</v>
      </c>
      <c r="AE1543" s="91"/>
      <c r="AF1543" s="91"/>
      <c r="AG1543" s="91"/>
      <c r="AH1543" s="91"/>
      <c r="AI1543" s="91"/>
      <c r="AJ1543" s="91"/>
      <c r="AK1543" s="91"/>
      <c r="AL1543" s="91"/>
      <c r="AM1543" s="91"/>
      <c r="AN1543" s="91"/>
      <c r="AO1543" s="91"/>
      <c r="AP1543" s="91"/>
      <c r="AQ1543" s="91"/>
      <c r="AR1543" s="91"/>
      <c r="AS1543" s="91"/>
      <c r="AT1543" s="71" t="str">
        <f>IF(OR(ADPT=ADPT01,ADPT=ADPT03),AIS_NA,"Option 3")</f>
        <v>Option 3</v>
      </c>
      <c r="AU1543" s="91"/>
      <c r="AV1543" s="81">
        <v>9</v>
      </c>
      <c r="AW1543" s="67"/>
      <c r="AX1543" s="160"/>
      <c r="AY1543" s="160"/>
      <c r="AZ1543" s="160"/>
      <c r="BA1543" s="160"/>
      <c r="BB1543" s="160"/>
      <c r="BC1543" s="160"/>
      <c r="BD1543" s="160"/>
      <c r="BE1543" s="160"/>
      <c r="BF1543" s="160"/>
      <c r="BG1543" s="160"/>
      <c r="BH1543" s="160"/>
      <c r="BI1543" s="106"/>
      <c r="BJ1543" s="106"/>
      <c r="BK1543" s="106"/>
      <c r="BL1543" s="106"/>
      <c r="BM1543" s="106"/>
      <c r="BN1543" s="106"/>
      <c r="BO1543" s="106"/>
    </row>
    <row r="1544" spans="25:67" ht="17.25" hidden="1" x14ac:dyDescent="0.25">
      <c r="Y1544" s="91"/>
      <c r="Z1544" s="71" t="s">
        <v>202</v>
      </c>
      <c r="AA1544" s="91"/>
      <c r="AB1544" s="447">
        <v>0.09</v>
      </c>
      <c r="AC1544" s="91"/>
      <c r="AD1544" s="71" t="s">
        <v>728</v>
      </c>
      <c r="AE1544" s="91"/>
      <c r="AF1544" s="91"/>
      <c r="AG1544" s="91"/>
      <c r="AH1544" s="91"/>
      <c r="AI1544" s="91"/>
      <c r="AJ1544" s="91"/>
      <c r="AK1544" s="91"/>
      <c r="AL1544" s="91"/>
      <c r="AM1544" s="91"/>
      <c r="AN1544" s="91"/>
      <c r="AO1544" s="91"/>
      <c r="AP1544" s="91"/>
      <c r="AQ1544" s="91"/>
      <c r="AR1544" s="91"/>
      <c r="AS1544" s="91"/>
      <c r="AT1544" s="71" t="str">
        <f>IF(OR(ADPT=ADPT01,ADPT=ADPT03),AIS_NA,"Option 4")</f>
        <v>Option 4</v>
      </c>
      <c r="AU1544" s="91"/>
      <c r="AV1544" s="81">
        <v>10</v>
      </c>
      <c r="AW1544" s="67"/>
      <c r="AX1544" s="160"/>
      <c r="AY1544" s="160"/>
      <c r="AZ1544" s="160"/>
      <c r="BA1544" s="160"/>
      <c r="BB1544" s="160"/>
      <c r="BC1544" s="160"/>
      <c r="BD1544" s="160"/>
      <c r="BE1544" s="160"/>
      <c r="BF1544" s="160"/>
      <c r="BG1544" s="160"/>
      <c r="BH1544" s="160"/>
      <c r="BI1544" s="106"/>
      <c r="BJ1544" s="106"/>
      <c r="BK1544" s="106"/>
      <c r="BL1544" s="106"/>
      <c r="BM1544" s="106"/>
      <c r="BN1544" s="106"/>
      <c r="BO1544" s="106"/>
    </row>
    <row r="1545" spans="25:67" hidden="1" x14ac:dyDescent="0.25">
      <c r="Y1545" s="91"/>
      <c r="Z1545" s="91"/>
      <c r="AA1545" s="91"/>
      <c r="AB1545" s="447">
        <v>0.1</v>
      </c>
      <c r="AC1545" s="91"/>
      <c r="AD1545" s="71" t="s">
        <v>231</v>
      </c>
      <c r="AE1545" s="91"/>
      <c r="AF1545" s="91"/>
      <c r="AG1545" s="91"/>
      <c r="AH1545" s="91"/>
      <c r="AI1545" s="91"/>
      <c r="AJ1545" s="91"/>
      <c r="AK1545" s="91"/>
      <c r="AL1545" s="91"/>
      <c r="AM1545" s="91"/>
      <c r="AN1545" s="91"/>
      <c r="AO1545" s="91"/>
      <c r="AP1545" s="91"/>
      <c r="AQ1545" s="91"/>
      <c r="AR1545" s="91"/>
      <c r="AS1545" s="91"/>
      <c r="AT1545" s="71" t="str">
        <f>IF(OR(ADPT=ADPT01,ADPT=ADPT03),AIS_NA,"N/A")</f>
        <v>N/A</v>
      </c>
      <c r="AU1545" s="91"/>
      <c r="AV1545" s="81">
        <v>11</v>
      </c>
      <c r="AW1545" s="67"/>
      <c r="AX1545" s="160"/>
      <c r="AY1545" s="160"/>
      <c r="AZ1545" s="160"/>
      <c r="BA1545" s="160"/>
      <c r="BB1545" s="160"/>
      <c r="BC1545" s="160"/>
      <c r="BD1545" s="160"/>
      <c r="BE1545" s="160"/>
      <c r="BF1545" s="160"/>
      <c r="BG1545" s="160"/>
      <c r="BH1545" s="160"/>
      <c r="BI1545" s="106"/>
      <c r="BJ1545" s="106"/>
      <c r="BK1545" s="106"/>
      <c r="BL1545" s="106"/>
      <c r="BM1545" s="106"/>
      <c r="BN1545" s="106"/>
      <c r="BO1545" s="106"/>
    </row>
    <row r="1546" spans="25:67" hidden="1" x14ac:dyDescent="0.25">
      <c r="Y1546" s="91"/>
      <c r="Z1546" s="91"/>
      <c r="AA1546" s="91"/>
      <c r="AB1546" s="447">
        <v>0.11</v>
      </c>
      <c r="AC1546" s="91"/>
      <c r="AD1546" s="68" t="s">
        <v>729</v>
      </c>
      <c r="AE1546" s="91"/>
      <c r="AF1546" s="91"/>
      <c r="AG1546" s="91"/>
      <c r="AH1546" s="91"/>
      <c r="AI1546" s="91"/>
      <c r="AJ1546" s="91"/>
      <c r="AK1546" s="91"/>
      <c r="AL1546" s="91"/>
      <c r="AM1546" s="91"/>
      <c r="AN1546" s="91"/>
      <c r="AO1546" s="91"/>
      <c r="AP1546" s="91"/>
      <c r="AQ1546" s="91"/>
      <c r="AR1546" s="91"/>
      <c r="AS1546" s="91"/>
      <c r="AT1546" s="91"/>
      <c r="AU1546" s="91"/>
      <c r="AV1546" s="81">
        <v>12</v>
      </c>
      <c r="AW1546" s="67"/>
      <c r="AX1546" s="160"/>
      <c r="AY1546" s="160"/>
      <c r="AZ1546" s="160"/>
      <c r="BA1546" s="160"/>
      <c r="BB1546" s="160"/>
      <c r="BC1546" s="160"/>
      <c r="BD1546" s="160"/>
      <c r="BE1546" s="160"/>
      <c r="BF1546" s="160"/>
      <c r="BG1546" s="160"/>
      <c r="BH1546" s="160"/>
      <c r="BI1546" s="106"/>
      <c r="BJ1546" s="106"/>
      <c r="BK1546" s="106"/>
      <c r="BL1546" s="106"/>
      <c r="BM1546" s="106"/>
      <c r="BN1546" s="106"/>
      <c r="BO1546" s="106"/>
    </row>
    <row r="1547" spans="25:67" ht="17.25" hidden="1" x14ac:dyDescent="0.25">
      <c r="Y1547" s="91"/>
      <c r="Z1547" s="71" t="s">
        <v>730</v>
      </c>
      <c r="AA1547" s="91"/>
      <c r="AB1547" s="447">
        <v>0.12</v>
      </c>
      <c r="AC1547" s="91"/>
      <c r="AD1547" s="68" t="s">
        <v>731</v>
      </c>
      <c r="AE1547" s="91"/>
      <c r="AF1547" s="91"/>
      <c r="AG1547" s="91"/>
      <c r="AH1547" s="91"/>
      <c r="AI1547" s="91"/>
      <c r="AJ1547" s="91"/>
      <c r="AK1547" s="91"/>
      <c r="AL1547" s="91"/>
      <c r="AM1547" s="91"/>
      <c r="AN1547" s="91"/>
      <c r="AO1547" s="91"/>
      <c r="AP1547" s="91"/>
      <c r="AQ1547" s="91"/>
      <c r="AR1547" s="91"/>
      <c r="AS1547" s="91"/>
      <c r="AT1547" s="71" t="str">
        <f>IF(OR(ADPT=ADPT01,ADPT=ADPT03),AIS_NA,"Option 1: N/A")</f>
        <v>Option 1: N/A</v>
      </c>
      <c r="AU1547" s="91"/>
      <c r="AV1547" s="81">
        <v>13</v>
      </c>
      <c r="AW1547" s="67"/>
      <c r="AX1547" s="160"/>
      <c r="AY1547" s="160"/>
      <c r="AZ1547" s="160"/>
      <c r="BA1547" s="160"/>
      <c r="BB1547" s="160"/>
      <c r="BC1547" s="160"/>
      <c r="BD1547" s="160"/>
      <c r="BE1547" s="160"/>
      <c r="BF1547" s="160"/>
      <c r="BG1547" s="160"/>
      <c r="BH1547" s="160"/>
      <c r="BI1547" s="106"/>
      <c r="BJ1547" s="106"/>
      <c r="BK1547" s="106"/>
      <c r="BL1547" s="106"/>
      <c r="BM1547" s="106"/>
      <c r="BN1547" s="106"/>
      <c r="BO1547" s="106"/>
    </row>
    <row r="1548" spans="25:67" hidden="1" x14ac:dyDescent="0.25">
      <c r="Y1548" s="91"/>
      <c r="Z1548" s="71" t="s">
        <v>121</v>
      </c>
      <c r="AA1548" s="91"/>
      <c r="AB1548" s="447">
        <v>0.13</v>
      </c>
      <c r="AC1548" s="91"/>
      <c r="AD1548" s="71" t="s">
        <v>204</v>
      </c>
      <c r="AE1548" s="91"/>
      <c r="AF1548" s="91"/>
      <c r="AG1548" s="91"/>
      <c r="AH1548" s="91"/>
      <c r="AI1548" s="91"/>
      <c r="AJ1548" s="91"/>
      <c r="AK1548" s="91"/>
      <c r="AL1548" s="91"/>
      <c r="AM1548" s="91"/>
      <c r="AN1548" s="91"/>
      <c r="AO1548" s="91"/>
      <c r="AP1548" s="91"/>
      <c r="AQ1548" s="91"/>
      <c r="AR1548" s="91"/>
      <c r="AS1548" s="91"/>
      <c r="AT1548" s="71" t="str">
        <f>IF(OR(ADPT=ADPT01,ADPT=ADPT03),AIS_NA,"Option 2: N/A")</f>
        <v>Option 2: N/A</v>
      </c>
      <c r="AU1548" s="91"/>
      <c r="AV1548" s="81">
        <v>14</v>
      </c>
      <c r="AW1548" s="67"/>
      <c r="AX1548" s="160"/>
      <c r="AY1548" s="160"/>
      <c r="AZ1548" s="160"/>
      <c r="BA1548" s="160"/>
      <c r="BB1548" s="160"/>
      <c r="BC1548" s="160"/>
      <c r="BD1548" s="160"/>
      <c r="BE1548" s="160"/>
      <c r="BF1548" s="160"/>
      <c r="BG1548" s="160"/>
      <c r="BH1548" s="160"/>
      <c r="BI1548" s="106"/>
      <c r="BJ1548" s="106"/>
      <c r="BK1548" s="106"/>
      <c r="BL1548" s="106"/>
      <c r="BM1548" s="106"/>
      <c r="BN1548" s="106"/>
      <c r="BO1548" s="106"/>
    </row>
    <row r="1549" spans="25:67" ht="17.25" hidden="1" x14ac:dyDescent="0.25">
      <c r="Y1549" s="91"/>
      <c r="Z1549" s="71" t="s">
        <v>125</v>
      </c>
      <c r="AA1549" s="91"/>
      <c r="AB1549" s="447">
        <v>0.14000000000000001</v>
      </c>
      <c r="AC1549" s="91"/>
      <c r="AD1549" s="71" t="s">
        <v>732</v>
      </c>
      <c r="AE1549" s="67"/>
      <c r="AF1549" s="67"/>
      <c r="AG1549" s="91"/>
      <c r="AH1549" s="91"/>
      <c r="AI1549" s="91"/>
      <c r="AJ1549" s="91"/>
      <c r="AK1549" s="91"/>
      <c r="AL1549" s="91"/>
      <c r="AM1549" s="91"/>
      <c r="AN1549" s="91"/>
      <c r="AO1549" s="91"/>
      <c r="AP1549" s="91"/>
      <c r="AQ1549" s="91"/>
      <c r="AR1549" s="91"/>
      <c r="AS1549" s="91"/>
      <c r="AT1549" s="71" t="str">
        <f>IF(OR(ADPT=ADPT01,ADPT=ADPT03),AIS_NA,"Option 3")</f>
        <v>Option 3</v>
      </c>
      <c r="AU1549" s="91"/>
      <c r="AV1549" s="81">
        <v>15</v>
      </c>
      <c r="AW1549" s="67"/>
      <c r="AX1549" s="160"/>
      <c r="AY1549" s="160"/>
      <c r="AZ1549" s="160"/>
      <c r="BA1549" s="160"/>
      <c r="BB1549" s="160"/>
      <c r="BC1549" s="160"/>
      <c r="BD1549" s="160"/>
      <c r="BE1549" s="160"/>
      <c r="BF1549" s="160"/>
      <c r="BG1549" s="160"/>
      <c r="BH1549" s="160"/>
      <c r="BI1549" s="106"/>
      <c r="BJ1549" s="106"/>
      <c r="BK1549" s="106"/>
      <c r="BL1549" s="106"/>
      <c r="BM1549" s="106"/>
      <c r="BN1549" s="106"/>
      <c r="BO1549" s="106"/>
    </row>
    <row r="1550" spans="25:67" hidden="1" x14ac:dyDescent="0.25">
      <c r="Y1550" s="91"/>
      <c r="Z1550" s="426" t="str">
        <f>IF(ADBT0="Prisons",AIS_NA,"")</f>
        <v/>
      </c>
      <c r="AA1550" s="91"/>
      <c r="AB1550" s="447">
        <v>0.15</v>
      </c>
      <c r="AC1550" s="91"/>
      <c r="AD1550" s="75" t="s">
        <v>733</v>
      </c>
      <c r="AE1550" s="91"/>
      <c r="AF1550" s="91"/>
      <c r="AG1550" s="91"/>
      <c r="AH1550" s="91"/>
      <c r="AI1550" s="91"/>
      <c r="AJ1550" s="91"/>
      <c r="AK1550" s="91"/>
      <c r="AL1550" s="91"/>
      <c r="AM1550" s="91"/>
      <c r="AN1550" s="91"/>
      <c r="AO1550" s="91"/>
      <c r="AP1550" s="91"/>
      <c r="AQ1550" s="91"/>
      <c r="AR1550" s="91"/>
      <c r="AS1550" s="91"/>
      <c r="AT1550" s="71" t="str">
        <f>IF(OR(ADPT=ADPT01,ADPT=ADPT03),AIS_NA,"Option 4")</f>
        <v>Option 4</v>
      </c>
      <c r="AU1550" s="91"/>
      <c r="AV1550" s="81">
        <v>16</v>
      </c>
      <c r="AW1550" s="67"/>
      <c r="AX1550" s="160"/>
      <c r="AY1550" s="160"/>
      <c r="AZ1550" s="160"/>
      <c r="BA1550" s="160"/>
      <c r="BB1550" s="160"/>
      <c r="BC1550" s="160"/>
      <c r="BD1550" s="160"/>
      <c r="BE1550" s="160"/>
      <c r="BF1550" s="160"/>
      <c r="BG1550" s="160"/>
      <c r="BH1550" s="160"/>
      <c r="BI1550" s="106"/>
      <c r="BJ1550" s="106"/>
      <c r="BK1550" s="106"/>
      <c r="BL1550" s="106"/>
      <c r="BM1550" s="106"/>
      <c r="BN1550" s="106"/>
      <c r="BO1550" s="106"/>
    </row>
    <row r="1551" spans="25:67" hidden="1" x14ac:dyDescent="0.25">
      <c r="Y1551" s="91"/>
      <c r="Z1551" s="91"/>
      <c r="AA1551" s="91"/>
      <c r="AB1551" s="447">
        <v>0.16</v>
      </c>
      <c r="AC1551" s="91"/>
      <c r="AD1551" s="71" t="s">
        <v>734</v>
      </c>
      <c r="AE1551" s="91"/>
      <c r="AF1551" s="91"/>
      <c r="AG1551" s="91"/>
      <c r="AH1551" s="91"/>
      <c r="AI1551" s="91"/>
      <c r="AJ1551" s="91"/>
      <c r="AK1551" s="91"/>
      <c r="AL1551" s="91"/>
      <c r="AM1551" s="91"/>
      <c r="AN1551" s="91"/>
      <c r="AO1551" s="91"/>
      <c r="AP1551" s="91"/>
      <c r="AQ1551" s="91"/>
      <c r="AR1551" s="91"/>
      <c r="AS1551" s="91"/>
      <c r="AT1551" s="71" t="str">
        <f>IF(OR(ADPT=ADPT01,ADPT=ADPT03),AIS_NA,"N/A")</f>
        <v>N/A</v>
      </c>
      <c r="AU1551" s="91"/>
      <c r="AV1551" s="81">
        <v>17</v>
      </c>
      <c r="AW1551" s="67"/>
      <c r="AX1551" s="160"/>
      <c r="AY1551" s="160"/>
      <c r="AZ1551" s="160"/>
      <c r="BA1551" s="160"/>
      <c r="BB1551" s="160"/>
      <c r="BC1551" s="160"/>
      <c r="BD1551" s="160"/>
      <c r="BE1551" s="160"/>
      <c r="BF1551" s="160"/>
      <c r="BG1551" s="160"/>
      <c r="BH1551" s="160"/>
      <c r="BI1551" s="106"/>
      <c r="BJ1551" s="106"/>
      <c r="BK1551" s="106"/>
      <c r="BL1551" s="106"/>
      <c r="BM1551" s="106"/>
      <c r="BN1551" s="106"/>
      <c r="BO1551" s="106"/>
    </row>
    <row r="1552" spans="25:67" hidden="1" x14ac:dyDescent="0.25">
      <c r="Y1552" s="91"/>
      <c r="Z1552" s="91"/>
      <c r="AA1552" s="91"/>
      <c r="AB1552" s="447">
        <v>0.17</v>
      </c>
      <c r="AC1552" s="91"/>
      <c r="AD1552" s="71" t="s">
        <v>735</v>
      </c>
      <c r="AE1552" s="91"/>
      <c r="AF1552" s="91"/>
      <c r="AG1552" s="91"/>
      <c r="AH1552" s="91"/>
      <c r="AI1552" s="91"/>
      <c r="AJ1552" s="91"/>
      <c r="AK1552" s="91"/>
      <c r="AL1552" s="91"/>
      <c r="AM1552" s="91"/>
      <c r="AN1552" s="91"/>
      <c r="AO1552" s="91"/>
      <c r="AP1552" s="91"/>
      <c r="AQ1552" s="91"/>
      <c r="AR1552" s="91"/>
      <c r="AS1552" s="91"/>
      <c r="AT1552" s="91"/>
      <c r="AU1552" s="91"/>
      <c r="AV1552" s="81">
        <v>18</v>
      </c>
      <c r="AW1552" s="67"/>
      <c r="AX1552" s="160"/>
      <c r="AY1552" s="160"/>
      <c r="AZ1552" s="160"/>
      <c r="BA1552" s="160"/>
      <c r="BB1552" s="160"/>
      <c r="BC1552" s="160"/>
      <c r="BD1552" s="160"/>
      <c r="BE1552" s="160"/>
      <c r="BF1552" s="160"/>
      <c r="BG1552" s="160"/>
      <c r="BH1552" s="160"/>
      <c r="BI1552" s="106"/>
      <c r="BJ1552" s="106"/>
      <c r="BK1552" s="106"/>
      <c r="BL1552" s="106"/>
      <c r="BM1552" s="106"/>
      <c r="BN1552" s="106"/>
      <c r="BO1552" s="106"/>
    </row>
    <row r="1553" spans="25:67" hidden="1" x14ac:dyDescent="0.25">
      <c r="Y1553" s="91"/>
      <c r="Z1553" s="91"/>
      <c r="AA1553" s="91"/>
      <c r="AB1553" s="447">
        <v>0.18</v>
      </c>
      <c r="AC1553" s="91"/>
      <c r="AD1553" s="71" t="s">
        <v>231</v>
      </c>
      <c r="AE1553" s="91"/>
      <c r="AF1553" s="91"/>
      <c r="AG1553" s="91"/>
      <c r="AH1553" s="91"/>
      <c r="AI1553" s="91"/>
      <c r="AJ1553" s="91"/>
      <c r="AK1553" s="91"/>
      <c r="AL1553" s="91"/>
      <c r="AM1553" s="91"/>
      <c r="AN1553" s="91"/>
      <c r="AO1553" s="91"/>
      <c r="AP1553" s="91"/>
      <c r="AQ1553" s="91"/>
      <c r="AR1553" s="91"/>
      <c r="AS1553" s="91"/>
      <c r="AT1553" s="91"/>
      <c r="AU1553" s="91"/>
      <c r="AV1553" s="81">
        <v>19</v>
      </c>
      <c r="AW1553" s="67"/>
      <c r="AX1553" s="160"/>
      <c r="AY1553" s="160"/>
      <c r="AZ1553" s="160"/>
      <c r="BA1553" s="160"/>
      <c r="BB1553" s="160"/>
      <c r="BC1553" s="160"/>
      <c r="BD1553" s="160"/>
      <c r="BE1553" s="160"/>
      <c r="BF1553" s="160"/>
      <c r="BG1553" s="160"/>
      <c r="BH1553" s="160"/>
      <c r="BI1553" s="106"/>
      <c r="BJ1553" s="106"/>
      <c r="BK1553" s="106"/>
      <c r="BL1553" s="106"/>
      <c r="BM1553" s="106"/>
      <c r="BN1553" s="106"/>
      <c r="BO1553" s="106"/>
    </row>
    <row r="1554" spans="25:67" ht="17.25" hidden="1" x14ac:dyDescent="0.25">
      <c r="Y1554" s="91"/>
      <c r="Z1554" s="71" t="s">
        <v>736</v>
      </c>
      <c r="AA1554" s="91"/>
      <c r="AB1554" s="447">
        <v>0.19</v>
      </c>
      <c r="AC1554" s="91"/>
      <c r="AD1554" s="71" t="s">
        <v>737</v>
      </c>
      <c r="AE1554" s="91"/>
      <c r="AF1554" s="91"/>
      <c r="AG1554" s="91"/>
      <c r="AH1554" s="91"/>
      <c r="AI1554" s="91"/>
      <c r="AJ1554" s="91"/>
      <c r="AK1554" s="91"/>
      <c r="AL1554" s="91"/>
      <c r="AM1554" s="91"/>
      <c r="AN1554" s="91"/>
      <c r="AO1554" s="91"/>
      <c r="AP1554" s="91"/>
      <c r="AQ1554" s="91"/>
      <c r="AR1554" s="91"/>
      <c r="AS1554" s="91"/>
      <c r="AT1554" s="71" t="s">
        <v>738</v>
      </c>
      <c r="AU1554" s="91"/>
      <c r="AV1554" s="81">
        <v>20</v>
      </c>
      <c r="AW1554" s="67"/>
      <c r="AX1554" s="160"/>
      <c r="AY1554" s="160"/>
      <c r="AZ1554" s="160"/>
      <c r="BA1554" s="160"/>
      <c r="BB1554" s="160"/>
      <c r="BC1554" s="160"/>
      <c r="BD1554" s="160"/>
      <c r="BE1554" s="160"/>
      <c r="BF1554" s="160"/>
      <c r="BG1554" s="160"/>
      <c r="BH1554" s="160"/>
      <c r="BI1554" s="106"/>
      <c r="BJ1554" s="106"/>
      <c r="BK1554" s="106"/>
      <c r="BL1554" s="106"/>
      <c r="BM1554" s="106"/>
      <c r="BN1554" s="106"/>
      <c r="BO1554" s="106"/>
    </row>
    <row r="1555" spans="25:67" hidden="1" x14ac:dyDescent="0.25">
      <c r="Y1555" s="91"/>
      <c r="Z1555" s="71" t="s">
        <v>84</v>
      </c>
      <c r="AA1555" s="91"/>
      <c r="AB1555" s="447">
        <v>0.2</v>
      </c>
      <c r="AC1555" s="91"/>
      <c r="AD1555" s="71" t="s">
        <v>739</v>
      </c>
      <c r="AE1555" s="91"/>
      <c r="AF1555" s="91"/>
      <c r="AG1555" s="91"/>
      <c r="AH1555" s="91"/>
      <c r="AI1555" s="91"/>
      <c r="AJ1555" s="91"/>
      <c r="AK1555" s="91"/>
      <c r="AL1555" s="91"/>
      <c r="AM1555" s="91"/>
      <c r="AN1555" s="91"/>
      <c r="AO1555" s="91"/>
      <c r="AP1555" s="91"/>
      <c r="AQ1555" s="91"/>
      <c r="AR1555" s="91"/>
      <c r="AS1555" s="91"/>
      <c r="AT1555" s="71" t="s">
        <v>740</v>
      </c>
      <c r="AU1555" s="91"/>
      <c r="AV1555" s="91"/>
      <c r="AW1555" s="67"/>
      <c r="AX1555" s="160"/>
      <c r="AY1555" s="160"/>
      <c r="AZ1555" s="160"/>
      <c r="BA1555" s="160"/>
      <c r="BB1555" s="160"/>
      <c r="BC1555" s="160"/>
      <c r="BD1555" s="160"/>
      <c r="BE1555" s="160"/>
      <c r="BF1555" s="160"/>
      <c r="BG1555" s="160"/>
      <c r="BH1555" s="160"/>
      <c r="BI1555" s="106"/>
      <c r="BJ1555" s="106"/>
      <c r="BK1555" s="106"/>
      <c r="BL1555" s="106"/>
      <c r="BM1555" s="106"/>
      <c r="BN1555" s="106"/>
      <c r="BO1555" s="106"/>
    </row>
    <row r="1556" spans="25:67" hidden="1" x14ac:dyDescent="0.25">
      <c r="Y1556" s="91"/>
      <c r="Z1556" s="71" t="s">
        <v>87</v>
      </c>
      <c r="AA1556" s="91"/>
      <c r="AB1556" s="447">
        <v>0.21</v>
      </c>
      <c r="AC1556" s="91"/>
      <c r="AD1556" s="71" t="s">
        <v>741</v>
      </c>
      <c r="AE1556" s="91"/>
      <c r="AF1556" s="91"/>
      <c r="AG1556" s="91"/>
      <c r="AH1556" s="91"/>
      <c r="AI1556" s="91"/>
      <c r="AJ1556" s="91"/>
      <c r="AK1556" s="91"/>
      <c r="AL1556" s="91"/>
      <c r="AM1556" s="91"/>
      <c r="AN1556" s="91"/>
      <c r="AO1556" s="91"/>
      <c r="AP1556" s="91"/>
      <c r="AQ1556" s="91"/>
      <c r="AR1556" s="91"/>
      <c r="AS1556" s="91"/>
      <c r="AT1556" s="71" t="s">
        <v>300</v>
      </c>
      <c r="AU1556" s="91"/>
      <c r="AV1556" s="91"/>
      <c r="AW1556" s="67"/>
      <c r="AX1556" s="160"/>
      <c r="AY1556" s="160"/>
      <c r="AZ1556" s="160"/>
      <c r="BA1556" s="160"/>
      <c r="BB1556" s="160"/>
      <c r="BC1556" s="160"/>
      <c r="BD1556" s="160"/>
      <c r="BE1556" s="160"/>
      <c r="BF1556" s="160"/>
      <c r="BG1556" s="160"/>
      <c r="BH1556" s="160"/>
      <c r="BI1556" s="106"/>
      <c r="BJ1556" s="106"/>
      <c r="BK1556" s="106"/>
      <c r="BL1556" s="106"/>
      <c r="BM1556" s="106"/>
      <c r="BN1556" s="106"/>
      <c r="BO1556" s="106"/>
    </row>
    <row r="1557" spans="25:67" hidden="1" x14ac:dyDescent="0.25">
      <c r="Y1557" s="91"/>
      <c r="Z1557" s="71" t="s">
        <v>89</v>
      </c>
      <c r="AA1557" s="91"/>
      <c r="AB1557" s="447">
        <v>0.22</v>
      </c>
      <c r="AC1557" s="91"/>
      <c r="AD1557" s="71" t="s">
        <v>742</v>
      </c>
      <c r="AE1557" s="91"/>
      <c r="AF1557" s="91"/>
      <c r="AG1557" s="91"/>
      <c r="AH1557" s="91"/>
      <c r="AI1557" s="91"/>
      <c r="AJ1557" s="91"/>
      <c r="AK1557" s="91"/>
      <c r="AL1557" s="91"/>
      <c r="AM1557" s="91"/>
      <c r="AN1557" s="91"/>
      <c r="AO1557" s="91"/>
      <c r="AP1557" s="91"/>
      <c r="AQ1557" s="91"/>
      <c r="AR1557" s="91"/>
      <c r="AS1557" s="91"/>
      <c r="AT1557" s="91"/>
      <c r="AU1557" s="91"/>
      <c r="AV1557" s="91"/>
      <c r="AW1557" s="67"/>
      <c r="AX1557" s="160"/>
      <c r="AY1557" s="160"/>
      <c r="AZ1557" s="160"/>
      <c r="BA1557" s="160"/>
      <c r="BB1557" s="160"/>
      <c r="BC1557" s="160"/>
      <c r="BD1557" s="160"/>
      <c r="BE1557" s="160"/>
      <c r="BF1557" s="160"/>
      <c r="BG1557" s="160"/>
      <c r="BH1557" s="160"/>
      <c r="BI1557" s="106"/>
      <c r="BJ1557" s="106"/>
      <c r="BK1557" s="106"/>
      <c r="BL1557" s="106"/>
      <c r="BM1557" s="106"/>
      <c r="BN1557" s="106"/>
      <c r="BO1557" s="106"/>
    </row>
    <row r="1558" spans="25:67" hidden="1" x14ac:dyDescent="0.25">
      <c r="Y1558" s="91"/>
      <c r="Z1558" s="71" t="s">
        <v>81</v>
      </c>
      <c r="AA1558" s="91"/>
      <c r="AB1558" s="447">
        <v>0.23</v>
      </c>
      <c r="AC1558" s="91"/>
      <c r="AD1558" s="71" t="s">
        <v>743</v>
      </c>
      <c r="AE1558" s="91"/>
      <c r="AF1558" s="91"/>
      <c r="AG1558" s="91"/>
      <c r="AH1558" s="91"/>
      <c r="AI1558" s="91"/>
      <c r="AJ1558" s="91"/>
      <c r="AK1558" s="91"/>
      <c r="AL1558" s="91"/>
      <c r="AM1558" s="91"/>
      <c r="AN1558" s="91"/>
      <c r="AO1558" s="91"/>
      <c r="AP1558" s="91"/>
      <c r="AQ1558" s="91"/>
      <c r="AR1558" s="91"/>
      <c r="AS1558" s="91"/>
      <c r="AT1558" s="91"/>
      <c r="AU1558" s="67"/>
      <c r="AV1558" s="67"/>
      <c r="AW1558" s="67"/>
      <c r="AX1558" s="160"/>
      <c r="AY1558" s="160"/>
      <c r="AZ1558" s="160"/>
      <c r="BA1558" s="160"/>
      <c r="BB1558" s="160"/>
      <c r="BC1558" s="160"/>
      <c r="BD1558" s="160"/>
      <c r="BE1558" s="160"/>
      <c r="BF1558" s="160"/>
      <c r="BG1558" s="160"/>
      <c r="BH1558" s="160"/>
      <c r="BI1558" s="106"/>
      <c r="BJ1558" s="106"/>
      <c r="BK1558" s="106"/>
      <c r="BL1558" s="106"/>
      <c r="BM1558" s="106"/>
      <c r="BN1558" s="106"/>
      <c r="BO1558" s="106"/>
    </row>
    <row r="1559" spans="25:67" hidden="1" x14ac:dyDescent="0.25">
      <c r="Y1559" s="91"/>
      <c r="Z1559" s="91"/>
      <c r="AA1559" s="91"/>
      <c r="AB1559" s="447">
        <v>0.24</v>
      </c>
      <c r="AC1559" s="91"/>
      <c r="AD1559" s="71" t="s">
        <v>744</v>
      </c>
      <c r="AE1559" s="91"/>
      <c r="AF1559" s="91"/>
      <c r="AG1559" s="67"/>
      <c r="AH1559" s="91"/>
      <c r="AI1559" s="91"/>
      <c r="AJ1559" s="91"/>
      <c r="AK1559" s="91"/>
      <c r="AL1559" s="91"/>
      <c r="AM1559" s="91"/>
      <c r="AN1559" s="91"/>
      <c r="AO1559" s="91"/>
      <c r="AP1559" s="91"/>
      <c r="AQ1559" s="91"/>
      <c r="AR1559" s="91"/>
      <c r="AS1559" s="91"/>
      <c r="AT1559" s="91"/>
      <c r="AU1559" s="67"/>
      <c r="AV1559" s="67"/>
      <c r="AW1559" s="67"/>
      <c r="AX1559" s="160"/>
      <c r="AY1559" s="160"/>
      <c r="AZ1559" s="160"/>
      <c r="BA1559" s="160"/>
      <c r="BB1559" s="160"/>
      <c r="BC1559" s="160"/>
      <c r="BD1559" s="160"/>
      <c r="BE1559" s="160"/>
      <c r="BF1559" s="160"/>
      <c r="BG1559" s="160"/>
      <c r="BH1559" s="160"/>
      <c r="BI1559" s="106"/>
      <c r="BJ1559" s="106"/>
      <c r="BK1559" s="106"/>
      <c r="BL1559" s="106"/>
      <c r="BM1559" s="106"/>
      <c r="BN1559" s="106"/>
      <c r="BO1559" s="106"/>
    </row>
    <row r="1560" spans="25:67" hidden="1" x14ac:dyDescent="0.25">
      <c r="Y1560" s="91"/>
      <c r="Z1560" s="91"/>
      <c r="AA1560" s="91"/>
      <c r="AB1560" s="447">
        <v>0.25</v>
      </c>
      <c r="AC1560" s="91"/>
      <c r="AD1560" s="71" t="s">
        <v>222</v>
      </c>
      <c r="AE1560" s="91"/>
      <c r="AF1560" s="91"/>
      <c r="AG1560" s="91"/>
      <c r="AH1560" s="91"/>
      <c r="AI1560" s="91"/>
      <c r="AJ1560" s="91"/>
      <c r="AK1560" s="91"/>
      <c r="AL1560" s="91"/>
      <c r="AM1560" s="91"/>
      <c r="AN1560" s="91"/>
      <c r="AO1560" s="91"/>
      <c r="AP1560" s="91"/>
      <c r="AQ1560" s="91"/>
      <c r="AR1560" s="91"/>
      <c r="AS1560" s="91"/>
      <c r="AT1560" s="91"/>
      <c r="AU1560" s="67"/>
      <c r="AV1560" s="67"/>
      <c r="AW1560" s="67"/>
      <c r="AX1560" s="160"/>
      <c r="AY1560" s="160"/>
      <c r="AZ1560" s="160"/>
      <c r="BA1560" s="160"/>
      <c r="BB1560" s="160"/>
      <c r="BC1560" s="160"/>
      <c r="BD1560" s="160"/>
      <c r="BE1560" s="160"/>
      <c r="BF1560" s="160"/>
      <c r="BG1560" s="160"/>
      <c r="BH1560" s="160"/>
      <c r="BI1560" s="106"/>
      <c r="BJ1560" s="106"/>
      <c r="BK1560" s="106"/>
      <c r="BL1560" s="106"/>
      <c r="BM1560" s="106"/>
      <c r="BN1560" s="106"/>
      <c r="BO1560" s="106"/>
    </row>
    <row r="1561" spans="25:67" hidden="1" x14ac:dyDescent="0.25">
      <c r="Y1561" s="91"/>
      <c r="Z1561" s="71" t="s">
        <v>745</v>
      </c>
      <c r="AA1561" s="91"/>
      <c r="AB1561" s="447">
        <v>0.26</v>
      </c>
      <c r="AC1561" s="91"/>
      <c r="AD1561" s="71" t="s">
        <v>746</v>
      </c>
      <c r="AE1561" s="91"/>
      <c r="AF1561" s="91"/>
      <c r="AG1561" s="91"/>
      <c r="AH1561" s="91"/>
      <c r="AI1561" s="91"/>
      <c r="AJ1561" s="91"/>
      <c r="AK1561" s="91"/>
      <c r="AL1561" s="91"/>
      <c r="AM1561" s="91"/>
      <c r="AN1561" s="91"/>
      <c r="AO1561" s="91"/>
      <c r="AP1561" s="91"/>
      <c r="AQ1561" s="91"/>
      <c r="AR1561" s="91"/>
      <c r="AS1561" s="91"/>
      <c r="AT1561" s="91"/>
      <c r="AU1561" s="67"/>
      <c r="AV1561" s="67"/>
      <c r="AW1561" s="67"/>
      <c r="AX1561" s="160"/>
      <c r="AY1561" s="160"/>
      <c r="AZ1561" s="160"/>
      <c r="BA1561" s="160"/>
      <c r="BB1561" s="160"/>
      <c r="BC1561" s="160"/>
      <c r="BD1561" s="160"/>
      <c r="BE1561" s="160"/>
      <c r="BF1561" s="160"/>
      <c r="BG1561" s="160"/>
      <c r="BH1561" s="160"/>
      <c r="BI1561" s="106"/>
      <c r="BJ1561" s="106"/>
      <c r="BK1561" s="106"/>
      <c r="BL1561" s="106"/>
      <c r="BM1561" s="106"/>
      <c r="BN1561" s="106"/>
      <c r="BO1561" s="106"/>
    </row>
    <row r="1562" spans="25:67" hidden="1" x14ac:dyDescent="0.25">
      <c r="Y1562" s="91"/>
      <c r="Z1562" s="71" t="s">
        <v>747</v>
      </c>
      <c r="AA1562" s="91"/>
      <c r="AB1562" s="447">
        <v>0.27</v>
      </c>
      <c r="AC1562" s="91"/>
      <c r="AD1562" s="648" t="s">
        <v>204</v>
      </c>
      <c r="AE1562" s="91"/>
      <c r="AF1562" s="91"/>
      <c r="AG1562" s="91"/>
      <c r="AH1562" s="91"/>
      <c r="AI1562" s="91"/>
      <c r="AJ1562" s="91"/>
      <c r="AK1562" s="91"/>
      <c r="AL1562" s="91"/>
      <c r="AM1562" s="91"/>
      <c r="AN1562" s="91"/>
      <c r="AO1562" s="91"/>
      <c r="AP1562" s="91"/>
      <c r="AQ1562" s="91"/>
      <c r="AR1562" s="91"/>
      <c r="AS1562" s="91"/>
      <c r="AT1562" s="91"/>
      <c r="AU1562" s="67"/>
      <c r="AV1562" s="67"/>
      <c r="AW1562" s="67"/>
      <c r="AX1562" s="160"/>
      <c r="AY1562" s="160"/>
      <c r="AZ1562" s="160"/>
      <c r="BA1562" s="160"/>
      <c r="BB1562" s="160"/>
      <c r="BC1562" s="160"/>
      <c r="BD1562" s="160"/>
      <c r="BE1562" s="160"/>
      <c r="BF1562" s="160"/>
      <c r="BG1562" s="160"/>
      <c r="BH1562" s="160"/>
      <c r="BI1562" s="106"/>
      <c r="BJ1562" s="106"/>
      <c r="BK1562" s="106"/>
      <c r="BL1562" s="106"/>
      <c r="BM1562" s="106"/>
      <c r="BN1562" s="106"/>
      <c r="BO1562" s="106"/>
    </row>
    <row r="1563" spans="25:67" hidden="1" x14ac:dyDescent="0.25">
      <c r="Y1563" s="91"/>
      <c r="Z1563" s="71" t="s">
        <v>748</v>
      </c>
      <c r="AA1563" s="91"/>
      <c r="AB1563" s="447">
        <v>0.28000000000000003</v>
      </c>
      <c r="AC1563" s="91"/>
      <c r="AD1563" s="648" t="s">
        <v>231</v>
      </c>
      <c r="AE1563" s="91"/>
      <c r="AF1563" s="91"/>
      <c r="AG1563" s="91"/>
      <c r="AH1563" s="91"/>
      <c r="AI1563" s="91"/>
      <c r="AJ1563" s="91"/>
      <c r="AK1563" s="91"/>
      <c r="AL1563" s="91"/>
      <c r="AM1563" s="91"/>
      <c r="AN1563" s="91"/>
      <c r="AO1563" s="91"/>
      <c r="AP1563" s="91"/>
      <c r="AQ1563" s="91"/>
      <c r="AR1563" s="91"/>
      <c r="AS1563" s="91"/>
      <c r="AT1563" s="91"/>
      <c r="AU1563" s="67"/>
      <c r="AV1563" s="67"/>
      <c r="AW1563" s="67"/>
      <c r="AX1563" s="160"/>
      <c r="AY1563" s="160"/>
      <c r="AZ1563" s="160"/>
      <c r="BA1563" s="160"/>
      <c r="BB1563" s="160"/>
      <c r="BC1563" s="160"/>
      <c r="BD1563" s="160"/>
      <c r="BE1563" s="160"/>
      <c r="BF1563" s="160"/>
      <c r="BG1563" s="160"/>
      <c r="BH1563" s="160"/>
      <c r="BI1563" s="106"/>
      <c r="BJ1563" s="106"/>
      <c r="BK1563" s="106"/>
      <c r="BL1563" s="106"/>
      <c r="BM1563" s="106"/>
      <c r="BN1563" s="106"/>
      <c r="BO1563" s="106"/>
    </row>
    <row r="1564" spans="25:67" hidden="1" x14ac:dyDescent="0.25">
      <c r="Y1564" s="91"/>
      <c r="Z1564" s="71" t="s">
        <v>749</v>
      </c>
      <c r="AA1564" s="67"/>
      <c r="AB1564" s="447">
        <v>0.28999999999999998</v>
      </c>
      <c r="AC1564" s="91"/>
      <c r="AD1564" s="648" t="s">
        <v>605</v>
      </c>
      <c r="AE1564" s="91"/>
      <c r="AF1564" s="91"/>
      <c r="AG1564" s="91"/>
      <c r="AH1564" s="91"/>
      <c r="AI1564" s="91"/>
      <c r="AJ1564" s="91"/>
      <c r="AK1564" s="91"/>
      <c r="AL1564" s="91"/>
      <c r="AM1564" s="91"/>
      <c r="AN1564" s="91"/>
      <c r="AO1564" s="91"/>
      <c r="AP1564" s="91"/>
      <c r="AQ1564" s="91"/>
      <c r="AR1564" s="91"/>
      <c r="AS1564" s="91"/>
      <c r="AT1564" s="91"/>
      <c r="AU1564" s="67"/>
      <c r="AV1564" s="67"/>
      <c r="AW1564" s="67"/>
      <c r="AX1564" s="160"/>
      <c r="AY1564" s="160"/>
      <c r="AZ1564" s="160"/>
      <c r="BA1564" s="160"/>
      <c r="BB1564" s="160"/>
      <c r="BC1564" s="160"/>
      <c r="BD1564" s="160"/>
      <c r="BE1564" s="160"/>
      <c r="BF1564" s="160"/>
      <c r="BG1564" s="160"/>
      <c r="BH1564" s="160"/>
      <c r="BI1564" s="106"/>
      <c r="BJ1564" s="106"/>
      <c r="BK1564" s="106"/>
      <c r="BL1564" s="106"/>
      <c r="BM1564" s="106"/>
      <c r="BN1564" s="106"/>
      <c r="BO1564" s="106"/>
    </row>
    <row r="1565" spans="25:67" hidden="1" x14ac:dyDescent="0.25">
      <c r="Y1565" s="91"/>
      <c r="Z1565" s="106"/>
      <c r="AA1565" s="67"/>
      <c r="AB1565" s="447">
        <v>0.3</v>
      </c>
      <c r="AC1565" s="91"/>
      <c r="AD1565" s="648" t="s">
        <v>733</v>
      </c>
      <c r="AE1565" s="91"/>
      <c r="AF1565" s="91"/>
      <c r="AG1565" s="91"/>
      <c r="AH1565" s="91"/>
      <c r="AI1565" s="91"/>
      <c r="AJ1565" s="91"/>
      <c r="AK1565" s="91"/>
      <c r="AL1565" s="91"/>
      <c r="AM1565" s="91"/>
      <c r="AN1565" s="91"/>
      <c r="AO1565" s="91"/>
      <c r="AP1565" s="91"/>
      <c r="AQ1565" s="91"/>
      <c r="AR1565" s="91"/>
      <c r="AS1565" s="91"/>
      <c r="AT1565" s="91"/>
      <c r="AU1565" s="67"/>
      <c r="AV1565" s="67"/>
      <c r="AW1565" s="67"/>
      <c r="AX1565" s="160"/>
      <c r="AY1565" s="160"/>
      <c r="AZ1565" s="160"/>
      <c r="BA1565" s="160"/>
      <c r="BB1565" s="160"/>
      <c r="BC1565" s="160"/>
      <c r="BD1565" s="160"/>
      <c r="BE1565" s="160"/>
      <c r="BF1565" s="160"/>
      <c r="BG1565" s="160"/>
      <c r="BH1565" s="160"/>
      <c r="BI1565" s="106"/>
      <c r="BJ1565" s="106"/>
      <c r="BK1565" s="106"/>
      <c r="BL1565" s="106"/>
      <c r="BM1565" s="106"/>
      <c r="BN1565" s="106"/>
      <c r="BO1565" s="106"/>
    </row>
    <row r="1566" spans="25:67" ht="17.25" hidden="1" x14ac:dyDescent="0.25">
      <c r="Y1566" s="91"/>
      <c r="Z1566" s="106"/>
      <c r="AA1566" s="67"/>
      <c r="AB1566" s="447">
        <v>0.31</v>
      </c>
      <c r="AC1566" s="91"/>
      <c r="AD1566" s="71" t="s">
        <v>737</v>
      </c>
      <c r="AE1566" s="91"/>
      <c r="AF1566" s="91"/>
      <c r="AG1566" s="91"/>
      <c r="AH1566" s="91"/>
      <c r="AI1566" s="91"/>
      <c r="AJ1566" s="91"/>
      <c r="AK1566" s="91"/>
      <c r="AL1566" s="91"/>
      <c r="AM1566" s="91"/>
      <c r="AN1566" s="91"/>
      <c r="AO1566" s="91"/>
      <c r="AP1566" s="91"/>
      <c r="AQ1566" s="91"/>
      <c r="AR1566" s="91"/>
      <c r="AS1566" s="91"/>
      <c r="AT1566" s="91"/>
      <c r="AU1566" s="67"/>
      <c r="AV1566" s="67"/>
      <c r="AW1566" s="67"/>
      <c r="AX1566" s="160"/>
      <c r="AY1566" s="160"/>
      <c r="AZ1566" s="160"/>
      <c r="BA1566" s="160"/>
      <c r="BB1566" s="160"/>
      <c r="BC1566" s="160"/>
      <c r="BD1566" s="160"/>
      <c r="BE1566" s="160"/>
      <c r="BF1566" s="160"/>
      <c r="BG1566" s="160"/>
      <c r="BH1566" s="160"/>
      <c r="BI1566" s="106"/>
      <c r="BJ1566" s="106"/>
      <c r="BK1566" s="106"/>
      <c r="BL1566" s="106"/>
      <c r="BM1566" s="106"/>
      <c r="BN1566" s="106"/>
      <c r="BO1566" s="106"/>
    </row>
    <row r="1567" spans="25:67" hidden="1" x14ac:dyDescent="0.25">
      <c r="Y1567" s="91"/>
      <c r="Z1567" s="91"/>
      <c r="AA1567" s="67"/>
      <c r="AB1567" s="447">
        <v>0.32</v>
      </c>
      <c r="AC1567" s="91"/>
      <c r="AD1567" s="91" t="s">
        <v>735</v>
      </c>
      <c r="AE1567" s="91"/>
      <c r="AF1567" s="91"/>
      <c r="AG1567" s="91"/>
      <c r="AH1567" s="91"/>
      <c r="AI1567" s="91"/>
      <c r="AJ1567" s="91"/>
      <c r="AK1567" s="91"/>
      <c r="AL1567" s="91"/>
      <c r="AM1567" s="91"/>
      <c r="AN1567" s="91"/>
      <c r="AO1567" s="91"/>
      <c r="AP1567" s="91"/>
      <c r="AQ1567" s="91"/>
      <c r="AR1567" s="91"/>
      <c r="AS1567" s="91"/>
      <c r="AT1567" s="91"/>
      <c r="AU1567" s="67"/>
      <c r="AV1567" s="67"/>
      <c r="AW1567" s="67"/>
      <c r="AX1567" s="160"/>
      <c r="AY1567" s="160"/>
      <c r="AZ1567" s="160"/>
      <c r="BA1567" s="160"/>
      <c r="BB1567" s="160"/>
      <c r="BC1567" s="160"/>
      <c r="BD1567" s="160"/>
      <c r="BE1567" s="160"/>
      <c r="BF1567" s="160"/>
      <c r="BG1567" s="160"/>
      <c r="BH1567" s="160"/>
      <c r="BI1567" s="106"/>
      <c r="BJ1567" s="106"/>
      <c r="BK1567" s="106"/>
      <c r="BL1567" s="106"/>
      <c r="BM1567" s="106"/>
      <c r="BN1567" s="106"/>
      <c r="BO1567" s="106"/>
    </row>
    <row r="1568" spans="25:67" hidden="1" x14ac:dyDescent="0.25">
      <c r="Y1568" s="91"/>
      <c r="Z1568" s="71" t="s">
        <v>750</v>
      </c>
      <c r="AA1568" s="67"/>
      <c r="AB1568" s="447">
        <v>0.33</v>
      </c>
      <c r="AC1568" s="91"/>
      <c r="AD1568" s="91"/>
      <c r="AE1568" s="91"/>
      <c r="AF1568" s="91"/>
      <c r="AG1568" s="91"/>
      <c r="AH1568" s="91"/>
      <c r="AI1568" s="91"/>
      <c r="AJ1568" s="91"/>
      <c r="AK1568" s="91"/>
      <c r="AL1568" s="91"/>
      <c r="AM1568" s="91"/>
      <c r="AN1568" s="91"/>
      <c r="AO1568" s="91"/>
      <c r="AP1568" s="91"/>
      <c r="AQ1568" s="91"/>
      <c r="AR1568" s="91"/>
      <c r="AS1568" s="91"/>
      <c r="AT1568" s="91"/>
      <c r="AU1568" s="67"/>
      <c r="AV1568" s="67"/>
      <c r="AW1568" s="67"/>
      <c r="AX1568" s="160"/>
      <c r="AY1568" s="160"/>
      <c r="AZ1568" s="160"/>
      <c r="BA1568" s="160"/>
      <c r="BB1568" s="160"/>
      <c r="BC1568" s="160"/>
      <c r="BD1568" s="160"/>
      <c r="BE1568" s="160"/>
      <c r="BF1568" s="160"/>
      <c r="BG1568" s="160"/>
      <c r="BH1568" s="160"/>
      <c r="BI1568" s="106"/>
      <c r="BJ1568" s="106"/>
      <c r="BK1568" s="106"/>
      <c r="BL1568" s="106"/>
      <c r="BM1568" s="106"/>
      <c r="BN1568" s="106"/>
      <c r="BO1568" s="106"/>
    </row>
    <row r="1569" spans="25:67" hidden="1" x14ac:dyDescent="0.25">
      <c r="Y1569" s="91"/>
      <c r="Z1569" s="426" t="s">
        <v>751</v>
      </c>
      <c r="AA1569" s="67"/>
      <c r="AB1569" s="447">
        <v>0.34</v>
      </c>
      <c r="AC1569" s="91"/>
      <c r="AD1569" s="91"/>
      <c r="AE1569" s="91"/>
      <c r="AF1569" s="91"/>
      <c r="AG1569" s="91"/>
      <c r="AH1569" s="91"/>
      <c r="AI1569" s="91"/>
      <c r="AJ1569" s="91"/>
      <c r="AK1569" s="91"/>
      <c r="AL1569" s="91"/>
      <c r="AM1569" s="91"/>
      <c r="AN1569" s="91"/>
      <c r="AO1569" s="91"/>
      <c r="AP1569" s="91"/>
      <c r="AQ1569" s="91"/>
      <c r="AR1569" s="91"/>
      <c r="AS1569" s="91"/>
      <c r="AT1569" s="91"/>
      <c r="AU1569" s="67"/>
      <c r="AV1569" s="67"/>
      <c r="AW1569" s="67"/>
      <c r="AX1569" s="160"/>
      <c r="AY1569" s="160"/>
      <c r="AZ1569" s="160"/>
      <c r="BA1569" s="160"/>
      <c r="BB1569" s="160"/>
      <c r="BC1569" s="160"/>
      <c r="BD1569" s="160"/>
      <c r="BE1569" s="160"/>
      <c r="BF1569" s="160"/>
      <c r="BG1569" s="160"/>
      <c r="BH1569" s="160"/>
      <c r="BI1569" s="106"/>
      <c r="BJ1569" s="106"/>
      <c r="BK1569" s="106"/>
      <c r="BL1569" s="106"/>
      <c r="BM1569" s="106"/>
      <c r="BN1569" s="106"/>
      <c r="BO1569" s="106"/>
    </row>
    <row r="1570" spans="25:67" hidden="1" x14ac:dyDescent="0.25">
      <c r="Y1570" s="91"/>
      <c r="Z1570" s="426" t="s">
        <v>752</v>
      </c>
      <c r="AA1570" s="67"/>
      <c r="AB1570" s="447">
        <v>0.35</v>
      </c>
      <c r="AC1570" s="91"/>
      <c r="AD1570" s="91"/>
      <c r="AE1570" s="91"/>
      <c r="AF1570" s="91"/>
      <c r="AG1570" s="91"/>
      <c r="AH1570" s="91"/>
      <c r="AI1570" s="91"/>
      <c r="AJ1570" s="91"/>
      <c r="AK1570" s="91"/>
      <c r="AL1570" s="91"/>
      <c r="AM1570" s="91"/>
      <c r="AN1570" s="91"/>
      <c r="AO1570" s="91"/>
      <c r="AP1570" s="91"/>
      <c r="AQ1570" s="91"/>
      <c r="AR1570" s="91"/>
      <c r="AS1570" s="91"/>
      <c r="AT1570" s="91"/>
      <c r="AU1570" s="67"/>
      <c r="AV1570" s="67"/>
      <c r="AW1570" s="67"/>
      <c r="AX1570" s="160"/>
      <c r="AY1570" s="160"/>
      <c r="AZ1570" s="160"/>
      <c r="BA1570" s="160"/>
      <c r="BB1570" s="160"/>
      <c r="BC1570" s="160"/>
      <c r="BD1570" s="160"/>
      <c r="BE1570" s="160"/>
      <c r="BF1570" s="160"/>
      <c r="BG1570" s="160"/>
      <c r="BH1570" s="160"/>
      <c r="BI1570" s="106"/>
      <c r="BJ1570" s="106"/>
      <c r="BK1570" s="106"/>
      <c r="BL1570" s="106"/>
      <c r="BM1570" s="106"/>
      <c r="BN1570" s="106"/>
      <c r="BO1570" s="106"/>
    </row>
    <row r="1571" spans="25:67" hidden="1" x14ac:dyDescent="0.25">
      <c r="Y1571" s="91"/>
      <c r="Z1571" s="91"/>
      <c r="AA1571" s="67"/>
      <c r="AB1571" s="447">
        <v>0.36</v>
      </c>
      <c r="AC1571" s="91"/>
      <c r="AD1571" s="91"/>
      <c r="AE1571" s="91"/>
      <c r="AF1571" s="91"/>
      <c r="AG1571" s="91"/>
      <c r="AH1571" s="91"/>
      <c r="AI1571" s="91"/>
      <c r="AJ1571" s="91"/>
      <c r="AK1571" s="91"/>
      <c r="AL1571" s="91"/>
      <c r="AM1571" s="91"/>
      <c r="AN1571" s="91"/>
      <c r="AO1571" s="91"/>
      <c r="AP1571" s="91"/>
      <c r="AQ1571" s="91"/>
      <c r="AR1571" s="91"/>
      <c r="AS1571" s="91"/>
      <c r="AT1571" s="91"/>
      <c r="AU1571" s="67"/>
      <c r="AV1571" s="67"/>
      <c r="AW1571" s="67"/>
      <c r="AX1571" s="160"/>
      <c r="AY1571" s="160"/>
      <c r="AZ1571" s="160"/>
      <c r="BA1571" s="160"/>
      <c r="BB1571" s="160"/>
      <c r="BC1571" s="160"/>
      <c r="BD1571" s="160"/>
      <c r="BE1571" s="160"/>
      <c r="BF1571" s="160"/>
      <c r="BG1571" s="160"/>
      <c r="BH1571" s="160"/>
      <c r="BI1571" s="106"/>
      <c r="BJ1571" s="106"/>
      <c r="BK1571" s="106"/>
      <c r="BL1571" s="106"/>
      <c r="BM1571" s="106"/>
      <c r="BN1571" s="106"/>
      <c r="BO1571" s="106"/>
    </row>
    <row r="1572" spans="25:67" hidden="1" x14ac:dyDescent="0.25">
      <c r="Y1572" s="91"/>
      <c r="Z1572" s="91"/>
      <c r="AA1572" s="67"/>
      <c r="AB1572" s="447">
        <v>0.37</v>
      </c>
      <c r="AC1572" s="91"/>
      <c r="AD1572" s="91"/>
      <c r="AE1572" s="91"/>
      <c r="AF1572" s="91"/>
      <c r="AG1572" s="91"/>
      <c r="AH1572" s="91"/>
      <c r="AI1572" s="91"/>
      <c r="AJ1572" s="91"/>
      <c r="AK1572" s="91"/>
      <c r="AL1572" s="91"/>
      <c r="AM1572" s="91"/>
      <c r="AN1572" s="91"/>
      <c r="AO1572" s="91"/>
      <c r="AP1572" s="91"/>
      <c r="AQ1572" s="91"/>
      <c r="AR1572" s="91"/>
      <c r="AS1572" s="91"/>
      <c r="AT1572" s="91"/>
      <c r="AU1572" s="67"/>
      <c r="AV1572" s="67"/>
      <c r="AW1572" s="67"/>
      <c r="AX1572" s="160"/>
      <c r="AY1572" s="160"/>
      <c r="AZ1572" s="160"/>
      <c r="BA1572" s="160"/>
      <c r="BB1572" s="160"/>
      <c r="BC1572" s="160"/>
      <c r="BD1572" s="160"/>
      <c r="BE1572" s="160"/>
      <c r="BF1572" s="160"/>
      <c r="BG1572" s="160"/>
      <c r="BH1572" s="160"/>
      <c r="BI1572" s="106"/>
      <c r="BJ1572" s="106"/>
      <c r="BK1572" s="106"/>
      <c r="BL1572" s="106"/>
      <c r="BM1572" s="106"/>
      <c r="BN1572" s="106"/>
      <c r="BO1572" s="106"/>
    </row>
    <row r="1573" spans="25:67" hidden="1" x14ac:dyDescent="0.25">
      <c r="Y1573" s="71" t="s">
        <v>84</v>
      </c>
      <c r="Z1573" s="71" t="s">
        <v>747</v>
      </c>
      <c r="AA1573" s="67"/>
      <c r="AB1573" s="447">
        <v>0.38</v>
      </c>
      <c r="AC1573" s="91"/>
      <c r="AD1573" s="91"/>
      <c r="AE1573" s="91"/>
      <c r="AF1573" s="91"/>
      <c r="AG1573" s="91"/>
      <c r="AH1573" s="91"/>
      <c r="AI1573" s="91"/>
      <c r="AJ1573" s="91"/>
      <c r="AK1573" s="91"/>
      <c r="AL1573" s="91"/>
      <c r="AM1573" s="91"/>
      <c r="AN1573" s="91"/>
      <c r="AO1573" s="91"/>
      <c r="AP1573" s="91"/>
      <c r="AQ1573" s="91"/>
      <c r="AR1573" s="91"/>
      <c r="AS1573" s="91"/>
      <c r="AT1573" s="91"/>
      <c r="AU1573" s="67"/>
      <c r="AV1573" s="67"/>
      <c r="AW1573" s="67"/>
      <c r="AX1573" s="160"/>
      <c r="AY1573" s="160"/>
      <c r="AZ1573" s="160"/>
      <c r="BA1573" s="160"/>
      <c r="BB1573" s="160"/>
      <c r="BC1573" s="160"/>
      <c r="BD1573" s="160"/>
      <c r="BE1573" s="160"/>
      <c r="BF1573" s="160"/>
      <c r="BG1573" s="160"/>
      <c r="BH1573" s="160"/>
      <c r="BI1573" s="106"/>
      <c r="BJ1573" s="106"/>
      <c r="BK1573" s="106"/>
      <c r="BL1573" s="106"/>
      <c r="BM1573" s="106"/>
      <c r="BN1573" s="106"/>
      <c r="BO1573" s="106"/>
    </row>
    <row r="1574" spans="25:67" hidden="1" x14ac:dyDescent="0.25">
      <c r="Y1574" s="71" t="s">
        <v>89</v>
      </c>
      <c r="Z1574" s="71" t="s">
        <v>748</v>
      </c>
      <c r="AA1574" s="67"/>
      <c r="AB1574" s="447">
        <v>0.39</v>
      </c>
      <c r="AC1574" s="91"/>
      <c r="AD1574" s="91"/>
      <c r="AE1574" s="91"/>
      <c r="AF1574" s="91"/>
      <c r="AG1574" s="91"/>
      <c r="AH1574" s="91"/>
      <c r="AI1574" s="91"/>
      <c r="AJ1574" s="91"/>
      <c r="AK1574" s="91"/>
      <c r="AL1574" s="91"/>
      <c r="AM1574" s="91"/>
      <c r="AN1574" s="91"/>
      <c r="AO1574" s="91"/>
      <c r="AP1574" s="91"/>
      <c r="AQ1574" s="91"/>
      <c r="AR1574" s="91"/>
      <c r="AS1574" s="91"/>
      <c r="AT1574" s="91"/>
      <c r="AU1574" s="67"/>
      <c r="AV1574" s="67"/>
      <c r="AW1574" s="67"/>
      <c r="AX1574" s="160"/>
      <c r="AY1574" s="160"/>
      <c r="AZ1574" s="160"/>
      <c r="BA1574" s="160"/>
      <c r="BB1574" s="160"/>
      <c r="BC1574" s="160"/>
      <c r="BD1574" s="160"/>
      <c r="BE1574" s="160"/>
      <c r="BF1574" s="160"/>
      <c r="BG1574" s="160"/>
      <c r="BH1574" s="160"/>
      <c r="BI1574" s="106"/>
      <c r="BJ1574" s="106"/>
      <c r="BK1574" s="106"/>
      <c r="BL1574" s="106"/>
      <c r="BM1574" s="106"/>
      <c r="BN1574" s="106"/>
      <c r="BO1574" s="106"/>
    </row>
    <row r="1575" spans="25:67" hidden="1" x14ac:dyDescent="0.25">
      <c r="Y1575" s="71" t="s">
        <v>81</v>
      </c>
      <c r="Z1575" s="71" t="s">
        <v>749</v>
      </c>
      <c r="AA1575" s="67"/>
      <c r="AB1575" s="447">
        <v>0.4</v>
      </c>
      <c r="AC1575" s="91"/>
      <c r="AD1575" s="91"/>
      <c r="AE1575" s="91"/>
      <c r="AF1575" s="91"/>
      <c r="AG1575" s="91"/>
      <c r="AH1575" s="91"/>
      <c r="AI1575" s="91"/>
      <c r="AJ1575" s="91"/>
      <c r="AK1575" s="91"/>
      <c r="AL1575" s="91"/>
      <c r="AM1575" s="91"/>
      <c r="AN1575" s="91"/>
      <c r="AO1575" s="91"/>
      <c r="AP1575" s="91"/>
      <c r="AQ1575" s="91"/>
      <c r="AR1575" s="91"/>
      <c r="AS1575" s="91"/>
      <c r="AT1575" s="91"/>
      <c r="AU1575" s="67"/>
      <c r="AV1575" s="67"/>
      <c r="AW1575" s="67"/>
      <c r="AX1575" s="160"/>
      <c r="AY1575" s="160"/>
      <c r="AZ1575" s="160"/>
      <c r="BA1575" s="160"/>
      <c r="BB1575" s="160"/>
      <c r="BC1575" s="160"/>
      <c r="BD1575" s="160"/>
      <c r="BE1575" s="160"/>
      <c r="BF1575" s="160"/>
      <c r="BG1575" s="160"/>
      <c r="BH1575" s="160"/>
      <c r="BI1575" s="106"/>
      <c r="BJ1575" s="106"/>
      <c r="BK1575" s="106"/>
      <c r="BL1575" s="106"/>
      <c r="BM1575" s="106"/>
      <c r="BN1575" s="106"/>
      <c r="BO1575" s="106"/>
    </row>
    <row r="1576" spans="25:67" hidden="1" x14ac:dyDescent="0.25">
      <c r="Y1576" s="530" t="s">
        <v>87</v>
      </c>
      <c r="Z1576" s="71" t="s">
        <v>753</v>
      </c>
      <c r="AA1576" s="67"/>
      <c r="AB1576" s="447">
        <v>0.41</v>
      </c>
      <c r="AC1576" s="91"/>
      <c r="AD1576" s="91"/>
      <c r="AE1576" s="91"/>
      <c r="AF1576" s="91"/>
      <c r="AG1576" s="91"/>
      <c r="AH1576" s="91"/>
      <c r="AI1576" s="91"/>
      <c r="AJ1576" s="91"/>
      <c r="AK1576" s="91"/>
      <c r="AL1576" s="91"/>
      <c r="AM1576" s="91"/>
      <c r="AN1576" s="91"/>
      <c r="AO1576" s="91"/>
      <c r="AP1576" s="91"/>
      <c r="AQ1576" s="91"/>
      <c r="AR1576" s="91"/>
      <c r="AS1576" s="91"/>
      <c r="AT1576" s="91"/>
      <c r="AU1576" s="67"/>
      <c r="AV1576" s="67"/>
      <c r="AW1576" s="67"/>
      <c r="AX1576" s="160"/>
      <c r="AY1576" s="160"/>
      <c r="AZ1576" s="160"/>
      <c r="BA1576" s="160"/>
      <c r="BB1576" s="160"/>
      <c r="BC1576" s="160"/>
      <c r="BD1576" s="160"/>
      <c r="BE1576" s="160"/>
      <c r="BF1576" s="160"/>
      <c r="BG1576" s="160"/>
      <c r="BH1576" s="160"/>
      <c r="BI1576" s="106"/>
      <c r="BJ1576" s="106"/>
      <c r="BK1576" s="106"/>
      <c r="BL1576" s="106"/>
      <c r="BM1576" s="106"/>
      <c r="BN1576" s="106"/>
      <c r="BO1576" s="106"/>
    </row>
    <row r="1577" spans="25:67" hidden="1" x14ac:dyDescent="0.25">
      <c r="Y1577" s="91"/>
      <c r="Z1577" s="91"/>
      <c r="AA1577" s="67"/>
      <c r="AB1577" s="447">
        <v>0.42</v>
      </c>
      <c r="AC1577" s="91"/>
      <c r="AD1577" s="91"/>
      <c r="AE1577" s="91"/>
      <c r="AF1577" s="91"/>
      <c r="AG1577" s="91"/>
      <c r="AH1577" s="91"/>
      <c r="AI1577" s="91"/>
      <c r="AJ1577" s="91"/>
      <c r="AK1577" s="91"/>
      <c r="AL1577" s="91"/>
      <c r="AM1577" s="91"/>
      <c r="AN1577" s="91"/>
      <c r="AO1577" s="91"/>
      <c r="AP1577" s="91"/>
      <c r="AQ1577" s="91"/>
      <c r="AR1577" s="91"/>
      <c r="AS1577" s="91"/>
      <c r="AT1577" s="91"/>
      <c r="AU1577" s="67"/>
      <c r="AV1577" s="67"/>
      <c r="AW1577" s="67"/>
      <c r="AX1577" s="160"/>
      <c r="AY1577" s="160"/>
      <c r="AZ1577" s="160"/>
      <c r="BA1577" s="160"/>
      <c r="BB1577" s="160"/>
      <c r="BC1577" s="160"/>
      <c r="BD1577" s="160"/>
      <c r="BE1577" s="160"/>
      <c r="BF1577" s="160"/>
      <c r="BG1577" s="160"/>
      <c r="BH1577" s="160"/>
      <c r="BI1577" s="106"/>
      <c r="BJ1577" s="106"/>
      <c r="BK1577" s="106"/>
      <c r="BL1577" s="106"/>
      <c r="BM1577" s="106"/>
      <c r="BN1577" s="106"/>
      <c r="BO1577" s="106"/>
    </row>
    <row r="1578" spans="25:67" hidden="1" x14ac:dyDescent="0.25">
      <c r="Y1578" s="91"/>
      <c r="Z1578" s="555" t="s">
        <v>754</v>
      </c>
      <c r="AA1578" s="67"/>
      <c r="AB1578" s="447">
        <v>0.43</v>
      </c>
      <c r="AC1578" s="91"/>
      <c r="AD1578" s="91"/>
      <c r="AE1578" s="91"/>
      <c r="AF1578" s="91"/>
      <c r="AG1578" s="91"/>
      <c r="AH1578" s="91"/>
      <c r="AI1578" s="91"/>
      <c r="AJ1578" s="91"/>
      <c r="AK1578" s="91"/>
      <c r="AL1578" s="91"/>
      <c r="AM1578" s="91"/>
      <c r="AN1578" s="91"/>
      <c r="AO1578" s="91"/>
      <c r="AP1578" s="91"/>
      <c r="AQ1578" s="91"/>
      <c r="AR1578" s="91"/>
      <c r="AS1578" s="91"/>
      <c r="AT1578" s="91"/>
      <c r="AU1578" s="67"/>
      <c r="AV1578" s="67"/>
      <c r="AW1578" s="67"/>
      <c r="AX1578" s="160"/>
      <c r="AY1578" s="160"/>
      <c r="AZ1578" s="160"/>
      <c r="BA1578" s="160"/>
      <c r="BB1578" s="160"/>
      <c r="BC1578" s="160"/>
      <c r="BD1578" s="160"/>
      <c r="BE1578" s="160"/>
      <c r="BF1578" s="160"/>
      <c r="BG1578" s="160"/>
      <c r="BH1578" s="160"/>
      <c r="BI1578" s="106"/>
      <c r="BJ1578" s="106"/>
      <c r="BK1578" s="106"/>
      <c r="BL1578" s="106"/>
      <c r="BM1578" s="106"/>
      <c r="BN1578" s="106"/>
      <c r="BO1578" s="106"/>
    </row>
    <row r="1579" spans="25:67" hidden="1" x14ac:dyDescent="0.25">
      <c r="Y1579" s="91"/>
      <c r="Z1579" s="68" t="s">
        <v>488</v>
      </c>
      <c r="AA1579" s="67"/>
      <c r="AB1579" s="447">
        <v>0.44</v>
      </c>
      <c r="AC1579" s="91"/>
      <c r="AD1579" s="91"/>
      <c r="AE1579" s="91"/>
      <c r="AF1579" s="91"/>
      <c r="AG1579" s="91"/>
      <c r="AH1579" s="91"/>
      <c r="AI1579" s="91"/>
      <c r="AJ1579" s="91"/>
      <c r="AK1579" s="91"/>
      <c r="AL1579" s="91"/>
      <c r="AM1579" s="91"/>
      <c r="AN1579" s="91"/>
      <c r="AO1579" s="91"/>
      <c r="AP1579" s="91"/>
      <c r="AQ1579" s="91"/>
      <c r="AR1579" s="91"/>
      <c r="AS1579" s="91"/>
      <c r="AT1579" s="91"/>
      <c r="AU1579" s="91"/>
      <c r="AV1579" s="91"/>
      <c r="AW1579" s="67"/>
      <c r="AX1579" s="160"/>
      <c r="AY1579" s="160"/>
      <c r="AZ1579" s="160"/>
      <c r="BA1579" s="160"/>
      <c r="BB1579" s="160"/>
      <c r="BC1579" s="160"/>
      <c r="BD1579" s="160"/>
      <c r="BE1579" s="160"/>
      <c r="BF1579" s="160"/>
      <c r="BG1579" s="160"/>
      <c r="BH1579" s="160"/>
      <c r="BI1579" s="106"/>
      <c r="BJ1579" s="106"/>
      <c r="BK1579" s="106"/>
      <c r="BL1579" s="106"/>
      <c r="BM1579" s="106"/>
      <c r="BN1579" s="106"/>
      <c r="BO1579" s="106"/>
    </row>
    <row r="1580" spans="25:67" hidden="1" x14ac:dyDescent="0.25">
      <c r="Y1580" s="91"/>
      <c r="Z1580" s="71" t="s">
        <v>121</v>
      </c>
      <c r="AA1580" s="67"/>
      <c r="AB1580" s="447">
        <v>0.45</v>
      </c>
      <c r="AC1580" s="91"/>
      <c r="AD1580" s="91"/>
      <c r="AE1580" s="91"/>
      <c r="AF1580" s="91"/>
      <c r="AG1580" s="91"/>
      <c r="AH1580" s="91"/>
      <c r="AI1580" s="91"/>
      <c r="AJ1580" s="91"/>
      <c r="AK1580" s="91"/>
      <c r="AL1580" s="91"/>
      <c r="AM1580" s="91"/>
      <c r="AN1580" s="91"/>
      <c r="AO1580" s="91"/>
      <c r="AP1580" s="91"/>
      <c r="AQ1580" s="91"/>
      <c r="AR1580" s="91"/>
      <c r="AS1580" s="91"/>
      <c r="AT1580" s="91"/>
      <c r="AU1580" s="91"/>
      <c r="AV1580" s="91"/>
      <c r="AW1580" s="67"/>
      <c r="AX1580" s="160"/>
      <c r="AY1580" s="160"/>
      <c r="AZ1580" s="160"/>
      <c r="BA1580" s="160"/>
      <c r="BB1580" s="160"/>
      <c r="BC1580" s="160"/>
      <c r="BD1580" s="160"/>
      <c r="BE1580" s="160"/>
      <c r="BF1580" s="160"/>
      <c r="BG1580" s="160"/>
      <c r="BH1580" s="160"/>
      <c r="BI1580" s="106"/>
      <c r="BJ1580" s="106"/>
      <c r="BK1580" s="106"/>
      <c r="BL1580" s="106"/>
      <c r="BM1580" s="106"/>
      <c r="BN1580" s="106"/>
      <c r="BO1580" s="106"/>
    </row>
    <row r="1581" spans="25:67" hidden="1" x14ac:dyDescent="0.25">
      <c r="Y1581" s="91"/>
      <c r="Z1581" s="71" t="s">
        <v>125</v>
      </c>
      <c r="AA1581" s="67"/>
      <c r="AB1581" s="447">
        <v>0.46</v>
      </c>
      <c r="AC1581" s="91"/>
      <c r="AD1581" s="91"/>
      <c r="AE1581" s="91"/>
      <c r="AF1581" s="91"/>
      <c r="AG1581" s="91"/>
      <c r="AH1581" s="91"/>
      <c r="AI1581" s="91"/>
      <c r="AJ1581" s="91"/>
      <c r="AK1581" s="91"/>
      <c r="AL1581" s="91"/>
      <c r="AM1581" s="91"/>
      <c r="AN1581" s="91"/>
      <c r="AO1581" s="91"/>
      <c r="AP1581" s="91"/>
      <c r="AQ1581" s="91"/>
      <c r="AR1581" s="91"/>
      <c r="AS1581" s="91"/>
      <c r="AT1581" s="91"/>
      <c r="AU1581" s="91"/>
      <c r="AV1581" s="91"/>
      <c r="AW1581" s="67"/>
      <c r="AX1581" s="160"/>
      <c r="AY1581" s="160"/>
      <c r="AZ1581" s="160"/>
      <c r="BA1581" s="160"/>
      <c r="BB1581" s="160"/>
      <c r="BC1581" s="160"/>
      <c r="BD1581" s="160"/>
      <c r="BE1581" s="160"/>
      <c r="BF1581" s="160"/>
      <c r="BG1581" s="160"/>
      <c r="BH1581" s="160"/>
      <c r="BI1581" s="106"/>
      <c r="BJ1581" s="106"/>
      <c r="BK1581" s="106"/>
      <c r="BL1581" s="106"/>
      <c r="BM1581" s="106"/>
      <c r="BN1581" s="106"/>
      <c r="BO1581" s="106"/>
    </row>
    <row r="1582" spans="25:67" hidden="1" x14ac:dyDescent="0.25">
      <c r="Y1582" s="91"/>
      <c r="Z1582" s="71" t="s">
        <v>755</v>
      </c>
      <c r="AA1582" s="67"/>
      <c r="AB1582" s="447">
        <v>0.47</v>
      </c>
      <c r="AC1582" s="91"/>
      <c r="AD1582" s="91"/>
      <c r="AE1582" s="91"/>
      <c r="AF1582" s="91"/>
      <c r="AG1582" s="91"/>
      <c r="AH1582" s="91"/>
      <c r="AI1582" s="91"/>
      <c r="AJ1582" s="91"/>
      <c r="AK1582" s="91"/>
      <c r="AL1582" s="91"/>
      <c r="AM1582" s="91"/>
      <c r="AN1582" s="91"/>
      <c r="AO1582" s="91"/>
      <c r="AP1582" s="91"/>
      <c r="AQ1582" s="91"/>
      <c r="AR1582" s="91"/>
      <c r="AS1582" s="91"/>
      <c r="AT1582" s="91"/>
      <c r="AU1582" s="91"/>
      <c r="AV1582" s="91"/>
      <c r="AW1582" s="67"/>
      <c r="AX1582" s="160"/>
      <c r="AY1582" s="160"/>
      <c r="AZ1582" s="160"/>
      <c r="BA1582" s="160"/>
      <c r="BB1582" s="160"/>
      <c r="BC1582" s="160"/>
      <c r="BD1582" s="160"/>
      <c r="BE1582" s="160"/>
      <c r="BF1582" s="160"/>
      <c r="BG1582" s="160"/>
      <c r="BH1582" s="160"/>
      <c r="BI1582" s="106"/>
      <c r="BJ1582" s="106"/>
      <c r="BK1582" s="106"/>
      <c r="BL1582" s="106"/>
      <c r="BM1582" s="106"/>
      <c r="BN1582" s="106"/>
      <c r="BO1582" s="106"/>
    </row>
    <row r="1583" spans="25:67" hidden="1" x14ac:dyDescent="0.25">
      <c r="Y1583" s="91"/>
      <c r="Z1583" s="91"/>
      <c r="AA1583" s="67"/>
      <c r="AB1583" s="447">
        <v>0.48</v>
      </c>
      <c r="AC1583" s="91"/>
      <c r="AD1583" s="91"/>
      <c r="AE1583" s="91"/>
      <c r="AF1583" s="91"/>
      <c r="AG1583" s="91"/>
      <c r="AH1583" s="91"/>
      <c r="AI1583" s="91"/>
      <c r="AJ1583" s="91"/>
      <c r="AK1583" s="91"/>
      <c r="AL1583" s="91"/>
      <c r="AM1583" s="91"/>
      <c r="AN1583" s="91"/>
      <c r="AO1583" s="91"/>
      <c r="AP1583" s="91"/>
      <c r="AQ1583" s="91"/>
      <c r="AR1583" s="91"/>
      <c r="AS1583" s="91"/>
      <c r="AT1583" s="91"/>
      <c r="AU1583" s="91"/>
      <c r="AV1583" s="91"/>
      <c r="AW1583" s="67"/>
      <c r="AX1583" s="160"/>
      <c r="AY1583" s="160"/>
      <c r="AZ1583" s="160"/>
      <c r="BA1583" s="160"/>
      <c r="BB1583" s="160"/>
      <c r="BC1583" s="160"/>
      <c r="BD1583" s="160"/>
      <c r="BE1583" s="160"/>
      <c r="BF1583" s="160"/>
      <c r="BG1583" s="160"/>
      <c r="BH1583" s="160"/>
      <c r="BI1583" s="106"/>
      <c r="BJ1583" s="106"/>
      <c r="BK1583" s="106"/>
      <c r="BL1583" s="106"/>
      <c r="BM1583" s="106"/>
      <c r="BN1583" s="106"/>
      <c r="BO1583" s="106"/>
    </row>
    <row r="1584" spans="25:67" hidden="1" x14ac:dyDescent="0.25">
      <c r="Y1584" s="91"/>
      <c r="Z1584" s="71" t="str">
        <f>IF(ADBT0=ADBT3,AIS_Yes,"Not applicable for building type")</f>
        <v>Not applicable for building type</v>
      </c>
      <c r="AA1584" s="67"/>
      <c r="AB1584" s="447">
        <v>0.49</v>
      </c>
      <c r="AC1584" s="91"/>
      <c r="AD1584" s="91"/>
      <c r="AE1584" s="91"/>
      <c r="AF1584" s="91"/>
      <c r="AG1584" s="91"/>
      <c r="AH1584" s="91"/>
      <c r="AI1584" s="91"/>
      <c r="AJ1584" s="91"/>
      <c r="AK1584" s="91"/>
      <c r="AL1584" s="91"/>
      <c r="AM1584" s="91"/>
      <c r="AN1584" s="91"/>
      <c r="AO1584" s="91"/>
      <c r="AP1584" s="91"/>
      <c r="AQ1584" s="91"/>
      <c r="AR1584" s="91"/>
      <c r="AS1584" s="91"/>
      <c r="AT1584" s="91"/>
      <c r="AU1584" s="91"/>
      <c r="AV1584" s="91"/>
      <c r="AW1584" s="67"/>
      <c r="AX1584" s="160"/>
      <c r="AY1584" s="160"/>
      <c r="AZ1584" s="160"/>
      <c r="BA1584" s="160"/>
      <c r="BB1584" s="160"/>
      <c r="BC1584" s="160"/>
      <c r="BD1584" s="160"/>
      <c r="BE1584" s="160"/>
      <c r="BF1584" s="160"/>
      <c r="BG1584" s="160"/>
      <c r="BH1584" s="160"/>
      <c r="BI1584" s="106"/>
      <c r="BJ1584" s="106"/>
      <c r="BK1584" s="106"/>
      <c r="BL1584" s="106"/>
      <c r="BM1584" s="106"/>
      <c r="BN1584" s="106"/>
      <c r="BO1584" s="106"/>
    </row>
    <row r="1585" spans="25:67" hidden="1" x14ac:dyDescent="0.25">
      <c r="Y1585" s="91"/>
      <c r="Z1585" s="71" t="str">
        <f>IF(ADBT0=ADBT3,AIS_No,"")</f>
        <v/>
      </c>
      <c r="AA1585" s="91"/>
      <c r="AB1585" s="447">
        <v>0.5</v>
      </c>
      <c r="AC1585" s="91"/>
      <c r="AD1585" s="91"/>
      <c r="AE1585" s="91"/>
      <c r="AF1585" s="91"/>
      <c r="AG1585" s="91"/>
      <c r="AH1585" s="91"/>
      <c r="AI1585" s="91"/>
      <c r="AJ1585" s="91"/>
      <c r="AK1585" s="91"/>
      <c r="AL1585" s="91"/>
      <c r="AM1585" s="91"/>
      <c r="AN1585" s="91"/>
      <c r="AO1585" s="91"/>
      <c r="AP1585" s="91"/>
      <c r="AQ1585" s="91"/>
      <c r="AR1585" s="91"/>
      <c r="AS1585" s="91"/>
      <c r="AT1585" s="91"/>
      <c r="AU1585" s="91"/>
      <c r="AV1585" s="91"/>
      <c r="AW1585" s="67"/>
      <c r="AX1585" s="160"/>
      <c r="AY1585" s="160"/>
      <c r="AZ1585" s="160"/>
      <c r="BA1585" s="160"/>
      <c r="BB1585" s="160"/>
      <c r="BC1585" s="160"/>
      <c r="BD1585" s="160"/>
      <c r="BE1585" s="160"/>
      <c r="BF1585" s="160"/>
      <c r="BG1585" s="160"/>
      <c r="BH1585" s="160"/>
      <c r="BI1585" s="106"/>
      <c r="BJ1585" s="106"/>
      <c r="BK1585" s="106"/>
      <c r="BL1585" s="106"/>
      <c r="BM1585" s="106"/>
      <c r="BN1585" s="106"/>
      <c r="BO1585" s="106"/>
    </row>
    <row r="1586" spans="25:67" hidden="1" x14ac:dyDescent="0.25">
      <c r="Y1586" s="91"/>
      <c r="Z1586" s="91"/>
      <c r="AA1586" s="91"/>
      <c r="AB1586" s="447">
        <v>0.51</v>
      </c>
      <c r="AC1586" s="91"/>
      <c r="AD1586" s="91"/>
      <c r="AE1586" s="91"/>
      <c r="AF1586" s="91"/>
      <c r="AG1586" s="91"/>
      <c r="AH1586" s="91"/>
      <c r="AI1586" s="91"/>
      <c r="AJ1586" s="91"/>
      <c r="AK1586" s="91"/>
      <c r="AL1586" s="91"/>
      <c r="AM1586" s="91"/>
      <c r="AN1586" s="91"/>
      <c r="AO1586" s="91"/>
      <c r="AP1586" s="91"/>
      <c r="AQ1586" s="91"/>
      <c r="AR1586" s="91"/>
      <c r="AS1586" s="91"/>
      <c r="AT1586" s="91"/>
      <c r="AU1586" s="91"/>
      <c r="AV1586" s="91"/>
      <c r="AW1586" s="67"/>
      <c r="AX1586" s="160"/>
      <c r="AY1586" s="160"/>
      <c r="AZ1586" s="160"/>
      <c r="BA1586" s="160"/>
      <c r="BB1586" s="160"/>
      <c r="BC1586" s="160"/>
      <c r="BD1586" s="160"/>
      <c r="BE1586" s="160"/>
      <c r="BF1586" s="160"/>
      <c r="BG1586" s="160"/>
      <c r="BH1586" s="160"/>
      <c r="BI1586" s="106"/>
      <c r="BJ1586" s="106"/>
      <c r="BK1586" s="106"/>
      <c r="BL1586" s="106"/>
      <c r="BM1586" s="106"/>
      <c r="BN1586" s="106"/>
      <c r="BO1586" s="106"/>
    </row>
    <row r="1587" spans="25:67" hidden="1" x14ac:dyDescent="0.25">
      <c r="Y1587" s="91"/>
      <c r="Z1587" s="91"/>
      <c r="AA1587" s="91"/>
      <c r="AB1587" s="447">
        <v>0.52</v>
      </c>
      <c r="AC1587" s="91"/>
      <c r="AD1587" s="91"/>
      <c r="AE1587" s="91"/>
      <c r="AF1587" s="91"/>
      <c r="AG1587" s="91"/>
      <c r="AH1587" s="91"/>
      <c r="AI1587" s="91"/>
      <c r="AJ1587" s="91"/>
      <c r="AK1587" s="91"/>
      <c r="AL1587" s="91"/>
      <c r="AM1587" s="91"/>
      <c r="AN1587" s="91"/>
      <c r="AO1587" s="91"/>
      <c r="AP1587" s="91"/>
      <c r="AQ1587" s="91"/>
      <c r="AR1587" s="91"/>
      <c r="AS1587" s="91"/>
      <c r="AT1587" s="91"/>
      <c r="AU1587" s="91"/>
      <c r="AV1587" s="91"/>
      <c r="AW1587" s="67"/>
      <c r="AX1587" s="160"/>
      <c r="AY1587" s="160"/>
      <c r="AZ1587" s="160"/>
      <c r="BA1587" s="160"/>
      <c r="BB1587" s="160"/>
      <c r="BC1587" s="160"/>
      <c r="BD1587" s="160"/>
      <c r="BE1587" s="160"/>
      <c r="BF1587" s="160"/>
      <c r="BG1587" s="160"/>
      <c r="BH1587" s="160"/>
      <c r="BI1587" s="106"/>
      <c r="BJ1587" s="106"/>
      <c r="BK1587" s="106"/>
      <c r="BL1587" s="106"/>
      <c r="BM1587" s="106"/>
      <c r="BN1587" s="106"/>
      <c r="BO1587" s="106"/>
    </row>
    <row r="1588" spans="25:67" hidden="1" x14ac:dyDescent="0.25">
      <c r="Y1588" s="91"/>
      <c r="Z1588" s="91"/>
      <c r="AA1588" s="91"/>
      <c r="AB1588" s="447">
        <v>0.53</v>
      </c>
      <c r="AC1588" s="91"/>
      <c r="AD1588" s="91"/>
      <c r="AE1588" s="91"/>
      <c r="AF1588" s="91"/>
      <c r="AG1588" s="91"/>
      <c r="AH1588" s="91"/>
      <c r="AI1588" s="91"/>
      <c r="AJ1588" s="91"/>
      <c r="AK1588" s="91"/>
      <c r="AL1588" s="91"/>
      <c r="AM1588" s="91"/>
      <c r="AN1588" s="91"/>
      <c r="AO1588" s="91"/>
      <c r="AP1588" s="91"/>
      <c r="AQ1588" s="91"/>
      <c r="AR1588" s="91"/>
      <c r="AS1588" s="91"/>
      <c r="AT1588" s="91"/>
      <c r="AU1588" s="91"/>
      <c r="AV1588" s="91"/>
      <c r="AW1588" s="67"/>
      <c r="AX1588" s="160"/>
      <c r="AY1588" s="160"/>
      <c r="AZ1588" s="160"/>
      <c r="BA1588" s="160"/>
      <c r="BB1588" s="160"/>
      <c r="BC1588" s="160"/>
      <c r="BD1588" s="160"/>
      <c r="BE1588" s="160"/>
      <c r="BF1588" s="160"/>
      <c r="BG1588" s="160"/>
      <c r="BH1588" s="160"/>
      <c r="BI1588" s="106"/>
      <c r="BJ1588" s="106"/>
      <c r="BK1588" s="106"/>
      <c r="BL1588" s="106"/>
      <c r="BM1588" s="106"/>
      <c r="BN1588" s="106"/>
      <c r="BO1588" s="106"/>
    </row>
    <row r="1589" spans="25:67" hidden="1" x14ac:dyDescent="0.25">
      <c r="Y1589" s="91"/>
      <c r="Z1589" s="91"/>
      <c r="AA1589" s="91"/>
      <c r="AB1589" s="447">
        <v>0.54</v>
      </c>
      <c r="AC1589" s="91"/>
      <c r="AD1589" s="91"/>
      <c r="AE1589" s="91"/>
      <c r="AF1589" s="91"/>
      <c r="AG1589" s="91"/>
      <c r="AH1589" s="91"/>
      <c r="AI1589" s="91"/>
      <c r="AJ1589" s="91"/>
      <c r="AK1589" s="91"/>
      <c r="AL1589" s="91"/>
      <c r="AM1589" s="91"/>
      <c r="AN1589" s="91"/>
      <c r="AO1589" s="91"/>
      <c r="AP1589" s="91"/>
      <c r="AQ1589" s="91"/>
      <c r="AR1589" s="91"/>
      <c r="AS1589" s="91"/>
      <c r="AT1589" s="91"/>
      <c r="AU1589" s="91"/>
      <c r="AV1589" s="91"/>
      <c r="AW1589" s="67"/>
      <c r="AX1589" s="160"/>
      <c r="AY1589" s="160"/>
      <c r="AZ1589" s="160"/>
      <c r="BA1589" s="160"/>
      <c r="BB1589" s="160"/>
      <c r="BC1589" s="160"/>
      <c r="BD1589" s="160"/>
      <c r="BE1589" s="160"/>
      <c r="BF1589" s="160"/>
      <c r="BG1589" s="160"/>
      <c r="BH1589" s="160"/>
      <c r="BI1589" s="106"/>
      <c r="BJ1589" s="106"/>
      <c r="BK1589" s="106"/>
      <c r="BL1589" s="106"/>
      <c r="BM1589" s="106"/>
      <c r="BN1589" s="106"/>
      <c r="BO1589" s="106"/>
    </row>
    <row r="1590" spans="25:67" hidden="1" x14ac:dyDescent="0.25">
      <c r="Y1590" s="91"/>
      <c r="Z1590" s="91"/>
      <c r="AA1590" s="91"/>
      <c r="AB1590" s="447">
        <v>0.55000000000000004</v>
      </c>
      <c r="AC1590" s="91"/>
      <c r="AD1590" s="91"/>
      <c r="AE1590" s="91"/>
      <c r="AF1590" s="91"/>
      <c r="AG1590" s="91"/>
      <c r="AH1590" s="91"/>
      <c r="AI1590" s="91"/>
      <c r="AJ1590" s="91"/>
      <c r="AK1590" s="91"/>
      <c r="AL1590" s="91"/>
      <c r="AM1590" s="91"/>
      <c r="AN1590" s="91"/>
      <c r="AO1590" s="91"/>
      <c r="AP1590" s="91"/>
      <c r="AQ1590" s="91"/>
      <c r="AR1590" s="91"/>
      <c r="AS1590" s="91"/>
      <c r="AT1590" s="91"/>
      <c r="AU1590" s="91"/>
      <c r="AV1590" s="91"/>
      <c r="AW1590" s="67"/>
      <c r="AX1590" s="160"/>
      <c r="AY1590" s="160"/>
      <c r="AZ1590" s="160"/>
      <c r="BA1590" s="160"/>
      <c r="BB1590" s="160"/>
      <c r="BC1590" s="160"/>
      <c r="BD1590" s="160"/>
      <c r="BE1590" s="160"/>
      <c r="BF1590" s="160"/>
      <c r="BG1590" s="160"/>
      <c r="BH1590" s="160"/>
      <c r="BI1590" s="106"/>
      <c r="BJ1590" s="106"/>
      <c r="BK1590" s="106"/>
      <c r="BL1590" s="106"/>
      <c r="BM1590" s="106"/>
      <c r="BN1590" s="106"/>
      <c r="BO1590" s="106"/>
    </row>
    <row r="1591" spans="25:67" hidden="1" x14ac:dyDescent="0.25">
      <c r="Y1591" s="91"/>
      <c r="Z1591" s="91"/>
      <c r="AA1591" s="91"/>
      <c r="AB1591" s="447">
        <v>0.56000000000000005</v>
      </c>
      <c r="AC1591" s="91"/>
      <c r="AD1591" s="91"/>
      <c r="AE1591" s="91"/>
      <c r="AF1591" s="91"/>
      <c r="AG1591" s="91"/>
      <c r="AH1591" s="91"/>
      <c r="AI1591" s="91"/>
      <c r="AJ1591" s="91"/>
      <c r="AK1591" s="91"/>
      <c r="AL1591" s="91"/>
      <c r="AM1591" s="91"/>
      <c r="AN1591" s="91"/>
      <c r="AO1591" s="91"/>
      <c r="AP1591" s="91"/>
      <c r="AQ1591" s="91"/>
      <c r="AR1591" s="91"/>
      <c r="AS1591" s="91"/>
      <c r="AT1591" s="91"/>
      <c r="AU1591" s="91"/>
      <c r="AV1591" s="91"/>
      <c r="AW1591" s="67"/>
      <c r="AX1591" s="160"/>
      <c r="AY1591" s="160"/>
      <c r="AZ1591" s="160"/>
      <c r="BA1591" s="160"/>
      <c r="BB1591" s="160"/>
      <c r="BC1591" s="160"/>
      <c r="BD1591" s="160"/>
      <c r="BE1591" s="160"/>
      <c r="BF1591" s="160"/>
      <c r="BG1591" s="160"/>
      <c r="BH1591" s="160"/>
      <c r="BI1591" s="106"/>
      <c r="BJ1591" s="106"/>
      <c r="BK1591" s="106"/>
      <c r="BL1591" s="106"/>
      <c r="BM1591" s="106"/>
      <c r="BN1591" s="106"/>
      <c r="BO1591" s="106"/>
    </row>
    <row r="1592" spans="25:67" hidden="1" x14ac:dyDescent="0.25">
      <c r="Y1592" s="91"/>
      <c r="Z1592" s="91"/>
      <c r="AA1592" s="91"/>
      <c r="AB1592" s="447">
        <v>0.56999999999999995</v>
      </c>
      <c r="AC1592" s="91"/>
      <c r="AD1592" s="91"/>
      <c r="AE1592" s="91"/>
      <c r="AF1592" s="91"/>
      <c r="AG1592" s="91"/>
      <c r="AH1592" s="91"/>
      <c r="AI1592" s="91"/>
      <c r="AJ1592" s="91"/>
      <c r="AK1592" s="91"/>
      <c r="AL1592" s="91"/>
      <c r="AM1592" s="91"/>
      <c r="AN1592" s="91"/>
      <c r="AO1592" s="91"/>
      <c r="AP1592" s="91"/>
      <c r="AQ1592" s="91"/>
      <c r="AR1592" s="91"/>
      <c r="AS1592" s="91"/>
      <c r="AT1592" s="91"/>
      <c r="AU1592" s="91"/>
      <c r="AV1592" s="91"/>
      <c r="AW1592" s="67"/>
      <c r="AX1592" s="160"/>
      <c r="AY1592" s="160"/>
      <c r="AZ1592" s="160"/>
      <c r="BA1592" s="160"/>
      <c r="BB1592" s="160"/>
      <c r="BC1592" s="160"/>
      <c r="BD1592" s="160"/>
      <c r="BE1592" s="160"/>
      <c r="BF1592" s="160"/>
      <c r="BG1592" s="160"/>
      <c r="BH1592" s="160"/>
      <c r="BI1592" s="106"/>
      <c r="BJ1592" s="106"/>
      <c r="BK1592" s="106"/>
      <c r="BL1592" s="106"/>
      <c r="BM1592" s="106"/>
      <c r="BN1592" s="106"/>
      <c r="BO1592" s="106"/>
    </row>
    <row r="1593" spans="25:67" hidden="1" x14ac:dyDescent="0.25">
      <c r="Y1593" s="91"/>
      <c r="Z1593" s="91"/>
      <c r="AA1593" s="91"/>
      <c r="AB1593" s="447">
        <v>0.57999999999999996</v>
      </c>
      <c r="AC1593" s="91"/>
      <c r="AD1593" s="91"/>
      <c r="AE1593" s="91"/>
      <c r="AF1593" s="91"/>
      <c r="AG1593" s="91"/>
      <c r="AH1593" s="91"/>
      <c r="AI1593" s="91"/>
      <c r="AJ1593" s="91"/>
      <c r="AK1593" s="91"/>
      <c r="AL1593" s="91"/>
      <c r="AM1593" s="91"/>
      <c r="AN1593" s="91"/>
      <c r="AO1593" s="91"/>
      <c r="AP1593" s="91"/>
      <c r="AQ1593" s="91"/>
      <c r="AR1593" s="91"/>
      <c r="AS1593" s="91"/>
      <c r="AT1593" s="91"/>
      <c r="AU1593" s="91"/>
      <c r="AV1593" s="91"/>
      <c r="AW1593" s="67"/>
      <c r="AX1593" s="160"/>
      <c r="AY1593" s="160"/>
      <c r="AZ1593" s="160"/>
      <c r="BA1593" s="160"/>
      <c r="BB1593" s="160"/>
      <c r="BC1593" s="160"/>
      <c r="BD1593" s="160"/>
      <c r="BE1593" s="160"/>
      <c r="BF1593" s="160"/>
      <c r="BG1593" s="160"/>
      <c r="BH1593" s="160"/>
      <c r="BI1593" s="106"/>
      <c r="BJ1593" s="106"/>
      <c r="BK1593" s="106"/>
      <c r="BL1593" s="106"/>
      <c r="BM1593" s="106"/>
      <c r="BN1593" s="106"/>
      <c r="BO1593" s="106"/>
    </row>
    <row r="1594" spans="25:67" hidden="1" x14ac:dyDescent="0.25">
      <c r="Y1594" s="91"/>
      <c r="Z1594" s="91"/>
      <c r="AA1594" s="91"/>
      <c r="AB1594" s="447">
        <v>0.59</v>
      </c>
      <c r="AC1594" s="91"/>
      <c r="AD1594" s="91"/>
      <c r="AE1594" s="91"/>
      <c r="AF1594" s="91"/>
      <c r="AG1594" s="91"/>
      <c r="AH1594" s="91"/>
      <c r="AI1594" s="91"/>
      <c r="AJ1594" s="91"/>
      <c r="AK1594" s="91"/>
      <c r="AL1594" s="91"/>
      <c r="AM1594" s="91"/>
      <c r="AN1594" s="91"/>
      <c r="AO1594" s="91"/>
      <c r="AP1594" s="91"/>
      <c r="AQ1594" s="91"/>
      <c r="AR1594" s="91"/>
      <c r="AS1594" s="91"/>
      <c r="AT1594" s="91"/>
      <c r="AU1594" s="91"/>
      <c r="AV1594" s="91"/>
      <c r="AW1594" s="67"/>
      <c r="AX1594" s="160"/>
      <c r="AY1594" s="160"/>
      <c r="AZ1594" s="160"/>
      <c r="BA1594" s="160"/>
      <c r="BB1594" s="160"/>
      <c r="BC1594" s="160"/>
      <c r="BD1594" s="160"/>
      <c r="BE1594" s="160"/>
      <c r="BF1594" s="160"/>
      <c r="BG1594" s="160"/>
      <c r="BH1594" s="160"/>
      <c r="BI1594" s="106"/>
      <c r="BJ1594" s="106"/>
      <c r="BK1594" s="106"/>
      <c r="BL1594" s="106"/>
      <c r="BM1594" s="106"/>
      <c r="BN1594" s="106"/>
      <c r="BO1594" s="106"/>
    </row>
    <row r="1595" spans="25:67" hidden="1" x14ac:dyDescent="0.25">
      <c r="Y1595" s="91"/>
      <c r="Z1595" s="91"/>
      <c r="AA1595" s="91"/>
      <c r="AB1595" s="447">
        <v>0.6</v>
      </c>
      <c r="AC1595" s="91"/>
      <c r="AD1595" s="91"/>
      <c r="AE1595" s="91"/>
      <c r="AF1595" s="91"/>
      <c r="AG1595" s="91"/>
      <c r="AH1595" s="91"/>
      <c r="AI1595" s="91"/>
      <c r="AJ1595" s="91"/>
      <c r="AK1595" s="91"/>
      <c r="AL1595" s="91"/>
      <c r="AM1595" s="91"/>
      <c r="AN1595" s="91"/>
      <c r="AO1595" s="91"/>
      <c r="AP1595" s="91"/>
      <c r="AQ1595" s="91"/>
      <c r="AR1595" s="91"/>
      <c r="AS1595" s="91"/>
      <c r="AT1595" s="91"/>
      <c r="AU1595" s="91"/>
      <c r="AV1595" s="91"/>
      <c r="AW1595" s="67"/>
      <c r="AX1595" s="160"/>
      <c r="AY1595" s="160"/>
      <c r="AZ1595" s="160"/>
      <c r="BA1595" s="160"/>
      <c r="BB1595" s="160"/>
      <c r="BC1595" s="160"/>
      <c r="BD1595" s="160"/>
      <c r="BE1595" s="160"/>
      <c r="BF1595" s="160"/>
      <c r="BG1595" s="160"/>
      <c r="BH1595" s="160"/>
      <c r="BI1595" s="106"/>
      <c r="BJ1595" s="106"/>
      <c r="BK1595" s="106"/>
      <c r="BL1595" s="106"/>
      <c r="BM1595" s="106"/>
      <c r="BN1595" s="106"/>
      <c r="BO1595" s="106"/>
    </row>
    <row r="1596" spans="25:67" hidden="1" x14ac:dyDescent="0.25">
      <c r="Y1596" s="91"/>
      <c r="Z1596" s="91"/>
      <c r="AA1596" s="91"/>
      <c r="AB1596" s="447">
        <v>0.61</v>
      </c>
      <c r="AC1596" s="91"/>
      <c r="AD1596" s="91"/>
      <c r="AE1596" s="91"/>
      <c r="AF1596" s="91"/>
      <c r="AG1596" s="91"/>
      <c r="AH1596" s="91"/>
      <c r="AI1596" s="91"/>
      <c r="AJ1596" s="91"/>
      <c r="AK1596" s="91"/>
      <c r="AL1596" s="91"/>
      <c r="AM1596" s="91"/>
      <c r="AN1596" s="91"/>
      <c r="AO1596" s="91"/>
      <c r="AP1596" s="91"/>
      <c r="AQ1596" s="91"/>
      <c r="AR1596" s="91"/>
      <c r="AS1596" s="91"/>
      <c r="AT1596" s="91"/>
      <c r="AU1596" s="91"/>
      <c r="AV1596" s="91"/>
      <c r="AW1596" s="67"/>
      <c r="AX1596" s="160"/>
      <c r="AY1596" s="160"/>
      <c r="AZ1596" s="160"/>
      <c r="BA1596" s="160"/>
      <c r="BB1596" s="160"/>
      <c r="BC1596" s="160"/>
      <c r="BD1596" s="160"/>
      <c r="BE1596" s="160"/>
      <c r="BF1596" s="160"/>
      <c r="BG1596" s="160"/>
      <c r="BH1596" s="160"/>
      <c r="BI1596" s="106"/>
      <c r="BJ1596" s="106"/>
      <c r="BK1596" s="106"/>
      <c r="BL1596" s="106"/>
      <c r="BM1596" s="106"/>
      <c r="BN1596" s="106"/>
      <c r="BO1596" s="106"/>
    </row>
    <row r="1597" spans="25:67" hidden="1" x14ac:dyDescent="0.25">
      <c r="Y1597" s="91"/>
      <c r="Z1597" s="91"/>
      <c r="AA1597" s="91"/>
      <c r="AB1597" s="447">
        <v>0.62</v>
      </c>
      <c r="AC1597" s="91"/>
      <c r="AD1597" s="91"/>
      <c r="AE1597" s="91"/>
      <c r="AF1597" s="91"/>
      <c r="AG1597" s="91"/>
      <c r="AH1597" s="91"/>
      <c r="AI1597" s="91"/>
      <c r="AJ1597" s="91"/>
      <c r="AK1597" s="91"/>
      <c r="AL1597" s="91"/>
      <c r="AM1597" s="91"/>
      <c r="AN1597" s="91"/>
      <c r="AO1597" s="91"/>
      <c r="AP1597" s="91"/>
      <c r="AQ1597" s="91"/>
      <c r="AR1597" s="91"/>
      <c r="AS1597" s="91"/>
      <c r="AT1597" s="91"/>
      <c r="AU1597" s="91"/>
      <c r="AV1597" s="91"/>
      <c r="AW1597" s="67"/>
      <c r="AX1597" s="160"/>
      <c r="AY1597" s="160"/>
      <c r="AZ1597" s="160"/>
      <c r="BA1597" s="160"/>
      <c r="BB1597" s="160"/>
      <c r="BC1597" s="160"/>
      <c r="BD1597" s="160"/>
      <c r="BE1597" s="160"/>
      <c r="BF1597" s="160"/>
      <c r="BG1597" s="160"/>
      <c r="BH1597" s="160"/>
      <c r="BI1597" s="106"/>
      <c r="BJ1597" s="106"/>
      <c r="BK1597" s="106"/>
      <c r="BL1597" s="106"/>
      <c r="BM1597" s="106"/>
      <c r="BN1597" s="106"/>
      <c r="BO1597" s="106"/>
    </row>
    <row r="1598" spans="25:67" hidden="1" x14ac:dyDescent="0.25">
      <c r="Y1598" s="91"/>
      <c r="Z1598" s="91"/>
      <c r="AA1598" s="91"/>
      <c r="AB1598" s="447">
        <v>0.63</v>
      </c>
      <c r="AC1598" s="91"/>
      <c r="AD1598" s="91"/>
      <c r="AE1598" s="91"/>
      <c r="AF1598" s="91"/>
      <c r="AG1598" s="91"/>
      <c r="AH1598" s="91"/>
      <c r="AI1598" s="91"/>
      <c r="AJ1598" s="91"/>
      <c r="AK1598" s="91"/>
      <c r="AL1598" s="91"/>
      <c r="AM1598" s="91"/>
      <c r="AN1598" s="91"/>
      <c r="AO1598" s="91"/>
      <c r="AP1598" s="91"/>
      <c r="AQ1598" s="91"/>
      <c r="AR1598" s="91"/>
      <c r="AS1598" s="91"/>
      <c r="AT1598" s="91"/>
      <c r="AU1598" s="91"/>
      <c r="AV1598" s="91"/>
      <c r="AW1598" s="67"/>
      <c r="AX1598" s="160"/>
      <c r="AY1598" s="160"/>
      <c r="AZ1598" s="160"/>
      <c r="BA1598" s="160"/>
      <c r="BB1598" s="160"/>
      <c r="BC1598" s="160"/>
      <c r="BD1598" s="160"/>
      <c r="BE1598" s="160"/>
      <c r="BF1598" s="160"/>
      <c r="BG1598" s="160"/>
      <c r="BH1598" s="160"/>
      <c r="BI1598" s="106"/>
      <c r="BJ1598" s="106"/>
      <c r="BK1598" s="106"/>
      <c r="BL1598" s="106"/>
      <c r="BM1598" s="106"/>
      <c r="BN1598" s="106"/>
      <c r="BO1598" s="106"/>
    </row>
    <row r="1599" spans="25:67" hidden="1" x14ac:dyDescent="0.25">
      <c r="Y1599" s="91"/>
      <c r="Z1599" s="91"/>
      <c r="AA1599" s="91"/>
      <c r="AB1599" s="447">
        <v>0.64</v>
      </c>
      <c r="AC1599" s="91"/>
      <c r="AD1599" s="91"/>
      <c r="AE1599" s="91"/>
      <c r="AF1599" s="91"/>
      <c r="AG1599" s="91"/>
      <c r="AH1599" s="91"/>
      <c r="AI1599" s="91"/>
      <c r="AJ1599" s="91"/>
      <c r="AK1599" s="91"/>
      <c r="AL1599" s="91"/>
      <c r="AM1599" s="91"/>
      <c r="AN1599" s="91"/>
      <c r="AO1599" s="91"/>
      <c r="AP1599" s="91"/>
      <c r="AQ1599" s="91"/>
      <c r="AR1599" s="91"/>
      <c r="AS1599" s="91"/>
      <c r="AT1599" s="91"/>
      <c r="AU1599" s="91"/>
      <c r="AV1599" s="91"/>
      <c r="AW1599" s="67"/>
      <c r="AX1599" s="160"/>
      <c r="AY1599" s="160"/>
      <c r="AZ1599" s="160"/>
      <c r="BA1599" s="160"/>
      <c r="BB1599" s="160"/>
      <c r="BC1599" s="160"/>
      <c r="BD1599" s="160"/>
      <c r="BE1599" s="160"/>
      <c r="BF1599" s="160"/>
      <c r="BG1599" s="160"/>
      <c r="BH1599" s="160"/>
      <c r="BI1599" s="106"/>
      <c r="BJ1599" s="106"/>
      <c r="BK1599" s="106"/>
      <c r="BL1599" s="106"/>
      <c r="BM1599" s="106"/>
      <c r="BN1599" s="106"/>
      <c r="BO1599" s="106"/>
    </row>
    <row r="1600" spans="25:67" hidden="1" x14ac:dyDescent="0.25">
      <c r="Y1600" s="91"/>
      <c r="Z1600" s="91"/>
      <c r="AA1600" s="91"/>
      <c r="AB1600" s="447">
        <v>0.65</v>
      </c>
      <c r="AC1600" s="91"/>
      <c r="AD1600" s="91"/>
      <c r="AE1600" s="91"/>
      <c r="AF1600" s="91"/>
      <c r="AG1600" s="91"/>
      <c r="AH1600" s="91"/>
      <c r="AI1600" s="91"/>
      <c r="AJ1600" s="91"/>
      <c r="AK1600" s="91"/>
      <c r="AL1600" s="91"/>
      <c r="AM1600" s="91"/>
      <c r="AN1600" s="91"/>
      <c r="AO1600" s="91"/>
      <c r="AP1600" s="91"/>
      <c r="AQ1600" s="91"/>
      <c r="AR1600" s="91"/>
      <c r="AS1600" s="91"/>
      <c r="AT1600" s="91"/>
      <c r="AU1600" s="91"/>
      <c r="AV1600" s="91"/>
      <c r="AW1600" s="67"/>
      <c r="AX1600" s="160"/>
      <c r="AY1600" s="160"/>
      <c r="AZ1600" s="160"/>
      <c r="BA1600" s="160"/>
      <c r="BB1600" s="160"/>
      <c r="BC1600" s="160"/>
      <c r="BD1600" s="160"/>
      <c r="BE1600" s="160"/>
      <c r="BF1600" s="160"/>
      <c r="BG1600" s="160"/>
      <c r="BH1600" s="160"/>
      <c r="BI1600" s="106"/>
      <c r="BJ1600" s="106"/>
      <c r="BK1600" s="106"/>
      <c r="BL1600" s="106"/>
      <c r="BM1600" s="106"/>
      <c r="BN1600" s="106"/>
      <c r="BO1600" s="106"/>
    </row>
    <row r="1601" spans="25:67" hidden="1" x14ac:dyDescent="0.25">
      <c r="Y1601" s="91"/>
      <c r="Z1601" s="91"/>
      <c r="AA1601" s="91"/>
      <c r="AB1601" s="447">
        <v>0.66</v>
      </c>
      <c r="AC1601" s="91"/>
      <c r="AD1601" s="91"/>
      <c r="AE1601" s="91"/>
      <c r="AF1601" s="91"/>
      <c r="AG1601" s="91"/>
      <c r="AH1601" s="91"/>
      <c r="AI1601" s="91"/>
      <c r="AJ1601" s="91"/>
      <c r="AK1601" s="91"/>
      <c r="AL1601" s="91"/>
      <c r="AM1601" s="91"/>
      <c r="AN1601" s="91"/>
      <c r="AO1601" s="91"/>
      <c r="AP1601" s="91"/>
      <c r="AQ1601" s="91"/>
      <c r="AR1601" s="91"/>
      <c r="AS1601" s="91"/>
      <c r="AT1601" s="91"/>
      <c r="AU1601" s="91"/>
      <c r="AV1601" s="91"/>
      <c r="AW1601" s="67"/>
      <c r="AX1601" s="160"/>
      <c r="AY1601" s="160"/>
      <c r="AZ1601" s="160"/>
      <c r="BA1601" s="160"/>
      <c r="BB1601" s="160"/>
      <c r="BC1601" s="160"/>
      <c r="BD1601" s="160"/>
      <c r="BE1601" s="160"/>
      <c r="BF1601" s="160"/>
      <c r="BG1601" s="160"/>
      <c r="BH1601" s="160"/>
      <c r="BI1601" s="106"/>
      <c r="BJ1601" s="106"/>
      <c r="BK1601" s="106"/>
      <c r="BL1601" s="106"/>
      <c r="BM1601" s="106"/>
      <c r="BN1601" s="106"/>
      <c r="BO1601" s="106"/>
    </row>
    <row r="1602" spans="25:67" hidden="1" x14ac:dyDescent="0.25">
      <c r="Y1602" s="91"/>
      <c r="Z1602" s="91"/>
      <c r="AA1602" s="91"/>
      <c r="AB1602" s="447">
        <v>0.67</v>
      </c>
      <c r="AC1602" s="91"/>
      <c r="AD1602" s="91"/>
      <c r="AE1602" s="91"/>
      <c r="AF1602" s="91"/>
      <c r="AG1602" s="91"/>
      <c r="AH1602" s="91"/>
      <c r="AI1602" s="91"/>
      <c r="AJ1602" s="91"/>
      <c r="AK1602" s="91"/>
      <c r="AL1602" s="91"/>
      <c r="AM1602" s="91"/>
      <c r="AN1602" s="91"/>
      <c r="AO1602" s="91"/>
      <c r="AP1602" s="91"/>
      <c r="AQ1602" s="91"/>
      <c r="AR1602" s="91"/>
      <c r="AS1602" s="91"/>
      <c r="AT1602" s="91"/>
      <c r="AU1602" s="91"/>
      <c r="AV1602" s="91"/>
      <c r="AW1602" s="67"/>
      <c r="AX1602" s="160"/>
      <c r="AY1602" s="160"/>
      <c r="AZ1602" s="160"/>
      <c r="BA1602" s="160"/>
      <c r="BB1602" s="160"/>
      <c r="BC1602" s="160"/>
      <c r="BD1602" s="160"/>
      <c r="BE1602" s="160"/>
      <c r="BF1602" s="160"/>
      <c r="BG1602" s="160"/>
      <c r="BH1602" s="160"/>
      <c r="BI1602" s="106"/>
      <c r="BJ1602" s="106"/>
      <c r="BK1602" s="106"/>
      <c r="BL1602" s="106"/>
      <c r="BM1602" s="106"/>
      <c r="BN1602" s="106"/>
      <c r="BO1602" s="106"/>
    </row>
    <row r="1603" spans="25:67" hidden="1" x14ac:dyDescent="0.25">
      <c r="Y1603" s="91"/>
      <c r="Z1603" s="91"/>
      <c r="AA1603" s="91"/>
      <c r="AB1603" s="447">
        <v>0.68</v>
      </c>
      <c r="AC1603" s="91"/>
      <c r="AD1603" s="91"/>
      <c r="AE1603" s="91"/>
      <c r="AF1603" s="91"/>
      <c r="AG1603" s="91"/>
      <c r="AH1603" s="91"/>
      <c r="AI1603" s="91"/>
      <c r="AJ1603" s="91"/>
      <c r="AK1603" s="91"/>
      <c r="AL1603" s="91"/>
      <c r="AM1603" s="91"/>
      <c r="AN1603" s="91"/>
      <c r="AO1603" s="91"/>
      <c r="AP1603" s="91"/>
      <c r="AQ1603" s="91"/>
      <c r="AR1603" s="91"/>
      <c r="AS1603" s="91"/>
      <c r="AT1603" s="91"/>
      <c r="AU1603" s="91"/>
      <c r="AV1603" s="91"/>
      <c r="AW1603" s="67"/>
      <c r="AX1603" s="160"/>
      <c r="AY1603" s="160"/>
      <c r="AZ1603" s="160"/>
      <c r="BA1603" s="160"/>
      <c r="BB1603" s="160"/>
      <c r="BC1603" s="160"/>
      <c r="BD1603" s="160"/>
      <c r="BE1603" s="160"/>
      <c r="BF1603" s="160"/>
      <c r="BG1603" s="160"/>
      <c r="BH1603" s="160"/>
      <c r="BI1603" s="106"/>
      <c r="BJ1603" s="106"/>
      <c r="BK1603" s="106"/>
      <c r="BL1603" s="106"/>
      <c r="BM1603" s="106"/>
      <c r="BN1603" s="106"/>
      <c r="BO1603" s="106"/>
    </row>
    <row r="1604" spans="25:67" hidden="1" x14ac:dyDescent="0.25">
      <c r="Y1604" s="91"/>
      <c r="Z1604" s="91"/>
      <c r="AA1604" s="91"/>
      <c r="AB1604" s="447">
        <v>0.69</v>
      </c>
      <c r="AC1604" s="91"/>
      <c r="AD1604" s="91"/>
      <c r="AE1604" s="91"/>
      <c r="AF1604" s="91"/>
      <c r="AG1604" s="91"/>
      <c r="AH1604" s="91"/>
      <c r="AI1604" s="91"/>
      <c r="AJ1604" s="91"/>
      <c r="AK1604" s="91"/>
      <c r="AL1604" s="91"/>
      <c r="AM1604" s="91"/>
      <c r="AN1604" s="91"/>
      <c r="AO1604" s="91"/>
      <c r="AP1604" s="91"/>
      <c r="AQ1604" s="91"/>
      <c r="AR1604" s="91"/>
      <c r="AS1604" s="91"/>
      <c r="AT1604" s="91"/>
      <c r="AU1604" s="91"/>
      <c r="AV1604" s="91"/>
      <c r="AW1604" s="67"/>
      <c r="AX1604" s="160"/>
      <c r="AY1604" s="160"/>
      <c r="AZ1604" s="160"/>
      <c r="BA1604" s="160"/>
      <c r="BB1604" s="160"/>
      <c r="BC1604" s="160"/>
      <c r="BD1604" s="160"/>
      <c r="BE1604" s="160"/>
      <c r="BF1604" s="160"/>
      <c r="BG1604" s="160"/>
      <c r="BH1604" s="160"/>
      <c r="BI1604" s="106"/>
      <c r="BJ1604" s="106"/>
      <c r="BK1604" s="106"/>
      <c r="BL1604" s="106"/>
      <c r="BM1604" s="106"/>
      <c r="BN1604" s="106"/>
      <c r="BO1604" s="106"/>
    </row>
    <row r="1605" spans="25:67" hidden="1" x14ac:dyDescent="0.25">
      <c r="Y1605" s="91"/>
      <c r="Z1605" s="91"/>
      <c r="AA1605" s="91"/>
      <c r="AB1605" s="447">
        <v>0.7</v>
      </c>
      <c r="AC1605" s="91"/>
      <c r="AD1605" s="91"/>
      <c r="AE1605" s="91"/>
      <c r="AF1605" s="91"/>
      <c r="AG1605" s="91"/>
      <c r="AH1605" s="91"/>
      <c r="AI1605" s="91"/>
      <c r="AJ1605" s="91"/>
      <c r="AK1605" s="91"/>
      <c r="AL1605" s="91"/>
      <c r="AM1605" s="91"/>
      <c r="AN1605" s="91"/>
      <c r="AO1605" s="91"/>
      <c r="AP1605" s="91"/>
      <c r="AQ1605" s="91"/>
      <c r="AR1605" s="91"/>
      <c r="AS1605" s="91"/>
      <c r="AT1605" s="91"/>
      <c r="AU1605" s="91"/>
      <c r="AV1605" s="91"/>
      <c r="AW1605" s="67"/>
      <c r="AX1605" s="160"/>
      <c r="AY1605" s="160"/>
      <c r="AZ1605" s="160"/>
      <c r="BA1605" s="160"/>
      <c r="BB1605" s="160"/>
      <c r="BC1605" s="160"/>
      <c r="BD1605" s="160"/>
      <c r="BE1605" s="160"/>
      <c r="BF1605" s="160"/>
      <c r="BG1605" s="160"/>
      <c r="BH1605" s="160"/>
      <c r="BI1605" s="106"/>
      <c r="BJ1605" s="106"/>
      <c r="BK1605" s="106"/>
      <c r="BL1605" s="106"/>
      <c r="BM1605" s="106"/>
      <c r="BN1605" s="106"/>
      <c r="BO1605" s="106"/>
    </row>
    <row r="1606" spans="25:67" hidden="1" x14ac:dyDescent="0.25">
      <c r="Y1606" s="91"/>
      <c r="Z1606" s="91"/>
      <c r="AA1606" s="91"/>
      <c r="AB1606" s="447">
        <v>0.71</v>
      </c>
      <c r="AC1606" s="91"/>
      <c r="AD1606" s="91"/>
      <c r="AE1606" s="91"/>
      <c r="AF1606" s="91"/>
      <c r="AG1606" s="91"/>
      <c r="AH1606" s="91"/>
      <c r="AI1606" s="91"/>
      <c r="AJ1606" s="91"/>
      <c r="AK1606" s="91"/>
      <c r="AL1606" s="91"/>
      <c r="AM1606" s="91"/>
      <c r="AN1606" s="91"/>
      <c r="AO1606" s="91"/>
      <c r="AP1606" s="91"/>
      <c r="AQ1606" s="91"/>
      <c r="AR1606" s="91"/>
      <c r="AS1606" s="91"/>
      <c r="AT1606" s="91"/>
      <c r="AU1606" s="91"/>
      <c r="AV1606" s="91"/>
      <c r="AW1606" s="67"/>
      <c r="AX1606" s="160"/>
      <c r="AY1606" s="160"/>
      <c r="AZ1606" s="160"/>
      <c r="BA1606" s="160"/>
      <c r="BB1606" s="160"/>
      <c r="BC1606" s="160"/>
      <c r="BD1606" s="160"/>
      <c r="BE1606" s="160"/>
      <c r="BF1606" s="160"/>
      <c r="BG1606" s="160"/>
      <c r="BH1606" s="160"/>
      <c r="BI1606" s="106"/>
      <c r="BJ1606" s="106"/>
      <c r="BK1606" s="106"/>
      <c r="BL1606" s="106"/>
      <c r="BM1606" s="106"/>
      <c r="BN1606" s="106"/>
      <c r="BO1606" s="106"/>
    </row>
    <row r="1607" spans="25:67" hidden="1" x14ac:dyDescent="0.25">
      <c r="Y1607" s="91"/>
      <c r="Z1607" s="91"/>
      <c r="AA1607" s="91"/>
      <c r="AB1607" s="447">
        <v>0.72</v>
      </c>
      <c r="AC1607" s="91"/>
      <c r="AD1607" s="91"/>
      <c r="AE1607" s="91"/>
      <c r="AF1607" s="91"/>
      <c r="AG1607" s="91"/>
      <c r="AH1607" s="91"/>
      <c r="AI1607" s="91"/>
      <c r="AJ1607" s="91"/>
      <c r="AK1607" s="91"/>
      <c r="AL1607" s="91"/>
      <c r="AM1607" s="91"/>
      <c r="AN1607" s="91"/>
      <c r="AO1607" s="91"/>
      <c r="AP1607" s="91"/>
      <c r="AQ1607" s="91"/>
      <c r="AR1607" s="91"/>
      <c r="AS1607" s="91"/>
      <c r="AT1607" s="91"/>
      <c r="AU1607" s="91"/>
      <c r="AV1607" s="91"/>
      <c r="AW1607" s="67"/>
      <c r="AX1607" s="160"/>
      <c r="AY1607" s="160"/>
      <c r="AZ1607" s="160"/>
      <c r="BA1607" s="160"/>
      <c r="BB1607" s="160"/>
      <c r="BC1607" s="160"/>
      <c r="BD1607" s="160"/>
      <c r="BE1607" s="160"/>
      <c r="BF1607" s="160"/>
      <c r="BG1607" s="160"/>
      <c r="BH1607" s="160"/>
      <c r="BI1607" s="106"/>
      <c r="BJ1607" s="106"/>
      <c r="BK1607" s="106"/>
      <c r="BL1607" s="106"/>
      <c r="BM1607" s="106"/>
      <c r="BN1607" s="106"/>
      <c r="BO1607" s="106"/>
    </row>
    <row r="1608" spans="25:67" hidden="1" x14ac:dyDescent="0.25">
      <c r="Y1608" s="91"/>
      <c r="Z1608" s="91"/>
      <c r="AA1608" s="91"/>
      <c r="AB1608" s="447">
        <v>0.73</v>
      </c>
      <c r="AC1608" s="91"/>
      <c r="AD1608" s="91"/>
      <c r="AE1608" s="91"/>
      <c r="AF1608" s="91"/>
      <c r="AG1608" s="91"/>
      <c r="AH1608" s="91"/>
      <c r="AI1608" s="91"/>
      <c r="AJ1608" s="91"/>
      <c r="AK1608" s="91"/>
      <c r="AL1608" s="91"/>
      <c r="AM1608" s="91"/>
      <c r="AN1608" s="91"/>
      <c r="AO1608" s="91"/>
      <c r="AP1608" s="91"/>
      <c r="AQ1608" s="91"/>
      <c r="AR1608" s="91"/>
      <c r="AS1608" s="91"/>
      <c r="AT1608" s="91"/>
      <c r="AU1608" s="91"/>
      <c r="AV1608" s="91"/>
      <c r="AW1608" s="67"/>
      <c r="AX1608" s="160"/>
      <c r="AY1608" s="160"/>
      <c r="AZ1608" s="160"/>
      <c r="BA1608" s="160"/>
      <c r="BB1608" s="160"/>
      <c r="BC1608" s="160"/>
      <c r="BD1608" s="160"/>
      <c r="BE1608" s="160"/>
      <c r="BF1608" s="160"/>
      <c r="BG1608" s="160"/>
      <c r="BH1608" s="160"/>
      <c r="BI1608" s="106"/>
      <c r="BJ1608" s="106"/>
      <c r="BK1608" s="106"/>
      <c r="BL1608" s="106"/>
      <c r="BM1608" s="106"/>
      <c r="BN1608" s="106"/>
      <c r="BO1608" s="106"/>
    </row>
    <row r="1609" spans="25:67" hidden="1" x14ac:dyDescent="0.25">
      <c r="Y1609" s="91"/>
      <c r="Z1609" s="91"/>
      <c r="AA1609" s="91"/>
      <c r="AB1609" s="447">
        <v>0.74</v>
      </c>
      <c r="AC1609" s="91"/>
      <c r="AD1609" s="91"/>
      <c r="AE1609" s="91"/>
      <c r="AF1609" s="91"/>
      <c r="AG1609" s="91"/>
      <c r="AH1609" s="91"/>
      <c r="AI1609" s="91"/>
      <c r="AJ1609" s="91"/>
      <c r="AK1609" s="91"/>
      <c r="AL1609" s="91"/>
      <c r="AM1609" s="91"/>
      <c r="AN1609" s="91"/>
      <c r="AO1609" s="91"/>
      <c r="AP1609" s="91"/>
      <c r="AQ1609" s="91"/>
      <c r="AR1609" s="91"/>
      <c r="AS1609" s="91"/>
      <c r="AT1609" s="91"/>
      <c r="AU1609" s="91"/>
      <c r="AV1609" s="91"/>
      <c r="AW1609" s="67"/>
      <c r="AX1609" s="160"/>
      <c r="AY1609" s="160"/>
      <c r="AZ1609" s="160"/>
      <c r="BA1609" s="160"/>
      <c r="BB1609" s="160"/>
      <c r="BC1609" s="160"/>
      <c r="BD1609" s="160"/>
      <c r="BE1609" s="160"/>
      <c r="BF1609" s="160"/>
      <c r="BG1609" s="160"/>
      <c r="BH1609" s="160"/>
      <c r="BI1609" s="106"/>
      <c r="BJ1609" s="106"/>
      <c r="BK1609" s="106"/>
      <c r="BL1609" s="106"/>
      <c r="BM1609" s="106"/>
      <c r="BN1609" s="106"/>
      <c r="BO1609" s="106"/>
    </row>
    <row r="1610" spans="25:67" hidden="1" x14ac:dyDescent="0.25">
      <c r="Y1610" s="91"/>
      <c r="Z1610" s="91"/>
      <c r="AA1610" s="91"/>
      <c r="AB1610" s="447">
        <v>0.75</v>
      </c>
      <c r="AC1610" s="91"/>
      <c r="AD1610" s="91"/>
      <c r="AE1610" s="91"/>
      <c r="AF1610" s="91"/>
      <c r="AG1610" s="91"/>
      <c r="AH1610" s="91"/>
      <c r="AI1610" s="91"/>
      <c r="AJ1610" s="91"/>
      <c r="AK1610" s="91"/>
      <c r="AL1610" s="91"/>
      <c r="AM1610" s="91"/>
      <c r="AN1610" s="91"/>
      <c r="AO1610" s="91"/>
      <c r="AP1610" s="91"/>
      <c r="AQ1610" s="91"/>
      <c r="AR1610" s="91"/>
      <c r="AS1610" s="91"/>
      <c r="AT1610" s="91"/>
      <c r="AU1610" s="91"/>
      <c r="AV1610" s="91"/>
      <c r="AW1610" s="67"/>
      <c r="AX1610" s="160"/>
      <c r="AY1610" s="160"/>
      <c r="AZ1610" s="160"/>
      <c r="BA1610" s="160"/>
      <c r="BB1610" s="160"/>
      <c r="BC1610" s="160"/>
      <c r="BD1610" s="160"/>
      <c r="BE1610" s="160"/>
      <c r="BF1610" s="160"/>
      <c r="BG1610" s="160"/>
      <c r="BH1610" s="160"/>
      <c r="BI1610" s="106"/>
      <c r="BJ1610" s="106"/>
      <c r="BK1610" s="106"/>
      <c r="BL1610" s="106"/>
      <c r="BM1610" s="106"/>
      <c r="BN1610" s="106"/>
      <c r="BO1610" s="106"/>
    </row>
    <row r="1611" spans="25:67" hidden="1" x14ac:dyDescent="0.25">
      <c r="Y1611" s="91"/>
      <c r="Z1611" s="91"/>
      <c r="AA1611" s="91"/>
      <c r="AB1611" s="447">
        <v>0.76</v>
      </c>
      <c r="AC1611" s="91"/>
      <c r="AD1611" s="91"/>
      <c r="AE1611" s="91"/>
      <c r="AF1611" s="91"/>
      <c r="AG1611" s="91"/>
      <c r="AH1611" s="91"/>
      <c r="AI1611" s="91"/>
      <c r="AJ1611" s="91"/>
      <c r="AK1611" s="91"/>
      <c r="AL1611" s="91"/>
      <c r="AM1611" s="91"/>
      <c r="AN1611" s="91"/>
      <c r="AO1611" s="91"/>
      <c r="AP1611" s="91"/>
      <c r="AQ1611" s="91"/>
      <c r="AR1611" s="91"/>
      <c r="AS1611" s="91"/>
      <c r="AT1611" s="91"/>
      <c r="AU1611" s="91"/>
      <c r="AV1611" s="91"/>
      <c r="AW1611" s="67"/>
      <c r="AX1611" s="160"/>
      <c r="AY1611" s="160"/>
      <c r="AZ1611" s="160"/>
      <c r="BA1611" s="160"/>
      <c r="BB1611" s="160"/>
      <c r="BC1611" s="160"/>
      <c r="BD1611" s="160"/>
      <c r="BE1611" s="160"/>
      <c r="BF1611" s="160"/>
      <c r="BG1611" s="160"/>
      <c r="BH1611" s="160"/>
      <c r="BI1611" s="106"/>
      <c r="BJ1611" s="106"/>
      <c r="BK1611" s="106"/>
      <c r="BL1611" s="106"/>
      <c r="BM1611" s="106"/>
      <c r="BN1611" s="106"/>
      <c r="BO1611" s="106"/>
    </row>
    <row r="1612" spans="25:67" hidden="1" x14ac:dyDescent="0.25">
      <c r="Y1612" s="91"/>
      <c r="Z1612" s="91"/>
      <c r="AA1612" s="91"/>
      <c r="AB1612" s="447">
        <v>0.77</v>
      </c>
      <c r="AC1612" s="91"/>
      <c r="AD1612" s="91"/>
      <c r="AE1612" s="91"/>
      <c r="AF1612" s="91"/>
      <c r="AG1612" s="91"/>
      <c r="AH1612" s="91"/>
      <c r="AI1612" s="91"/>
      <c r="AJ1612" s="91"/>
      <c r="AK1612" s="91"/>
      <c r="AL1612" s="91"/>
      <c r="AM1612" s="91"/>
      <c r="AN1612" s="91"/>
      <c r="AO1612" s="91"/>
      <c r="AP1612" s="91"/>
      <c r="AQ1612" s="91"/>
      <c r="AR1612" s="91"/>
      <c r="AS1612" s="91"/>
      <c r="AT1612" s="91"/>
      <c r="AU1612" s="91"/>
      <c r="AV1612" s="91"/>
      <c r="AW1612" s="67"/>
      <c r="AX1612" s="160"/>
      <c r="AY1612" s="160"/>
      <c r="AZ1612" s="160"/>
      <c r="BA1612" s="160"/>
      <c r="BB1612" s="160"/>
      <c r="BC1612" s="160"/>
      <c r="BD1612" s="160"/>
      <c r="BE1612" s="160"/>
      <c r="BF1612" s="160"/>
      <c r="BG1612" s="160"/>
      <c r="BH1612" s="160"/>
      <c r="BI1612" s="106"/>
      <c r="BJ1612" s="106"/>
      <c r="BK1612" s="106"/>
      <c r="BL1612" s="106"/>
      <c r="BM1612" s="106"/>
      <c r="BN1612" s="106"/>
      <c r="BO1612" s="106"/>
    </row>
    <row r="1613" spans="25:67" hidden="1" x14ac:dyDescent="0.25">
      <c r="Y1613" s="91"/>
      <c r="Z1613" s="91"/>
      <c r="AA1613" s="91"/>
      <c r="AB1613" s="447">
        <v>0.78</v>
      </c>
      <c r="AC1613" s="91"/>
      <c r="AD1613" s="91"/>
      <c r="AE1613" s="91"/>
      <c r="AF1613" s="91"/>
      <c r="AG1613" s="91"/>
      <c r="AH1613" s="91"/>
      <c r="AI1613" s="91"/>
      <c r="AJ1613" s="91"/>
      <c r="AK1613" s="91"/>
      <c r="AL1613" s="91"/>
      <c r="AM1613" s="91"/>
      <c r="AN1613" s="91"/>
      <c r="AO1613" s="91"/>
      <c r="AP1613" s="91"/>
      <c r="AQ1613" s="91"/>
      <c r="AR1613" s="91"/>
      <c r="AS1613" s="91"/>
      <c r="AT1613" s="91"/>
      <c r="AU1613" s="91"/>
      <c r="AV1613" s="91"/>
      <c r="AW1613" s="67"/>
      <c r="AX1613" s="160"/>
      <c r="AY1613" s="160"/>
      <c r="AZ1613" s="160"/>
      <c r="BA1613" s="160"/>
      <c r="BB1613" s="160"/>
      <c r="BC1613" s="160"/>
      <c r="BD1613" s="160"/>
      <c r="BE1613" s="160"/>
      <c r="BF1613" s="160"/>
      <c r="BG1613" s="160"/>
      <c r="BH1613" s="160"/>
      <c r="BI1613" s="106"/>
      <c r="BJ1613" s="106"/>
      <c r="BK1613" s="106"/>
      <c r="BL1613" s="106"/>
      <c r="BM1613" s="106"/>
      <c r="BN1613" s="106"/>
      <c r="BO1613" s="106"/>
    </row>
    <row r="1614" spans="25:67" hidden="1" x14ac:dyDescent="0.25">
      <c r="Y1614" s="91"/>
      <c r="Z1614" s="91"/>
      <c r="AA1614" s="91"/>
      <c r="AB1614" s="447">
        <v>0.79</v>
      </c>
      <c r="AC1614" s="91"/>
      <c r="AD1614" s="91"/>
      <c r="AE1614" s="91"/>
      <c r="AF1614" s="91"/>
      <c r="AG1614" s="91"/>
      <c r="AH1614" s="91"/>
      <c r="AI1614" s="91"/>
      <c r="AJ1614" s="91"/>
      <c r="AK1614" s="91"/>
      <c r="AL1614" s="91"/>
      <c r="AM1614" s="91"/>
      <c r="AN1614" s="91"/>
      <c r="AO1614" s="91"/>
      <c r="AP1614" s="91"/>
      <c r="AQ1614" s="91"/>
      <c r="AR1614" s="91"/>
      <c r="AS1614" s="91"/>
      <c r="AT1614" s="91"/>
      <c r="AU1614" s="91"/>
      <c r="AV1614" s="91"/>
      <c r="AW1614" s="67"/>
      <c r="AX1614" s="160"/>
      <c r="AY1614" s="160"/>
      <c r="AZ1614" s="160"/>
      <c r="BA1614" s="160"/>
      <c r="BB1614" s="160"/>
      <c r="BC1614" s="160"/>
      <c r="BD1614" s="160"/>
      <c r="BE1614" s="160"/>
      <c r="BF1614" s="160"/>
      <c r="BG1614" s="160"/>
      <c r="BH1614" s="160"/>
      <c r="BI1614" s="106"/>
      <c r="BJ1614" s="106"/>
      <c r="BK1614" s="106"/>
      <c r="BL1614" s="106"/>
      <c r="BM1614" s="106"/>
      <c r="BN1614" s="106"/>
      <c r="BO1614" s="106"/>
    </row>
    <row r="1615" spans="25:67" hidden="1" x14ac:dyDescent="0.25">
      <c r="Y1615" s="91"/>
      <c r="Z1615" s="91"/>
      <c r="AA1615" s="91"/>
      <c r="AB1615" s="447">
        <v>0.8</v>
      </c>
      <c r="AC1615" s="91"/>
      <c r="AD1615" s="91"/>
      <c r="AE1615" s="91"/>
      <c r="AF1615" s="91"/>
      <c r="AG1615" s="91"/>
      <c r="AH1615" s="91"/>
      <c r="AI1615" s="91"/>
      <c r="AJ1615" s="91"/>
      <c r="AK1615" s="91"/>
      <c r="AL1615" s="91"/>
      <c r="AM1615" s="91"/>
      <c r="AN1615" s="91"/>
      <c r="AO1615" s="91"/>
      <c r="AP1615" s="91"/>
      <c r="AQ1615" s="91"/>
      <c r="AR1615" s="91"/>
      <c r="AS1615" s="91"/>
      <c r="AT1615" s="91"/>
      <c r="AU1615" s="91"/>
      <c r="AV1615" s="91"/>
      <c r="AW1615" s="67"/>
      <c r="AX1615" s="160"/>
      <c r="AY1615" s="160"/>
      <c r="AZ1615" s="160"/>
      <c r="BA1615" s="160"/>
      <c r="BB1615" s="160"/>
      <c r="BC1615" s="160"/>
      <c r="BD1615" s="160"/>
      <c r="BE1615" s="160"/>
      <c r="BF1615" s="160"/>
      <c r="BG1615" s="160"/>
      <c r="BH1615" s="160"/>
      <c r="BI1615" s="106"/>
      <c r="BJ1615" s="106"/>
      <c r="BK1615" s="106"/>
      <c r="BL1615" s="106"/>
      <c r="BM1615" s="106"/>
      <c r="BN1615" s="106"/>
      <c r="BO1615" s="106"/>
    </row>
    <row r="1616" spans="25:67" hidden="1" x14ac:dyDescent="0.25">
      <c r="Y1616" s="91"/>
      <c r="Z1616" s="91"/>
      <c r="AA1616" s="91"/>
      <c r="AB1616" s="447">
        <v>0.81</v>
      </c>
      <c r="AC1616" s="91"/>
      <c r="AD1616" s="91"/>
      <c r="AE1616" s="91"/>
      <c r="AF1616" s="91"/>
      <c r="AG1616" s="91"/>
      <c r="AH1616" s="91"/>
      <c r="AI1616" s="91"/>
      <c r="AJ1616" s="91"/>
      <c r="AK1616" s="91"/>
      <c r="AL1616" s="91"/>
      <c r="AM1616" s="91"/>
      <c r="AN1616" s="91"/>
      <c r="AO1616" s="91"/>
      <c r="AP1616" s="91"/>
      <c r="AQ1616" s="91"/>
      <c r="AR1616" s="91"/>
      <c r="AS1616" s="91"/>
      <c r="AT1616" s="91"/>
      <c r="AU1616" s="91"/>
      <c r="AV1616" s="91"/>
      <c r="AW1616" s="67"/>
      <c r="AX1616" s="160"/>
      <c r="AY1616" s="160"/>
      <c r="AZ1616" s="160"/>
      <c r="BA1616" s="160"/>
      <c r="BB1616" s="160"/>
      <c r="BC1616" s="160"/>
      <c r="BD1616" s="160"/>
      <c r="BE1616" s="160"/>
      <c r="BF1616" s="160"/>
      <c r="BG1616" s="160"/>
      <c r="BH1616" s="160"/>
      <c r="BI1616" s="106"/>
      <c r="BJ1616" s="106"/>
      <c r="BK1616" s="106"/>
      <c r="BL1616" s="106"/>
      <c r="BM1616" s="106"/>
      <c r="BN1616" s="106"/>
      <c r="BO1616" s="106"/>
    </row>
    <row r="1617" spans="25:67" hidden="1" x14ac:dyDescent="0.25">
      <c r="Y1617" s="91"/>
      <c r="Z1617" s="91"/>
      <c r="AA1617" s="91"/>
      <c r="AB1617" s="447">
        <v>0.82</v>
      </c>
      <c r="AC1617" s="91"/>
      <c r="AD1617" s="91"/>
      <c r="AE1617" s="91"/>
      <c r="AF1617" s="91"/>
      <c r="AG1617" s="91"/>
      <c r="AH1617" s="91"/>
      <c r="AI1617" s="91"/>
      <c r="AJ1617" s="91"/>
      <c r="AK1617" s="91"/>
      <c r="AL1617" s="91"/>
      <c r="AM1617" s="91"/>
      <c r="AN1617" s="91"/>
      <c r="AO1617" s="91"/>
      <c r="AP1617" s="91"/>
      <c r="AQ1617" s="91"/>
      <c r="AR1617" s="91"/>
      <c r="AS1617" s="91"/>
      <c r="AT1617" s="91"/>
      <c r="AU1617" s="91"/>
      <c r="AV1617" s="91"/>
      <c r="AW1617" s="67"/>
      <c r="AX1617" s="160"/>
      <c r="AY1617" s="160"/>
      <c r="AZ1617" s="160"/>
      <c r="BA1617" s="160"/>
      <c r="BB1617" s="160"/>
      <c r="BC1617" s="160"/>
      <c r="BD1617" s="160"/>
      <c r="BE1617" s="160"/>
      <c r="BF1617" s="160"/>
      <c r="BG1617" s="160"/>
      <c r="BH1617" s="160"/>
      <c r="BI1617" s="106"/>
      <c r="BJ1617" s="106"/>
      <c r="BK1617" s="106"/>
      <c r="BL1617" s="106"/>
      <c r="BM1617" s="106"/>
      <c r="BN1617" s="106"/>
      <c r="BO1617" s="106"/>
    </row>
    <row r="1618" spans="25:67" hidden="1" x14ac:dyDescent="0.25">
      <c r="Y1618" s="91"/>
      <c r="Z1618" s="91"/>
      <c r="AA1618" s="91"/>
      <c r="AB1618" s="447">
        <v>0.83</v>
      </c>
      <c r="AC1618" s="91"/>
      <c r="AD1618" s="91"/>
      <c r="AE1618" s="91"/>
      <c r="AF1618" s="91"/>
      <c r="AG1618" s="91"/>
      <c r="AH1618" s="91"/>
      <c r="AI1618" s="91"/>
      <c r="AJ1618" s="91"/>
      <c r="AK1618" s="91"/>
      <c r="AL1618" s="91"/>
      <c r="AM1618" s="91"/>
      <c r="AN1618" s="91"/>
      <c r="AO1618" s="91"/>
      <c r="AP1618" s="91"/>
      <c r="AQ1618" s="91"/>
      <c r="AR1618" s="91"/>
      <c r="AS1618" s="91"/>
      <c r="AT1618" s="91"/>
      <c r="AU1618" s="91"/>
      <c r="AV1618" s="91"/>
      <c r="AW1618" s="67"/>
      <c r="AX1618" s="160"/>
      <c r="AY1618" s="160"/>
      <c r="AZ1618" s="160"/>
      <c r="BA1618" s="160"/>
      <c r="BB1618" s="160"/>
      <c r="BC1618" s="160"/>
      <c r="BD1618" s="160"/>
      <c r="BE1618" s="160"/>
      <c r="BF1618" s="160"/>
      <c r="BG1618" s="160"/>
      <c r="BH1618" s="160"/>
      <c r="BI1618" s="106"/>
      <c r="BJ1618" s="106"/>
      <c r="BK1618" s="106"/>
      <c r="BL1618" s="106"/>
      <c r="BM1618" s="106"/>
      <c r="BN1618" s="106"/>
      <c r="BO1618" s="106"/>
    </row>
    <row r="1619" spans="25:67" hidden="1" x14ac:dyDescent="0.25">
      <c r="Y1619" s="91"/>
      <c r="Z1619" s="91"/>
      <c r="AA1619" s="91"/>
      <c r="AB1619" s="447">
        <v>0.84</v>
      </c>
      <c r="AC1619" s="91"/>
      <c r="AD1619" s="91"/>
      <c r="AE1619" s="91"/>
      <c r="AF1619" s="91"/>
      <c r="AG1619" s="91"/>
      <c r="AH1619" s="91"/>
      <c r="AI1619" s="91"/>
      <c r="AJ1619" s="91"/>
      <c r="AK1619" s="91"/>
      <c r="AL1619" s="91"/>
      <c r="AM1619" s="91"/>
      <c r="AN1619" s="91"/>
      <c r="AO1619" s="91"/>
      <c r="AP1619" s="91"/>
      <c r="AQ1619" s="91"/>
      <c r="AR1619" s="91"/>
      <c r="AS1619" s="91"/>
      <c r="AT1619" s="91"/>
      <c r="AU1619" s="91"/>
      <c r="AV1619" s="91"/>
      <c r="AW1619" s="67"/>
      <c r="AX1619" s="160"/>
      <c r="AY1619" s="160"/>
      <c r="AZ1619" s="160"/>
      <c r="BA1619" s="160"/>
      <c r="BB1619" s="160"/>
      <c r="BC1619" s="160"/>
      <c r="BD1619" s="160"/>
      <c r="BE1619" s="160"/>
      <c r="BF1619" s="160"/>
      <c r="BG1619" s="160"/>
      <c r="BH1619" s="160"/>
      <c r="BI1619" s="106"/>
      <c r="BJ1619" s="106"/>
      <c r="BK1619" s="106"/>
      <c r="BL1619" s="106"/>
      <c r="BM1619" s="106"/>
      <c r="BN1619" s="106"/>
      <c r="BO1619" s="106"/>
    </row>
    <row r="1620" spans="25:67" hidden="1" x14ac:dyDescent="0.25">
      <c r="Y1620" s="91"/>
      <c r="Z1620" s="91"/>
      <c r="AA1620" s="91"/>
      <c r="AB1620" s="447">
        <v>0.85</v>
      </c>
      <c r="AC1620" s="91"/>
      <c r="AD1620" s="91"/>
      <c r="AE1620" s="91"/>
      <c r="AF1620" s="91"/>
      <c r="AG1620" s="91"/>
      <c r="AH1620" s="91"/>
      <c r="AI1620" s="91"/>
      <c r="AJ1620" s="91"/>
      <c r="AK1620" s="91"/>
      <c r="AL1620" s="91"/>
      <c r="AM1620" s="91"/>
      <c r="AN1620" s="91"/>
      <c r="AO1620" s="91"/>
      <c r="AP1620" s="91"/>
      <c r="AQ1620" s="91"/>
      <c r="AR1620" s="91"/>
      <c r="AS1620" s="91"/>
      <c r="AT1620" s="91"/>
      <c r="AU1620" s="91"/>
      <c r="AV1620" s="91"/>
      <c r="AW1620" s="67"/>
      <c r="AX1620" s="160"/>
      <c r="AY1620" s="160"/>
      <c r="AZ1620" s="160"/>
      <c r="BA1620" s="160"/>
      <c r="BB1620" s="160"/>
      <c r="BC1620" s="160"/>
      <c r="BD1620" s="160"/>
      <c r="BE1620" s="160"/>
      <c r="BF1620" s="160"/>
      <c r="BG1620" s="160"/>
      <c r="BH1620" s="160"/>
      <c r="BI1620" s="106"/>
      <c r="BJ1620" s="106"/>
      <c r="BK1620" s="106"/>
      <c r="BL1620" s="106"/>
      <c r="BM1620" s="106"/>
      <c r="BN1620" s="106"/>
      <c r="BO1620" s="106"/>
    </row>
    <row r="1621" spans="25:67" hidden="1" x14ac:dyDescent="0.25">
      <c r="Y1621" s="91"/>
      <c r="Z1621" s="91"/>
      <c r="AA1621" s="91"/>
      <c r="AB1621" s="447">
        <v>0.86</v>
      </c>
      <c r="AC1621" s="91"/>
      <c r="AD1621" s="91"/>
      <c r="AE1621" s="91"/>
      <c r="AF1621" s="91"/>
      <c r="AG1621" s="91"/>
      <c r="AH1621" s="91"/>
      <c r="AI1621" s="91"/>
      <c r="AJ1621" s="91"/>
      <c r="AK1621" s="91"/>
      <c r="AL1621" s="91"/>
      <c r="AM1621" s="91"/>
      <c r="AN1621" s="91"/>
      <c r="AO1621" s="91"/>
      <c r="AP1621" s="91"/>
      <c r="AQ1621" s="91"/>
      <c r="AR1621" s="91"/>
      <c r="AS1621" s="91"/>
      <c r="AT1621" s="91"/>
      <c r="AU1621" s="91"/>
      <c r="AV1621" s="91"/>
      <c r="AW1621" s="67"/>
      <c r="AX1621" s="160"/>
      <c r="AY1621" s="160"/>
      <c r="AZ1621" s="160"/>
      <c r="BA1621" s="160"/>
      <c r="BB1621" s="160"/>
      <c r="BC1621" s="160"/>
      <c r="BD1621" s="160"/>
      <c r="BE1621" s="160"/>
      <c r="BF1621" s="160"/>
      <c r="BG1621" s="160"/>
      <c r="BH1621" s="160"/>
      <c r="BI1621" s="106"/>
      <c r="BJ1621" s="106"/>
      <c r="BK1621" s="106"/>
      <c r="BL1621" s="106"/>
      <c r="BM1621" s="106"/>
      <c r="BN1621" s="106"/>
      <c r="BO1621" s="106"/>
    </row>
    <row r="1622" spans="25:67" hidden="1" x14ac:dyDescent="0.25">
      <c r="Y1622" s="91"/>
      <c r="Z1622" s="91"/>
      <c r="AA1622" s="91"/>
      <c r="AB1622" s="447">
        <v>0.87</v>
      </c>
      <c r="AC1622" s="91"/>
      <c r="AD1622" s="91"/>
      <c r="AE1622" s="91"/>
      <c r="AF1622" s="91"/>
      <c r="AG1622" s="91"/>
      <c r="AH1622" s="91"/>
      <c r="AI1622" s="91"/>
      <c r="AJ1622" s="91"/>
      <c r="AK1622" s="91"/>
      <c r="AL1622" s="91"/>
      <c r="AM1622" s="91"/>
      <c r="AN1622" s="91"/>
      <c r="AO1622" s="91"/>
      <c r="AP1622" s="91"/>
      <c r="AQ1622" s="91"/>
      <c r="AR1622" s="91"/>
      <c r="AS1622" s="91"/>
      <c r="AT1622" s="91"/>
      <c r="AU1622" s="91"/>
      <c r="AV1622" s="91"/>
      <c r="AW1622" s="67"/>
      <c r="AX1622" s="160"/>
      <c r="AY1622" s="160"/>
      <c r="AZ1622" s="160"/>
      <c r="BA1622" s="160"/>
      <c r="BB1622" s="160"/>
      <c r="BC1622" s="160"/>
      <c r="BD1622" s="160"/>
      <c r="BE1622" s="160"/>
      <c r="BF1622" s="160"/>
      <c r="BG1622" s="160"/>
      <c r="BH1622" s="160"/>
      <c r="BI1622" s="106"/>
      <c r="BJ1622" s="106"/>
      <c r="BK1622" s="106"/>
      <c r="BL1622" s="106"/>
      <c r="BM1622" s="106"/>
      <c r="BN1622" s="106"/>
      <c r="BO1622" s="106"/>
    </row>
    <row r="1623" spans="25:67" hidden="1" x14ac:dyDescent="0.25">
      <c r="Y1623" s="91"/>
      <c r="Z1623" s="91"/>
      <c r="AA1623" s="91"/>
      <c r="AB1623" s="447">
        <v>0.88</v>
      </c>
      <c r="AC1623" s="91"/>
      <c r="AD1623" s="91"/>
      <c r="AE1623" s="91"/>
      <c r="AF1623" s="91"/>
      <c r="AG1623" s="91"/>
      <c r="AH1623" s="91"/>
      <c r="AI1623" s="91"/>
      <c r="AJ1623" s="91"/>
      <c r="AK1623" s="91"/>
      <c r="AL1623" s="91"/>
      <c r="AM1623" s="91"/>
      <c r="AN1623" s="91"/>
      <c r="AO1623" s="91"/>
      <c r="AP1623" s="91"/>
      <c r="AQ1623" s="91"/>
      <c r="AR1623" s="91"/>
      <c r="AS1623" s="91"/>
      <c r="AT1623" s="91"/>
      <c r="AU1623" s="91"/>
      <c r="AV1623" s="91"/>
      <c r="AW1623" s="67"/>
      <c r="AX1623" s="160"/>
      <c r="AY1623" s="160"/>
      <c r="AZ1623" s="160"/>
      <c r="BA1623" s="160"/>
      <c r="BB1623" s="160"/>
      <c r="BC1623" s="160"/>
      <c r="BD1623" s="160"/>
      <c r="BE1623" s="160"/>
      <c r="BF1623" s="160"/>
      <c r="BG1623" s="160"/>
      <c r="BH1623" s="160"/>
      <c r="BI1623" s="106"/>
      <c r="BJ1623" s="106"/>
      <c r="BK1623" s="106"/>
      <c r="BL1623" s="106"/>
      <c r="BM1623" s="106"/>
      <c r="BN1623" s="106"/>
      <c r="BO1623" s="106"/>
    </row>
    <row r="1624" spans="25:67" hidden="1" x14ac:dyDescent="0.25">
      <c r="Y1624" s="91"/>
      <c r="Z1624" s="91"/>
      <c r="AA1624" s="91"/>
      <c r="AB1624" s="447">
        <v>0.89</v>
      </c>
      <c r="AC1624" s="91"/>
      <c r="AD1624" s="91"/>
      <c r="AE1624" s="91"/>
      <c r="AF1624" s="91"/>
      <c r="AG1624" s="91"/>
      <c r="AH1624" s="91"/>
      <c r="AI1624" s="91"/>
      <c r="AJ1624" s="91"/>
      <c r="AK1624" s="91"/>
      <c r="AL1624" s="91"/>
      <c r="AM1624" s="91"/>
      <c r="AN1624" s="91"/>
      <c r="AO1624" s="91"/>
      <c r="AP1624" s="91"/>
      <c r="AQ1624" s="91"/>
      <c r="AR1624" s="91"/>
      <c r="AS1624" s="91"/>
      <c r="AT1624" s="91"/>
      <c r="AU1624" s="91"/>
      <c r="AV1624" s="91"/>
      <c r="AW1624" s="67"/>
      <c r="AX1624" s="160"/>
      <c r="AY1624" s="160"/>
      <c r="AZ1624" s="160"/>
      <c r="BA1624" s="160"/>
      <c r="BB1624" s="160"/>
      <c r="BC1624" s="160"/>
      <c r="BD1624" s="160"/>
      <c r="BE1624" s="160"/>
      <c r="BF1624" s="160"/>
      <c r="BG1624" s="160"/>
      <c r="BH1624" s="160"/>
      <c r="BI1624" s="106"/>
      <c r="BJ1624" s="106"/>
      <c r="BK1624" s="106"/>
      <c r="BL1624" s="106"/>
      <c r="BM1624" s="106"/>
      <c r="BN1624" s="106"/>
      <c r="BO1624" s="106"/>
    </row>
    <row r="1625" spans="25:67" hidden="1" x14ac:dyDescent="0.25">
      <c r="Y1625" s="91"/>
      <c r="Z1625" s="91"/>
      <c r="AA1625" s="91"/>
      <c r="AB1625" s="447">
        <v>0.9</v>
      </c>
      <c r="AC1625" s="91"/>
      <c r="AD1625" s="91"/>
      <c r="AE1625" s="91"/>
      <c r="AF1625" s="91"/>
      <c r="AG1625" s="91"/>
      <c r="AH1625" s="91"/>
      <c r="AI1625" s="91"/>
      <c r="AJ1625" s="91"/>
      <c r="AK1625" s="91"/>
      <c r="AL1625" s="91"/>
      <c r="AM1625" s="91"/>
      <c r="AN1625" s="91"/>
      <c r="AO1625" s="91"/>
      <c r="AP1625" s="91"/>
      <c r="AQ1625" s="91"/>
      <c r="AR1625" s="91"/>
      <c r="AS1625" s="91"/>
      <c r="AT1625" s="91"/>
      <c r="AU1625" s="91"/>
      <c r="AV1625" s="91"/>
      <c r="AW1625" s="67"/>
      <c r="AX1625" s="160"/>
      <c r="AY1625" s="160"/>
      <c r="AZ1625" s="160"/>
      <c r="BA1625" s="160"/>
      <c r="BB1625" s="160"/>
      <c r="BC1625" s="160"/>
      <c r="BD1625" s="160"/>
      <c r="BE1625" s="160"/>
      <c r="BF1625" s="160"/>
      <c r="BG1625" s="160"/>
      <c r="BH1625" s="160"/>
      <c r="BI1625" s="106"/>
      <c r="BJ1625" s="106"/>
      <c r="BK1625" s="106"/>
      <c r="BL1625" s="106"/>
      <c r="BM1625" s="106"/>
      <c r="BN1625" s="106"/>
      <c r="BO1625" s="106"/>
    </row>
    <row r="1626" spans="25:67" hidden="1" x14ac:dyDescent="0.25">
      <c r="Y1626" s="91"/>
      <c r="Z1626" s="91"/>
      <c r="AA1626" s="91"/>
      <c r="AB1626" s="447">
        <v>0.91</v>
      </c>
      <c r="AC1626" s="91"/>
      <c r="AD1626" s="91"/>
      <c r="AE1626" s="91"/>
      <c r="AF1626" s="91"/>
      <c r="AG1626" s="91"/>
      <c r="AH1626" s="91"/>
      <c r="AI1626" s="91"/>
      <c r="AJ1626" s="91"/>
      <c r="AK1626" s="91"/>
      <c r="AL1626" s="91"/>
      <c r="AM1626" s="91"/>
      <c r="AN1626" s="91"/>
      <c r="AO1626" s="91"/>
      <c r="AP1626" s="91"/>
      <c r="AQ1626" s="91"/>
      <c r="AR1626" s="91"/>
      <c r="AS1626" s="91"/>
      <c r="AT1626" s="91"/>
      <c r="AU1626" s="91"/>
      <c r="AV1626" s="91"/>
      <c r="AW1626" s="67"/>
      <c r="AX1626" s="160"/>
      <c r="AY1626" s="160"/>
      <c r="AZ1626" s="160"/>
      <c r="BA1626" s="160"/>
      <c r="BB1626" s="160"/>
      <c r="BC1626" s="160"/>
      <c r="BD1626" s="160"/>
      <c r="BE1626" s="160"/>
      <c r="BF1626" s="160"/>
      <c r="BG1626" s="160"/>
      <c r="BH1626" s="160"/>
      <c r="BI1626" s="106"/>
      <c r="BJ1626" s="106"/>
      <c r="BK1626" s="106"/>
      <c r="BL1626" s="106"/>
      <c r="BM1626" s="106"/>
      <c r="BN1626" s="106"/>
      <c r="BO1626" s="106"/>
    </row>
    <row r="1627" spans="25:67" hidden="1" x14ac:dyDescent="0.25">
      <c r="Y1627" s="91"/>
      <c r="Z1627" s="91"/>
      <c r="AA1627" s="91"/>
      <c r="AB1627" s="447">
        <v>0.92</v>
      </c>
      <c r="AC1627" s="91"/>
      <c r="AD1627" s="91"/>
      <c r="AE1627" s="91"/>
      <c r="AF1627" s="91"/>
      <c r="AG1627" s="91"/>
      <c r="AH1627" s="91"/>
      <c r="AI1627" s="91"/>
      <c r="AJ1627" s="91"/>
      <c r="AK1627" s="91"/>
      <c r="AL1627" s="91"/>
      <c r="AM1627" s="91"/>
      <c r="AN1627" s="91"/>
      <c r="AO1627" s="91"/>
      <c r="AP1627" s="91"/>
      <c r="AQ1627" s="91"/>
      <c r="AR1627" s="91"/>
      <c r="AS1627" s="91"/>
      <c r="AT1627" s="91"/>
      <c r="AU1627" s="91"/>
      <c r="AV1627" s="91"/>
      <c r="AW1627" s="67"/>
      <c r="AX1627" s="160"/>
      <c r="AY1627" s="160"/>
      <c r="AZ1627" s="160"/>
      <c r="BA1627" s="160"/>
      <c r="BB1627" s="160"/>
      <c r="BC1627" s="160"/>
      <c r="BD1627" s="160"/>
      <c r="BE1627" s="160"/>
      <c r="BF1627" s="160"/>
      <c r="BG1627" s="160"/>
      <c r="BH1627" s="160"/>
      <c r="BI1627" s="106"/>
      <c r="BJ1627" s="106"/>
      <c r="BK1627" s="106"/>
      <c r="BL1627" s="106"/>
      <c r="BM1627" s="106"/>
      <c r="BN1627" s="106"/>
      <c r="BO1627" s="106"/>
    </row>
    <row r="1628" spans="25:67" hidden="1" x14ac:dyDescent="0.25">
      <c r="Y1628" s="91"/>
      <c r="Z1628" s="91"/>
      <c r="AA1628" s="91"/>
      <c r="AB1628" s="447">
        <v>0.93</v>
      </c>
      <c r="AC1628" s="91"/>
      <c r="AD1628" s="91"/>
      <c r="AE1628" s="91"/>
      <c r="AF1628" s="91"/>
      <c r="AG1628" s="91"/>
      <c r="AH1628" s="91"/>
      <c r="AI1628" s="91"/>
      <c r="AJ1628" s="91"/>
      <c r="AK1628" s="91"/>
      <c r="AL1628" s="91"/>
      <c r="AM1628" s="91"/>
      <c r="AN1628" s="91"/>
      <c r="AO1628" s="91"/>
      <c r="AP1628" s="91"/>
      <c r="AQ1628" s="91"/>
      <c r="AR1628" s="91"/>
      <c r="AS1628" s="91"/>
      <c r="AT1628" s="91"/>
      <c r="AU1628" s="91"/>
      <c r="AV1628" s="91"/>
      <c r="AW1628" s="67"/>
      <c r="AX1628" s="160"/>
      <c r="AY1628" s="160"/>
      <c r="AZ1628" s="160"/>
      <c r="BA1628" s="160"/>
      <c r="BB1628" s="160"/>
      <c r="BC1628" s="160"/>
      <c r="BD1628" s="160"/>
      <c r="BE1628" s="160"/>
      <c r="BF1628" s="160"/>
      <c r="BG1628" s="160"/>
      <c r="BH1628" s="160"/>
      <c r="BI1628" s="106"/>
      <c r="BJ1628" s="106"/>
      <c r="BK1628" s="106"/>
      <c r="BL1628" s="106"/>
      <c r="BM1628" s="106"/>
      <c r="BN1628" s="106"/>
      <c r="BO1628" s="106"/>
    </row>
    <row r="1629" spans="25:67" hidden="1" x14ac:dyDescent="0.25">
      <c r="Y1629" s="91"/>
      <c r="Z1629" s="91"/>
      <c r="AA1629" s="91"/>
      <c r="AB1629" s="447">
        <v>0.94</v>
      </c>
      <c r="AC1629" s="91"/>
      <c r="AD1629" s="91"/>
      <c r="AE1629" s="91"/>
      <c r="AF1629" s="91"/>
      <c r="AG1629" s="91"/>
      <c r="AH1629" s="91"/>
      <c r="AI1629" s="91"/>
      <c r="AJ1629" s="91"/>
      <c r="AK1629" s="91"/>
      <c r="AL1629" s="91"/>
      <c r="AM1629" s="91"/>
      <c r="AN1629" s="91"/>
      <c r="AO1629" s="91"/>
      <c r="AP1629" s="91"/>
      <c r="AQ1629" s="91"/>
      <c r="AR1629" s="91"/>
      <c r="AS1629" s="91"/>
      <c r="AT1629" s="91"/>
      <c r="AU1629" s="91"/>
      <c r="AV1629" s="91"/>
      <c r="AW1629" s="67"/>
      <c r="AX1629" s="160"/>
      <c r="AY1629" s="160"/>
      <c r="AZ1629" s="160"/>
      <c r="BA1629" s="160"/>
      <c r="BB1629" s="160"/>
      <c r="BC1629" s="160"/>
      <c r="BD1629" s="160"/>
      <c r="BE1629" s="160"/>
      <c r="BF1629" s="160"/>
      <c r="BG1629" s="160"/>
      <c r="BH1629" s="160"/>
      <c r="BI1629" s="106"/>
      <c r="BJ1629" s="106"/>
      <c r="BK1629" s="106"/>
      <c r="BL1629" s="106"/>
      <c r="BM1629" s="106"/>
      <c r="BN1629" s="106"/>
      <c r="BO1629" s="106"/>
    </row>
    <row r="1630" spans="25:67" hidden="1" x14ac:dyDescent="0.25">
      <c r="Y1630" s="91"/>
      <c r="Z1630" s="91"/>
      <c r="AA1630" s="91"/>
      <c r="AB1630" s="447">
        <v>0.95</v>
      </c>
      <c r="AC1630" s="91"/>
      <c r="AD1630" s="91"/>
      <c r="AE1630" s="91"/>
      <c r="AF1630" s="91"/>
      <c r="AG1630" s="91"/>
      <c r="AH1630" s="91"/>
      <c r="AI1630" s="91"/>
      <c r="AJ1630" s="91"/>
      <c r="AK1630" s="91"/>
      <c r="AL1630" s="91"/>
      <c r="AM1630" s="91"/>
      <c r="AN1630" s="91"/>
      <c r="AO1630" s="91"/>
      <c r="AP1630" s="91"/>
      <c r="AQ1630" s="91"/>
      <c r="AR1630" s="91"/>
      <c r="AS1630" s="91"/>
      <c r="AT1630" s="91"/>
      <c r="AU1630" s="91"/>
      <c r="AV1630" s="91"/>
      <c r="AW1630" s="67"/>
      <c r="AX1630" s="160"/>
      <c r="AY1630" s="160"/>
      <c r="AZ1630" s="160"/>
      <c r="BA1630" s="160"/>
      <c r="BB1630" s="160"/>
      <c r="BC1630" s="160"/>
      <c r="BD1630" s="160"/>
      <c r="BE1630" s="160"/>
      <c r="BF1630" s="160"/>
      <c r="BG1630" s="160"/>
      <c r="BH1630" s="160"/>
      <c r="BI1630" s="106"/>
      <c r="BJ1630" s="106"/>
      <c r="BK1630" s="106"/>
      <c r="BL1630" s="106"/>
      <c r="BM1630" s="106"/>
      <c r="BN1630" s="106"/>
      <c r="BO1630" s="106"/>
    </row>
    <row r="1631" spans="25:67" hidden="1" x14ac:dyDescent="0.25">
      <c r="Y1631" s="91"/>
      <c r="Z1631" s="91"/>
      <c r="AA1631" s="91"/>
      <c r="AB1631" s="447">
        <v>0.96</v>
      </c>
      <c r="AC1631" s="91"/>
      <c r="AD1631" s="91"/>
      <c r="AE1631" s="91"/>
      <c r="AF1631" s="91"/>
      <c r="AG1631" s="91"/>
      <c r="AH1631" s="91"/>
      <c r="AI1631" s="91"/>
      <c r="AJ1631" s="91"/>
      <c r="AK1631" s="91"/>
      <c r="AL1631" s="91"/>
      <c r="AM1631" s="91"/>
      <c r="AN1631" s="91"/>
      <c r="AO1631" s="91"/>
      <c r="AP1631" s="91"/>
      <c r="AQ1631" s="91"/>
      <c r="AR1631" s="91"/>
      <c r="AS1631" s="91"/>
      <c r="AT1631" s="91"/>
      <c r="AU1631" s="91"/>
      <c r="AV1631" s="91"/>
      <c r="AW1631" s="67"/>
      <c r="AX1631" s="160"/>
      <c r="AY1631" s="160"/>
      <c r="AZ1631" s="160"/>
      <c r="BA1631" s="160"/>
      <c r="BB1631" s="160"/>
      <c r="BC1631" s="160"/>
      <c r="BD1631" s="160"/>
      <c r="BE1631" s="160"/>
      <c r="BF1631" s="160"/>
      <c r="BG1631" s="160"/>
      <c r="BH1631" s="160"/>
      <c r="BI1631" s="106"/>
      <c r="BJ1631" s="106"/>
      <c r="BK1631" s="106"/>
      <c r="BL1631" s="106"/>
      <c r="BM1631" s="106"/>
      <c r="BN1631" s="106"/>
      <c r="BO1631" s="106"/>
    </row>
    <row r="1632" spans="25:67" hidden="1" x14ac:dyDescent="0.25">
      <c r="Y1632" s="91"/>
      <c r="Z1632" s="91"/>
      <c r="AA1632" s="91"/>
      <c r="AB1632" s="447">
        <v>0.97</v>
      </c>
      <c r="AC1632" s="91"/>
      <c r="AD1632" s="91"/>
      <c r="AE1632" s="91"/>
      <c r="AF1632" s="91"/>
      <c r="AG1632" s="91"/>
      <c r="AH1632" s="91"/>
      <c r="AI1632" s="91"/>
      <c r="AJ1632" s="91"/>
      <c r="AK1632" s="91"/>
      <c r="AL1632" s="91"/>
      <c r="AM1632" s="91"/>
      <c r="AN1632" s="91"/>
      <c r="AO1632" s="91"/>
      <c r="AP1632" s="91"/>
      <c r="AQ1632" s="91"/>
      <c r="AR1632" s="91"/>
      <c r="AS1632" s="91"/>
      <c r="AT1632" s="91"/>
      <c r="AU1632" s="91"/>
      <c r="AV1632" s="91"/>
      <c r="AW1632" s="67"/>
      <c r="AX1632" s="160"/>
      <c r="AY1632" s="160"/>
      <c r="AZ1632" s="160"/>
      <c r="BA1632" s="160"/>
      <c r="BB1632" s="160"/>
      <c r="BC1632" s="160"/>
      <c r="BD1632" s="160"/>
      <c r="BE1632" s="160"/>
      <c r="BF1632" s="160"/>
      <c r="BG1632" s="160"/>
      <c r="BH1632" s="160"/>
      <c r="BI1632" s="106"/>
      <c r="BJ1632" s="106"/>
      <c r="BK1632" s="106"/>
      <c r="BL1632" s="106"/>
      <c r="BM1632" s="106"/>
      <c r="BN1632" s="106"/>
      <c r="BO1632" s="106"/>
    </row>
    <row r="1633" spans="25:67" hidden="1" x14ac:dyDescent="0.25">
      <c r="Y1633" s="91"/>
      <c r="Z1633" s="91"/>
      <c r="AA1633" s="91"/>
      <c r="AB1633" s="447">
        <v>0.98</v>
      </c>
      <c r="AC1633" s="91"/>
      <c r="AD1633" s="91"/>
      <c r="AE1633" s="91"/>
      <c r="AF1633" s="91"/>
      <c r="AG1633" s="91"/>
      <c r="AH1633" s="91"/>
      <c r="AI1633" s="91"/>
      <c r="AJ1633" s="91"/>
      <c r="AK1633" s="91"/>
      <c r="AL1633" s="91"/>
      <c r="AM1633" s="91"/>
      <c r="AN1633" s="91"/>
      <c r="AO1633" s="91"/>
      <c r="AP1633" s="91"/>
      <c r="AQ1633" s="91"/>
      <c r="AR1633" s="91"/>
      <c r="AS1633" s="91"/>
      <c r="AT1633" s="91"/>
      <c r="AU1633" s="91"/>
      <c r="AV1633" s="91"/>
      <c r="AW1633" s="67"/>
      <c r="AX1633" s="160"/>
      <c r="AY1633" s="160"/>
      <c r="AZ1633" s="160"/>
      <c r="BA1633" s="160"/>
      <c r="BB1633" s="160"/>
      <c r="BC1633" s="160"/>
      <c r="BD1633" s="160"/>
      <c r="BE1633" s="160"/>
      <c r="BF1633" s="160"/>
      <c r="BG1633" s="160"/>
      <c r="BH1633" s="160"/>
      <c r="BI1633" s="106"/>
      <c r="BJ1633" s="106"/>
      <c r="BK1633" s="106"/>
      <c r="BL1633" s="106"/>
      <c r="BM1633" s="106"/>
      <c r="BN1633" s="106"/>
      <c r="BO1633" s="106"/>
    </row>
    <row r="1634" spans="25:67" hidden="1" x14ac:dyDescent="0.25">
      <c r="Y1634" s="91"/>
      <c r="Z1634" s="91"/>
      <c r="AA1634" s="91"/>
      <c r="AB1634" s="447">
        <v>0.99</v>
      </c>
      <c r="AC1634" s="91"/>
      <c r="AD1634" s="91"/>
      <c r="AE1634" s="91"/>
      <c r="AF1634" s="91"/>
      <c r="AG1634" s="91"/>
      <c r="AH1634" s="91"/>
      <c r="AI1634" s="91"/>
      <c r="AJ1634" s="91"/>
      <c r="AK1634" s="91"/>
      <c r="AL1634" s="91"/>
      <c r="AM1634" s="91"/>
      <c r="AN1634" s="91"/>
      <c r="AO1634" s="91"/>
      <c r="AP1634" s="91"/>
      <c r="AQ1634" s="91"/>
      <c r="AR1634" s="91"/>
      <c r="AS1634" s="91"/>
      <c r="AT1634" s="91"/>
      <c r="AU1634" s="91"/>
      <c r="AV1634" s="91"/>
      <c r="AW1634" s="67"/>
      <c r="AX1634" s="160"/>
      <c r="AY1634" s="160"/>
      <c r="AZ1634" s="160"/>
      <c r="BA1634" s="160"/>
      <c r="BB1634" s="160"/>
      <c r="BC1634" s="160"/>
      <c r="BD1634" s="160"/>
      <c r="BE1634" s="160"/>
      <c r="BF1634" s="160"/>
      <c r="BG1634" s="160"/>
      <c r="BH1634" s="160"/>
      <c r="BI1634" s="106"/>
      <c r="BJ1634" s="106"/>
      <c r="BK1634" s="106"/>
      <c r="BL1634" s="106"/>
      <c r="BM1634" s="106"/>
      <c r="BN1634" s="106"/>
      <c r="BO1634" s="106"/>
    </row>
    <row r="1635" spans="25:67" hidden="1" x14ac:dyDescent="0.25">
      <c r="Y1635" s="91"/>
      <c r="Z1635" s="91"/>
      <c r="AA1635" s="91"/>
      <c r="AB1635" s="447">
        <v>1</v>
      </c>
      <c r="AC1635" s="91"/>
      <c r="AD1635" s="91"/>
      <c r="AE1635" s="91"/>
      <c r="AF1635" s="91"/>
      <c r="AG1635" s="91"/>
      <c r="AH1635" s="91"/>
      <c r="AI1635" s="91"/>
      <c r="AJ1635" s="91"/>
      <c r="AK1635" s="91"/>
      <c r="AL1635" s="91"/>
      <c r="AM1635" s="91"/>
      <c r="AN1635" s="91"/>
      <c r="AO1635" s="91"/>
      <c r="AP1635" s="91"/>
      <c r="AQ1635" s="91"/>
      <c r="AR1635" s="91"/>
      <c r="AS1635" s="91"/>
      <c r="AT1635" s="91"/>
      <c r="AU1635" s="91"/>
      <c r="AV1635" s="91"/>
      <c r="AW1635" s="67"/>
      <c r="AX1635" s="160"/>
      <c r="AY1635" s="160"/>
      <c r="AZ1635" s="160"/>
      <c r="BA1635" s="160"/>
      <c r="BB1635" s="160"/>
      <c r="BC1635" s="160"/>
      <c r="BD1635" s="160"/>
      <c r="BE1635" s="160"/>
      <c r="BF1635" s="160"/>
      <c r="BG1635" s="160"/>
      <c r="BH1635" s="160"/>
      <c r="BI1635" s="106"/>
      <c r="BJ1635" s="106"/>
      <c r="BK1635" s="106"/>
      <c r="BL1635" s="106"/>
      <c r="BM1635" s="106"/>
      <c r="BN1635" s="106"/>
      <c r="BO1635" s="106"/>
    </row>
    <row r="1636" spans="25:67" hidden="1" x14ac:dyDescent="0.25">
      <c r="Y1636" s="91"/>
      <c r="Z1636" s="91"/>
      <c r="AA1636" s="91"/>
      <c r="AB1636" s="438"/>
      <c r="AC1636" s="91"/>
      <c r="AD1636" s="91"/>
      <c r="AE1636" s="91"/>
      <c r="AF1636" s="91"/>
      <c r="AG1636" s="91"/>
      <c r="AH1636" s="91"/>
      <c r="AI1636" s="91"/>
      <c r="AJ1636" s="91"/>
      <c r="AK1636" s="91"/>
      <c r="AL1636" s="91"/>
      <c r="AM1636" s="91"/>
      <c r="AN1636" s="91"/>
      <c r="AO1636" s="91"/>
      <c r="AP1636" s="91"/>
      <c r="AQ1636" s="91"/>
      <c r="AR1636" s="91"/>
      <c r="AS1636" s="91"/>
      <c r="AT1636" s="91"/>
      <c r="AU1636" s="91"/>
      <c r="AV1636" s="91"/>
      <c r="AW1636" s="67"/>
      <c r="AX1636" s="160"/>
      <c r="AY1636" s="160"/>
      <c r="AZ1636" s="160"/>
      <c r="BA1636" s="160"/>
      <c r="BB1636" s="160"/>
      <c r="BC1636" s="160"/>
      <c r="BD1636" s="160"/>
      <c r="BE1636" s="160"/>
      <c r="BF1636" s="160"/>
      <c r="BG1636" s="160"/>
      <c r="BH1636" s="160"/>
      <c r="BI1636" s="106"/>
      <c r="BJ1636" s="106"/>
      <c r="BK1636" s="106"/>
      <c r="BL1636" s="106"/>
      <c r="BM1636" s="106"/>
      <c r="BN1636" s="106"/>
      <c r="BO1636" s="106"/>
    </row>
    <row r="1637" spans="25:67" hidden="1" x14ac:dyDescent="0.25">
      <c r="Y1637" s="91"/>
      <c r="Z1637" s="91"/>
      <c r="AA1637" s="91"/>
      <c r="AB1637" s="438"/>
      <c r="AC1637" s="91"/>
      <c r="AD1637" s="91"/>
      <c r="AE1637" s="91"/>
      <c r="AF1637" s="91"/>
      <c r="AG1637" s="91"/>
      <c r="AH1637" s="91"/>
      <c r="AI1637" s="91"/>
      <c r="AJ1637" s="91"/>
      <c r="AK1637" s="91"/>
      <c r="AL1637" s="91"/>
      <c r="AM1637" s="91"/>
      <c r="AN1637" s="91"/>
      <c r="AO1637" s="91"/>
      <c r="AP1637" s="91"/>
      <c r="AQ1637" s="91"/>
      <c r="AR1637" s="91"/>
      <c r="AS1637" s="91"/>
      <c r="AT1637" s="91"/>
      <c r="AU1637" s="91"/>
      <c r="AV1637" s="91"/>
      <c r="AW1637" s="67"/>
      <c r="AX1637" s="160"/>
      <c r="AY1637" s="160"/>
      <c r="AZ1637" s="160"/>
      <c r="BA1637" s="160"/>
      <c r="BB1637" s="160"/>
      <c r="BC1637" s="160"/>
      <c r="BD1637" s="160"/>
      <c r="BE1637" s="160"/>
      <c r="BF1637" s="160"/>
      <c r="BG1637" s="160"/>
      <c r="BH1637" s="160"/>
      <c r="BI1637" s="106"/>
      <c r="BJ1637" s="106"/>
      <c r="BK1637" s="106"/>
      <c r="BL1637" s="106"/>
      <c r="BM1637" s="106"/>
      <c r="BN1637" s="106"/>
      <c r="BO1637" s="106"/>
    </row>
    <row r="1638" spans="25:67" hidden="1" x14ac:dyDescent="0.25">
      <c r="Y1638" s="91"/>
      <c r="Z1638" s="78" t="s">
        <v>756</v>
      </c>
      <c r="AA1638" s="78"/>
      <c r="AB1638" s="78"/>
      <c r="AC1638" s="78"/>
      <c r="AD1638" s="78"/>
      <c r="AE1638" s="78"/>
      <c r="AF1638" s="78"/>
      <c r="AG1638" s="78"/>
      <c r="AH1638" s="78"/>
      <c r="AI1638" s="78"/>
      <c r="AJ1638" s="91"/>
      <c r="AK1638" s="91"/>
      <c r="AL1638" s="91"/>
      <c r="AM1638" s="91"/>
      <c r="AN1638" s="91"/>
      <c r="AO1638" s="91"/>
      <c r="AP1638" s="91"/>
      <c r="AQ1638" s="91"/>
      <c r="AR1638" s="91"/>
      <c r="AS1638" s="91"/>
      <c r="AT1638" s="91"/>
      <c r="AU1638" s="91"/>
      <c r="AV1638" s="91"/>
      <c r="AW1638" s="67"/>
      <c r="AX1638" s="160"/>
      <c r="AY1638" s="160"/>
      <c r="AZ1638" s="160"/>
      <c r="BA1638" s="160"/>
      <c r="BB1638" s="160"/>
      <c r="BC1638" s="160"/>
      <c r="BD1638" s="160"/>
      <c r="BE1638" s="160"/>
      <c r="BF1638" s="160"/>
      <c r="BG1638" s="160"/>
      <c r="BH1638" s="160"/>
      <c r="BI1638" s="106"/>
      <c r="BJ1638" s="106"/>
      <c r="BK1638" s="106"/>
      <c r="BL1638" s="106"/>
      <c r="BM1638" s="106"/>
      <c r="BN1638" s="106"/>
      <c r="BO1638" s="106"/>
    </row>
    <row r="1639" spans="25:67" ht="30" hidden="1" x14ac:dyDescent="0.25">
      <c r="Y1639" s="71">
        <v>5</v>
      </c>
      <c r="Z1639" s="71" t="s">
        <v>757</v>
      </c>
      <c r="AA1639" s="71" t="s">
        <v>758</v>
      </c>
      <c r="AB1639" s="71"/>
      <c r="AC1639" s="72" t="s">
        <v>759</v>
      </c>
      <c r="AD1639" s="72" t="s">
        <v>760</v>
      </c>
      <c r="AE1639" s="72" t="s">
        <v>761</v>
      </c>
      <c r="AF1639" s="72"/>
      <c r="AG1639" s="72" t="s">
        <v>762</v>
      </c>
      <c r="AH1639" s="72" t="s">
        <v>763</v>
      </c>
      <c r="AI1639" s="72" t="s">
        <v>764</v>
      </c>
      <c r="AJ1639" s="91"/>
      <c r="AK1639" s="91"/>
      <c r="AL1639" s="91"/>
      <c r="AM1639" s="91"/>
      <c r="AN1639" s="91"/>
      <c r="AO1639" s="91"/>
      <c r="AP1639" s="91"/>
      <c r="AQ1639" s="91"/>
      <c r="AR1639" s="91"/>
      <c r="AS1639" s="91"/>
      <c r="AT1639" s="91"/>
      <c r="AU1639" s="91"/>
      <c r="AV1639" s="91"/>
      <c r="AW1639" s="67"/>
      <c r="AX1639" s="160"/>
      <c r="AY1639" s="160"/>
      <c r="AZ1639" s="160"/>
      <c r="BA1639" s="160"/>
      <c r="BB1639" s="160"/>
      <c r="BC1639" s="160"/>
      <c r="BD1639" s="160"/>
      <c r="BE1639" s="160"/>
      <c r="BF1639" s="160"/>
      <c r="BG1639" s="160"/>
      <c r="BH1639" s="160"/>
      <c r="BI1639" s="106"/>
      <c r="BJ1639" s="106"/>
      <c r="BK1639" s="106"/>
      <c r="BL1639" s="106"/>
      <c r="BM1639" s="106"/>
      <c r="BN1639" s="106"/>
      <c r="BO1639" s="106"/>
    </row>
    <row r="1640" spans="25:67" hidden="1" x14ac:dyDescent="0.25">
      <c r="Y1640" s="71">
        <v>4</v>
      </c>
      <c r="Z1640" s="71" t="s">
        <v>765</v>
      </c>
      <c r="AA1640" s="71" t="s">
        <v>766</v>
      </c>
      <c r="AB1640" s="74" t="s">
        <v>767</v>
      </c>
      <c r="AC1640" s="85">
        <v>0</v>
      </c>
      <c r="AD1640" s="85">
        <v>0</v>
      </c>
      <c r="AE1640" s="85">
        <v>0</v>
      </c>
      <c r="AF1640" s="85"/>
      <c r="AG1640" s="85">
        <v>1</v>
      </c>
      <c r="AH1640" s="85">
        <v>2</v>
      </c>
      <c r="AI1640" s="437">
        <f>IF(Man03_15=1,$Y$1640,IF(Man03_15=2,$Y$1639,IF(Man03_prereq2&lt;&gt;AIS_Yes,Y1644,Y1641)))</f>
        <v>0</v>
      </c>
      <c r="AJ1640" s="91"/>
      <c r="AK1640" s="91"/>
      <c r="AL1640" s="91"/>
      <c r="AM1640" s="91"/>
      <c r="AN1640" s="91"/>
      <c r="AO1640" s="91"/>
      <c r="AP1640" s="91"/>
      <c r="AQ1640" s="91"/>
      <c r="AR1640" s="91"/>
      <c r="AS1640" s="91"/>
      <c r="AT1640" s="91"/>
      <c r="AU1640" s="91"/>
      <c r="AV1640" s="91"/>
      <c r="AW1640" s="67"/>
      <c r="AX1640" s="160"/>
      <c r="AY1640" s="160"/>
      <c r="AZ1640" s="160"/>
      <c r="BA1640" s="160"/>
      <c r="BB1640" s="160"/>
      <c r="BC1640" s="160"/>
      <c r="BD1640" s="160"/>
      <c r="BE1640" s="160"/>
      <c r="BF1640" s="160"/>
      <c r="BG1640" s="160"/>
      <c r="BH1640" s="160"/>
      <c r="BI1640" s="106"/>
      <c r="BJ1640" s="106"/>
      <c r="BK1640" s="106"/>
      <c r="BL1640" s="106"/>
      <c r="BM1640" s="106"/>
      <c r="BN1640" s="106"/>
      <c r="BO1640" s="106"/>
    </row>
    <row r="1641" spans="25:67" hidden="1" x14ac:dyDescent="0.25">
      <c r="Y1641" s="71">
        <v>3</v>
      </c>
      <c r="Z1641" s="71" t="s">
        <v>768</v>
      </c>
      <c r="AA1641" s="71" t="s">
        <v>769</v>
      </c>
      <c r="AB1641" s="74" t="s">
        <v>770</v>
      </c>
      <c r="AC1641" s="81">
        <v>0</v>
      </c>
      <c r="AD1641" s="81">
        <v>0</v>
      </c>
      <c r="AE1641" s="81">
        <v>0</v>
      </c>
      <c r="AF1641" s="81"/>
      <c r="AG1641" s="81">
        <v>1</v>
      </c>
      <c r="AH1641" s="81">
        <v>1</v>
      </c>
      <c r="AI1641" s="437">
        <f>IF(ADPT=ADPT02,Y1639,IF(Man04_04=AIS_Yes,$Y$1639,$Y$1641))</f>
        <v>3</v>
      </c>
      <c r="AJ1641" s="91"/>
      <c r="AK1641" s="91"/>
      <c r="AL1641" s="91"/>
      <c r="AM1641" s="91"/>
      <c r="AN1641" s="91"/>
      <c r="AO1641" s="91"/>
      <c r="AP1641" s="91"/>
      <c r="AQ1641" s="91"/>
      <c r="AR1641" s="91"/>
      <c r="AS1641" s="91"/>
      <c r="AT1641" s="91"/>
      <c r="AU1641" s="91"/>
      <c r="AV1641" s="91"/>
      <c r="AW1641" s="67"/>
      <c r="AX1641" s="160"/>
      <c r="AY1641" s="160"/>
      <c r="AZ1641" s="160"/>
      <c r="BA1641" s="160"/>
      <c r="BB1641" s="160"/>
      <c r="BC1641" s="160"/>
      <c r="BD1641" s="160"/>
      <c r="BE1641" s="160"/>
      <c r="BF1641" s="160"/>
      <c r="BG1641" s="160"/>
      <c r="BH1641" s="160"/>
      <c r="BI1641" s="106"/>
      <c r="BJ1641" s="106"/>
      <c r="BK1641" s="106"/>
      <c r="BL1641" s="106"/>
      <c r="BM1641" s="106"/>
      <c r="BN1641" s="106"/>
      <c r="BO1641" s="106"/>
    </row>
    <row r="1642" spans="25:67" hidden="1" x14ac:dyDescent="0.25">
      <c r="Y1642" s="71">
        <v>2</v>
      </c>
      <c r="Z1642" s="71" t="s">
        <v>771</v>
      </c>
      <c r="AA1642" s="71" t="s">
        <v>772</v>
      </c>
      <c r="AB1642" s="74" t="s">
        <v>773</v>
      </c>
      <c r="AC1642" s="85">
        <v>0</v>
      </c>
      <c r="AD1642" s="85">
        <v>0</v>
      </c>
      <c r="AE1642" s="85">
        <v>0</v>
      </c>
      <c r="AF1642" s="85"/>
      <c r="AG1642" s="85">
        <v>1</v>
      </c>
      <c r="AH1642" s="85">
        <v>1</v>
      </c>
      <c r="AI1642" s="524">
        <f>IF(OR(ADPT=ADPT02,ADPT=ADPT03),Y1639,IF(Man05_02=AIS_Yes,$Y$1639,$Y$1641))</f>
        <v>3</v>
      </c>
      <c r="AJ1642" s="91"/>
      <c r="AK1642" s="91"/>
      <c r="AL1642" s="91"/>
      <c r="AM1642" s="91"/>
      <c r="AN1642" s="91"/>
      <c r="AO1642" s="91"/>
      <c r="AP1642" s="91"/>
      <c r="AQ1642" s="91"/>
      <c r="AR1642" s="91"/>
      <c r="AS1642" s="91"/>
      <c r="AT1642" s="91"/>
      <c r="AU1642" s="91"/>
      <c r="AV1642" s="91"/>
      <c r="AW1642" s="67"/>
      <c r="AX1642" s="160"/>
      <c r="AY1642" s="160"/>
      <c r="AZ1642" s="160"/>
      <c r="BA1642" s="160"/>
      <c r="BB1642" s="160"/>
      <c r="BC1642" s="160"/>
      <c r="BD1642" s="160"/>
      <c r="BE1642" s="160"/>
      <c r="BF1642" s="160"/>
      <c r="BG1642" s="160"/>
      <c r="BH1642" s="160"/>
      <c r="BI1642" s="106"/>
      <c r="BJ1642" s="106"/>
      <c r="BK1642" s="106"/>
      <c r="BL1642" s="106"/>
      <c r="BM1642" s="106"/>
      <c r="BN1642" s="106"/>
      <c r="BO1642" s="106"/>
    </row>
    <row r="1643" spans="25:67" hidden="1" x14ac:dyDescent="0.25">
      <c r="Y1643" s="71">
        <v>1</v>
      </c>
      <c r="Z1643" s="71" t="s">
        <v>774</v>
      </c>
      <c r="AA1643" s="71" t="s">
        <v>775</v>
      </c>
      <c r="AB1643" s="625" t="s">
        <v>776</v>
      </c>
      <c r="AC1643" s="623" t="s">
        <v>777</v>
      </c>
      <c r="AD1643" s="623" t="s">
        <v>777</v>
      </c>
      <c r="AE1643" s="623" t="s">
        <v>777</v>
      </c>
      <c r="AF1643" s="623"/>
      <c r="AG1643" s="623" t="s">
        <v>777</v>
      </c>
      <c r="AH1643" s="623" t="s">
        <v>777</v>
      </c>
      <c r="AI1643" s="624">
        <f>IF(OR(ADBT0=ADBT8,ADPT&lt;&gt;ADPT01),5,IF(Hea01_prereq=AIS_Yes,5,0))</f>
        <v>5</v>
      </c>
      <c r="AJ1643" s="91"/>
      <c r="AK1643" s="91"/>
      <c r="AL1643" s="91"/>
      <c r="AM1643" s="91"/>
      <c r="AN1643" s="91"/>
      <c r="AO1643" s="91"/>
      <c r="AP1643" s="91"/>
      <c r="AQ1643" s="91"/>
      <c r="AR1643" s="91"/>
      <c r="AS1643" s="91"/>
      <c r="AT1643" s="91"/>
      <c r="AU1643" s="91"/>
      <c r="AV1643" s="91"/>
      <c r="AW1643" s="67"/>
      <c r="AX1643" s="160"/>
      <c r="AY1643" s="160"/>
      <c r="AZ1643" s="160"/>
      <c r="BA1643" s="160"/>
      <c r="BB1643" s="160"/>
      <c r="BC1643" s="160"/>
      <c r="BD1643" s="160"/>
      <c r="BE1643" s="160"/>
      <c r="BF1643" s="160"/>
      <c r="BG1643" s="160"/>
      <c r="BH1643" s="160"/>
      <c r="BI1643" s="106"/>
      <c r="BJ1643" s="106"/>
      <c r="BK1643" s="106"/>
      <c r="BL1643" s="106"/>
      <c r="BM1643" s="106"/>
      <c r="BN1643" s="106"/>
      <c r="BO1643" s="106"/>
    </row>
    <row r="1644" spans="25:67" hidden="1" x14ac:dyDescent="0.25">
      <c r="Y1644" s="71">
        <v>0</v>
      </c>
      <c r="Z1644" s="71" t="s">
        <v>778</v>
      </c>
      <c r="AA1644" s="71" t="s">
        <v>779</v>
      </c>
      <c r="AB1644" s="625" t="s">
        <v>780</v>
      </c>
      <c r="AC1644" s="624">
        <v>0</v>
      </c>
      <c r="AD1644" s="624">
        <v>0</v>
      </c>
      <c r="AE1644" s="624">
        <v>0</v>
      </c>
      <c r="AF1644" s="624"/>
      <c r="AG1644" s="624">
        <v>0</v>
      </c>
      <c r="AH1644" s="624" t="s">
        <v>781</v>
      </c>
      <c r="AI1644" s="624">
        <f>IF(ADBT0&lt;&gt;ADBT8,5,IF(Hea06_02=AIS_Yes,5,4))</f>
        <v>5</v>
      </c>
      <c r="AJ1644" s="91"/>
      <c r="AK1644" s="91"/>
      <c r="AL1644" s="91"/>
      <c r="AM1644" s="91"/>
      <c r="AN1644" s="91"/>
      <c r="AO1644" s="91"/>
      <c r="AP1644" s="91"/>
      <c r="AQ1644" s="91"/>
      <c r="AR1644" s="91"/>
      <c r="AS1644" s="91"/>
      <c r="AT1644" s="91"/>
      <c r="AU1644" s="91"/>
      <c r="AV1644" s="91"/>
      <c r="AW1644" s="67"/>
      <c r="AX1644" s="160"/>
      <c r="AY1644" s="160"/>
      <c r="AZ1644" s="160"/>
      <c r="BA1644" s="160"/>
      <c r="BB1644" s="160"/>
      <c r="BC1644" s="160"/>
      <c r="BD1644" s="160"/>
      <c r="BE1644" s="160"/>
      <c r="BF1644" s="160"/>
      <c r="BG1644" s="160"/>
      <c r="BH1644" s="160"/>
      <c r="BI1644" s="106"/>
      <c r="BJ1644" s="106"/>
      <c r="BK1644" s="106"/>
      <c r="BL1644" s="106"/>
      <c r="BM1644" s="106"/>
      <c r="BN1644" s="106"/>
      <c r="BO1644" s="106"/>
    </row>
    <row r="1645" spans="25:67" hidden="1" x14ac:dyDescent="0.25">
      <c r="Y1645" s="91"/>
      <c r="Z1645" s="91"/>
      <c r="AA1645" s="91"/>
      <c r="AB1645" s="625" t="s">
        <v>782</v>
      </c>
      <c r="AC1645" s="624">
        <v>0</v>
      </c>
      <c r="AD1645" s="624">
        <v>0</v>
      </c>
      <c r="AE1645" s="624">
        <v>0</v>
      </c>
      <c r="AF1645" s="624"/>
      <c r="AG1645" s="624">
        <v>0</v>
      </c>
      <c r="AH1645" s="624">
        <v>1</v>
      </c>
      <c r="AI1645" s="624">
        <f>IF(ADBT0&lt;&gt;ADBT8,5,IF(Hea08_tot=1,5,4))</f>
        <v>5</v>
      </c>
      <c r="AJ1645" s="91"/>
      <c r="AK1645" s="91"/>
      <c r="AL1645" s="91"/>
      <c r="AM1645" s="91"/>
      <c r="AN1645" s="91"/>
      <c r="AO1645" s="91"/>
      <c r="AP1645" s="91"/>
      <c r="AQ1645" s="91"/>
      <c r="AR1645" s="91"/>
      <c r="AS1645" s="91"/>
      <c r="AT1645" s="91"/>
      <c r="AU1645" s="91"/>
      <c r="AV1645" s="91"/>
      <c r="AW1645" s="67"/>
      <c r="AX1645" s="160"/>
      <c r="AY1645" s="160"/>
      <c r="AZ1645" s="160"/>
      <c r="BA1645" s="160"/>
      <c r="BB1645" s="160"/>
      <c r="BC1645" s="160"/>
      <c r="BD1645" s="160"/>
      <c r="BE1645" s="160"/>
      <c r="BF1645" s="160"/>
      <c r="BG1645" s="160"/>
      <c r="BH1645" s="160"/>
      <c r="BI1645" s="106"/>
      <c r="BJ1645" s="106"/>
      <c r="BK1645" s="106"/>
      <c r="BL1645" s="106"/>
      <c r="BM1645" s="106"/>
      <c r="BN1645" s="106"/>
      <c r="BO1645" s="106"/>
    </row>
    <row r="1646" spans="25:67" hidden="1" x14ac:dyDescent="0.25">
      <c r="Y1646" s="91"/>
      <c r="Z1646" s="91"/>
      <c r="AA1646" s="91"/>
      <c r="AB1646" s="625" t="s">
        <v>783</v>
      </c>
      <c r="AC1646" s="623" t="s">
        <v>777</v>
      </c>
      <c r="AD1646" s="623" t="s">
        <v>777</v>
      </c>
      <c r="AE1646" s="623" t="s">
        <v>777</v>
      </c>
      <c r="AF1646" s="3"/>
      <c r="AG1646" s="623" t="s">
        <v>777</v>
      </c>
      <c r="AH1646" s="623" t="s">
        <v>777</v>
      </c>
      <c r="AI1646" s="624">
        <f>IF(Hea09_01=AIS_Yes,5,0)</f>
        <v>0</v>
      </c>
      <c r="AJ1646" s="91"/>
      <c r="AK1646" s="91"/>
      <c r="AL1646" s="91"/>
      <c r="AM1646" s="91"/>
      <c r="AN1646" s="91"/>
      <c r="AO1646" s="91"/>
      <c r="AP1646" s="91"/>
      <c r="AQ1646" s="91"/>
      <c r="AR1646" s="91"/>
      <c r="AS1646" s="91"/>
      <c r="AT1646" s="91"/>
      <c r="AU1646" s="91"/>
      <c r="AV1646" s="91"/>
      <c r="AW1646" s="67"/>
      <c r="AX1646" s="160"/>
      <c r="AY1646" s="160"/>
      <c r="AZ1646" s="160"/>
      <c r="BA1646" s="160"/>
      <c r="BB1646" s="160"/>
      <c r="BC1646" s="160"/>
      <c r="BD1646" s="160"/>
      <c r="BE1646" s="160"/>
      <c r="BF1646" s="160"/>
      <c r="BG1646" s="160"/>
      <c r="BH1646" s="160"/>
      <c r="BI1646" s="106"/>
      <c r="BJ1646" s="106"/>
      <c r="BK1646" s="106"/>
      <c r="BL1646" s="106"/>
      <c r="BM1646" s="106"/>
      <c r="BN1646" s="106"/>
      <c r="BO1646" s="106"/>
    </row>
    <row r="1647" spans="25:67" hidden="1" x14ac:dyDescent="0.25">
      <c r="Y1647" s="91"/>
      <c r="Z1647" s="91"/>
      <c r="AA1647" s="91"/>
      <c r="AB1647" s="74" t="s">
        <v>784</v>
      </c>
      <c r="AC1647" s="85">
        <v>0</v>
      </c>
      <c r="AD1647" s="85">
        <v>0</v>
      </c>
      <c r="AE1647" s="85">
        <v>0</v>
      </c>
      <c r="AF1647" s="85"/>
      <c r="AG1647" s="85">
        <v>6</v>
      </c>
      <c r="AH1647" s="85">
        <v>9</v>
      </c>
      <c r="AI1647" s="524">
        <f>IF(SEne01_Tot&gt;=9,5,IF(SEne01_Tot&gt;=6,4,3))</f>
        <v>3</v>
      </c>
      <c r="AJ1647" s="91"/>
      <c r="AK1647" s="91"/>
      <c r="AL1647" s="91"/>
      <c r="AM1647" s="91"/>
      <c r="AN1647" s="91"/>
      <c r="AO1647" s="91"/>
      <c r="AP1647" s="91"/>
      <c r="AQ1647" s="91"/>
      <c r="AR1647" s="91"/>
      <c r="AS1647" s="91"/>
      <c r="AT1647" s="91"/>
      <c r="AU1647" s="91"/>
      <c r="AV1647" s="91"/>
      <c r="AW1647" s="67"/>
      <c r="AX1647" s="160"/>
      <c r="AY1647" s="160"/>
      <c r="AZ1647" s="160"/>
      <c r="BA1647" s="160"/>
      <c r="BB1647" s="160"/>
      <c r="BC1647" s="160"/>
      <c r="BD1647" s="160"/>
      <c r="BE1647" s="160"/>
      <c r="BF1647" s="160"/>
      <c r="BG1647" s="160"/>
      <c r="BH1647" s="160"/>
      <c r="BI1647" s="106"/>
      <c r="BJ1647" s="106"/>
      <c r="BK1647" s="106"/>
      <c r="BL1647" s="106"/>
      <c r="BM1647" s="106"/>
      <c r="BN1647" s="106"/>
      <c r="BO1647" s="106"/>
    </row>
    <row r="1648" spans="25:67" hidden="1" x14ac:dyDescent="0.25">
      <c r="Y1648" s="91"/>
      <c r="Z1648" s="91"/>
      <c r="AA1648" s="91"/>
      <c r="AB1648" s="74" t="s">
        <v>785</v>
      </c>
      <c r="AC1648" s="85">
        <v>0</v>
      </c>
      <c r="AD1648" s="85">
        <v>0</v>
      </c>
      <c r="AE1648" s="85">
        <v>1</v>
      </c>
      <c r="AF1648" s="85"/>
      <c r="AG1648" s="85">
        <v>1</v>
      </c>
      <c r="AH1648" s="85">
        <v>1</v>
      </c>
      <c r="AI1648" s="85">
        <f>IF(OR(ADPT=ADPT02,ADBT0=ADBT8),Y1639,IF(OR(Ene02_02=AIS_No,Ene02_02=""),$Y$1642,IF(Ene02_02=AIS_Yes,$Y$1639)))</f>
        <v>2</v>
      </c>
      <c r="AJ1648" s="91"/>
      <c r="AK1648" s="91"/>
      <c r="AL1648" s="91"/>
      <c r="AM1648" s="91"/>
      <c r="AN1648" s="91"/>
      <c r="AO1648" s="91"/>
      <c r="AP1648" s="91"/>
      <c r="AQ1648" s="91"/>
      <c r="AR1648" s="91"/>
      <c r="AS1648" s="91"/>
      <c r="AT1648" s="91"/>
      <c r="AU1648" s="91"/>
      <c r="AV1648" s="91"/>
      <c r="AW1648" s="67"/>
      <c r="AX1648" s="160"/>
      <c r="AY1648" s="160"/>
      <c r="AZ1648" s="160"/>
      <c r="BA1648" s="160"/>
      <c r="BB1648" s="160"/>
      <c r="BC1648" s="160"/>
      <c r="BD1648" s="160"/>
      <c r="BE1648" s="160"/>
      <c r="BF1648" s="160"/>
      <c r="BG1648" s="160"/>
      <c r="BH1648" s="160"/>
      <c r="BI1648" s="106"/>
      <c r="BJ1648" s="106"/>
      <c r="BK1648" s="106"/>
      <c r="BL1648" s="106"/>
      <c r="BM1648" s="106"/>
      <c r="BN1648" s="106"/>
      <c r="BO1648" s="106"/>
    </row>
    <row r="1649" spans="25:67" hidden="1" x14ac:dyDescent="0.25">
      <c r="Y1649" s="91"/>
      <c r="Z1649" s="91"/>
      <c r="AA1649" s="91"/>
      <c r="AB1649" s="625" t="s">
        <v>786</v>
      </c>
      <c r="AC1649" s="624">
        <v>0</v>
      </c>
      <c r="AD1649" s="624">
        <v>0</v>
      </c>
      <c r="AE1649" s="624">
        <v>0</v>
      </c>
      <c r="AF1649" s="624"/>
      <c r="AG1649" s="624">
        <v>0</v>
      </c>
      <c r="AH1649" s="624">
        <v>1</v>
      </c>
      <c r="AI1649" s="626">
        <f>IF(Ene04_tot&gt;0,5,4)</f>
        <v>4</v>
      </c>
      <c r="AJ1649" s="91"/>
      <c r="AK1649" s="91"/>
      <c r="AL1649" s="91"/>
      <c r="AM1649" s="91"/>
      <c r="AN1649" s="91"/>
      <c r="AO1649" s="91"/>
      <c r="AP1649" s="91"/>
      <c r="AQ1649" s="91"/>
      <c r="AR1649" s="91"/>
      <c r="AS1649" s="91"/>
      <c r="AT1649" s="91"/>
      <c r="AU1649" s="91"/>
      <c r="AV1649" s="91"/>
      <c r="AW1649" s="67"/>
      <c r="AX1649" s="160"/>
      <c r="AY1649" s="160"/>
      <c r="AZ1649" s="160"/>
      <c r="BA1649" s="160"/>
      <c r="BB1649" s="160"/>
      <c r="BC1649" s="160"/>
      <c r="BD1649" s="160"/>
      <c r="BE1649" s="160"/>
      <c r="BF1649" s="160"/>
      <c r="BG1649" s="160"/>
      <c r="BH1649" s="160"/>
      <c r="BI1649" s="106"/>
      <c r="BJ1649" s="106"/>
      <c r="BK1649" s="106"/>
      <c r="BL1649" s="106"/>
      <c r="BM1649" s="106"/>
      <c r="BN1649" s="106"/>
      <c r="BO1649" s="106"/>
    </row>
    <row r="1650" spans="25:67" hidden="1" x14ac:dyDescent="0.25">
      <c r="Y1650" s="91"/>
      <c r="Z1650" s="91"/>
      <c r="AA1650" s="91"/>
      <c r="AB1650" s="74" t="s">
        <v>787</v>
      </c>
      <c r="AC1650" s="85">
        <v>0</v>
      </c>
      <c r="AD1650" s="85">
        <v>1</v>
      </c>
      <c r="AE1650" s="85">
        <v>1</v>
      </c>
      <c r="AF1650" s="85"/>
      <c r="AG1650" s="85">
        <v>1</v>
      </c>
      <c r="AH1650" s="85">
        <v>2</v>
      </c>
      <c r="AI1650" s="85">
        <f>IF(ADPT=ADPT02,$Y$1639,IF(AND(ADPT=ADPT03,H817=AIS_Yes),$Y$1639,IF(OR(Wat01_tot=0,Wat01_tot=AIS_Missing_data),$Y$1643,IF(Wat01_tot=1,$Y$1640,IF(Wat01_tot&gt;=2,$Y$1639)))))</f>
        <v>1</v>
      </c>
      <c r="AJ1650" s="91"/>
      <c r="AK1650" s="91"/>
      <c r="AL1650" s="91"/>
      <c r="AM1650" s="91"/>
      <c r="AN1650" s="91"/>
      <c r="AO1650" s="91"/>
      <c r="AP1650" s="91"/>
      <c r="AQ1650" s="91"/>
      <c r="AR1650" s="91"/>
      <c r="AS1650" s="91"/>
      <c r="AT1650" s="91"/>
      <c r="AU1650" s="91"/>
      <c r="AV1650" s="91"/>
      <c r="AW1650" s="67"/>
      <c r="AX1650" s="160"/>
      <c r="AY1650" s="160"/>
      <c r="AZ1650" s="160"/>
      <c r="BA1650" s="160"/>
      <c r="BB1650" s="160"/>
      <c r="BC1650" s="160"/>
      <c r="BD1650" s="160"/>
      <c r="BE1650" s="160"/>
      <c r="BF1650" s="160"/>
      <c r="BG1650" s="160"/>
      <c r="BH1650" s="160"/>
      <c r="BI1650" s="106"/>
      <c r="BJ1650" s="106"/>
      <c r="BK1650" s="106"/>
      <c r="BL1650" s="106"/>
      <c r="BM1650" s="106"/>
      <c r="BN1650" s="106"/>
      <c r="BO1650" s="106"/>
    </row>
    <row r="1651" spans="25:67" hidden="1" x14ac:dyDescent="0.25">
      <c r="Y1651" s="91"/>
      <c r="Z1651" s="91"/>
      <c r="AA1651" s="91"/>
      <c r="AB1651" s="74" t="s">
        <v>788</v>
      </c>
      <c r="AC1651" s="85">
        <v>0</v>
      </c>
      <c r="AD1651" s="85" t="s">
        <v>789</v>
      </c>
      <c r="AE1651" s="85" t="s">
        <v>789</v>
      </c>
      <c r="AF1651" s="85"/>
      <c r="AG1651" s="85" t="s">
        <v>789</v>
      </c>
      <c r="AH1651" s="85" t="s">
        <v>789</v>
      </c>
      <c r="AI1651" s="85">
        <f>IF(Wat02_02=AIS_Yes,$Y$1639,$Y$1643)</f>
        <v>1</v>
      </c>
      <c r="AJ1651" s="91"/>
      <c r="AK1651" s="91"/>
      <c r="AL1651" s="91"/>
      <c r="AM1651" s="91"/>
      <c r="AN1651" s="91"/>
      <c r="AO1651" s="91"/>
      <c r="AP1651" s="91"/>
      <c r="AQ1651" s="91"/>
      <c r="AR1651" s="91"/>
      <c r="AS1651" s="91"/>
      <c r="AT1651" s="91"/>
      <c r="AU1651" s="91"/>
      <c r="AV1651" s="91"/>
      <c r="AW1651" s="67"/>
      <c r="AX1651" s="160"/>
      <c r="AY1651" s="160"/>
      <c r="AZ1651" s="160"/>
      <c r="BA1651" s="160"/>
      <c r="BB1651" s="160"/>
      <c r="BC1651" s="160"/>
      <c r="BD1651" s="160"/>
      <c r="BE1651" s="160"/>
      <c r="BF1651" s="160"/>
      <c r="BG1651" s="160"/>
      <c r="BH1651" s="160"/>
      <c r="BI1651" s="106"/>
      <c r="BJ1651" s="106"/>
      <c r="BK1651" s="106"/>
      <c r="BL1651" s="106"/>
      <c r="BM1651" s="106"/>
      <c r="BN1651" s="106"/>
      <c r="BO1651" s="106"/>
    </row>
    <row r="1652" spans="25:67" hidden="1" x14ac:dyDescent="0.25">
      <c r="Y1652" s="91"/>
      <c r="Z1652" s="91"/>
      <c r="AA1652" s="91"/>
      <c r="AB1652" s="74" t="s">
        <v>790</v>
      </c>
      <c r="AC1652" s="85" t="s">
        <v>777</v>
      </c>
      <c r="AD1652" s="85" t="s">
        <v>777</v>
      </c>
      <c r="AE1652" s="85" t="s">
        <v>777</v>
      </c>
      <c r="AF1652" s="85"/>
      <c r="AG1652" s="85" t="s">
        <v>777</v>
      </c>
      <c r="AH1652" s="85" t="s">
        <v>777</v>
      </c>
      <c r="AI1652" s="85">
        <f>IF(Mat03_06=AIS_Yes,$Y$1639,$Y$1644)</f>
        <v>0</v>
      </c>
      <c r="AJ1652" s="91"/>
      <c r="AK1652" s="91"/>
      <c r="AL1652" s="91"/>
      <c r="AM1652" s="91"/>
      <c r="AN1652" s="91"/>
      <c r="AO1652" s="91"/>
      <c r="AP1652" s="91"/>
      <c r="AQ1652" s="91"/>
      <c r="AR1652" s="91"/>
      <c r="AS1652" s="91"/>
      <c r="AT1652" s="91"/>
      <c r="AU1652" s="91"/>
      <c r="AV1652" s="91"/>
      <c r="AW1652" s="67"/>
      <c r="AX1652" s="160"/>
      <c r="AY1652" s="160"/>
      <c r="AZ1652" s="160"/>
      <c r="BA1652" s="160"/>
      <c r="BB1652" s="160"/>
      <c r="BC1652" s="160"/>
      <c r="BD1652" s="160"/>
      <c r="BE1652" s="160"/>
      <c r="BF1652" s="160"/>
      <c r="BG1652" s="160"/>
      <c r="BH1652" s="160"/>
      <c r="BI1652" s="106"/>
      <c r="BJ1652" s="106"/>
      <c r="BK1652" s="106"/>
      <c r="BL1652" s="106"/>
      <c r="BM1652" s="106"/>
      <c r="BN1652" s="106"/>
      <c r="BO1652" s="106"/>
    </row>
    <row r="1653" spans="25:67" hidden="1" x14ac:dyDescent="0.25">
      <c r="Y1653" s="91"/>
      <c r="Z1653" s="91"/>
      <c r="AA1653" s="91"/>
      <c r="AB1653" s="74" t="s">
        <v>791</v>
      </c>
      <c r="AC1653" s="85">
        <v>0</v>
      </c>
      <c r="AD1653" s="85">
        <v>0</v>
      </c>
      <c r="AE1653" s="85">
        <v>0</v>
      </c>
      <c r="AF1653" s="85"/>
      <c r="AG1653" s="85">
        <v>0</v>
      </c>
      <c r="AH1653" s="85">
        <v>1</v>
      </c>
      <c r="AI1653" s="85">
        <f>IF(Wst01_tot&gt;0,$Y$1639,$Y$1640)</f>
        <v>4</v>
      </c>
      <c r="AJ1653" s="91"/>
      <c r="AK1653" s="91"/>
      <c r="AL1653" s="91"/>
      <c r="AM1653" s="91"/>
      <c r="AN1653" s="91"/>
      <c r="AO1653" s="91"/>
      <c r="AP1653" s="91"/>
      <c r="AQ1653" s="91"/>
      <c r="AR1653" s="91"/>
      <c r="AS1653" s="91"/>
      <c r="AT1653" s="91"/>
      <c r="AU1653" s="91"/>
      <c r="AV1653" s="91"/>
      <c r="AW1653" s="67"/>
      <c r="AX1653" s="160"/>
      <c r="AY1653" s="160"/>
      <c r="AZ1653" s="160"/>
      <c r="BA1653" s="160"/>
      <c r="BB1653" s="160"/>
      <c r="BC1653" s="160"/>
      <c r="BD1653" s="160"/>
      <c r="BE1653" s="160"/>
      <c r="BF1653" s="160"/>
      <c r="BG1653" s="160"/>
      <c r="BH1653" s="160"/>
      <c r="BI1653" s="106"/>
      <c r="BJ1653" s="106"/>
      <c r="BK1653" s="106"/>
      <c r="BL1653" s="106"/>
      <c r="BM1653" s="106"/>
      <c r="BN1653" s="106"/>
      <c r="BO1653" s="106"/>
    </row>
    <row r="1654" spans="25:67" hidden="1" x14ac:dyDescent="0.25">
      <c r="Y1654" s="91"/>
      <c r="Z1654" s="91"/>
      <c r="AA1654" s="91"/>
      <c r="AB1654" s="74" t="s">
        <v>792</v>
      </c>
      <c r="AC1654" s="85">
        <v>0</v>
      </c>
      <c r="AD1654" s="85">
        <v>0</v>
      </c>
      <c r="AE1654" s="85">
        <v>0</v>
      </c>
      <c r="AF1654" s="85"/>
      <c r="AG1654" s="85">
        <v>1</v>
      </c>
      <c r="AH1654" s="85">
        <v>1</v>
      </c>
      <c r="AI1654" s="85">
        <f>IF(ADBT0=ADBT8,IF(Wst03b_tot&gt;0,$Y$1639,$Y$1641),IF(Wst03_tot&gt;0,$Y$1639,$Y$1641))</f>
        <v>3</v>
      </c>
      <c r="AJ1654" s="91"/>
      <c r="AK1654" s="91"/>
      <c r="AL1654" s="91"/>
      <c r="AM1654" s="91"/>
      <c r="AN1654" s="91"/>
      <c r="AO1654" s="91"/>
      <c r="AP1654" s="91"/>
      <c r="AQ1654" s="91"/>
      <c r="AR1654" s="91"/>
      <c r="AS1654" s="91"/>
      <c r="AT1654" s="91"/>
      <c r="AU1654" s="91"/>
      <c r="AV1654" s="91"/>
      <c r="AW1654" s="67"/>
      <c r="AX1654" s="160"/>
      <c r="AY1654" s="160"/>
      <c r="AZ1654" s="160"/>
      <c r="BA1654" s="160"/>
      <c r="BB1654" s="160"/>
      <c r="BC1654" s="160"/>
      <c r="BD1654" s="160"/>
      <c r="BE1654" s="160"/>
      <c r="BF1654" s="160"/>
      <c r="BG1654" s="160"/>
      <c r="BH1654" s="160"/>
      <c r="BI1654" s="106"/>
      <c r="BJ1654" s="106"/>
      <c r="BK1654" s="106"/>
      <c r="BL1654" s="106"/>
      <c r="BM1654" s="106"/>
      <c r="BN1654" s="106"/>
      <c r="BO1654" s="106"/>
    </row>
    <row r="1655" spans="25:67" hidden="1" x14ac:dyDescent="0.25">
      <c r="Y1655" s="91"/>
      <c r="Z1655" s="91"/>
      <c r="AA1655" s="91"/>
      <c r="AB1655" s="91"/>
      <c r="AC1655" s="91"/>
      <c r="AD1655" s="91"/>
      <c r="AE1655" s="91"/>
      <c r="AF1655" s="91"/>
      <c r="AG1655" s="91"/>
      <c r="AH1655" s="76" t="s">
        <v>793</v>
      </c>
      <c r="AI1655" s="81">
        <f>MIN(AIS_Minstand)</f>
        <v>0</v>
      </c>
      <c r="AJ1655" s="91"/>
      <c r="AK1655" s="91"/>
      <c r="AL1655" s="91"/>
      <c r="AM1655" s="91"/>
      <c r="AN1655" s="91"/>
      <c r="AO1655" s="91"/>
      <c r="AP1655" s="91"/>
      <c r="AQ1655" s="91"/>
      <c r="AR1655" s="91"/>
      <c r="AS1655" s="91"/>
      <c r="AT1655" s="91"/>
      <c r="AU1655" s="91"/>
      <c r="AV1655" s="91"/>
      <c r="AW1655" s="67"/>
      <c r="AX1655" s="160"/>
      <c r="AY1655" s="160"/>
      <c r="AZ1655" s="160"/>
      <c r="BA1655" s="160"/>
      <c r="BB1655" s="160"/>
      <c r="BC1655" s="160"/>
      <c r="BD1655" s="160"/>
      <c r="BE1655" s="160"/>
      <c r="BF1655" s="160"/>
      <c r="BG1655" s="160"/>
      <c r="BH1655" s="160"/>
      <c r="BI1655" s="106"/>
      <c r="BJ1655" s="106"/>
      <c r="BK1655" s="106"/>
      <c r="BL1655" s="106"/>
      <c r="BM1655" s="106"/>
      <c r="BN1655" s="106"/>
      <c r="BO1655" s="106"/>
    </row>
    <row r="1656" spans="25:67" hidden="1" x14ac:dyDescent="0.25">
      <c r="Y1656" s="91"/>
      <c r="Z1656" s="91"/>
      <c r="AA1656" s="91"/>
      <c r="AB1656" s="91"/>
      <c r="AC1656" s="91"/>
      <c r="AD1656" s="91"/>
      <c r="AE1656" s="91"/>
      <c r="AF1656" s="91"/>
      <c r="AG1656" s="91"/>
      <c r="AH1656" s="66" t="s">
        <v>794</v>
      </c>
      <c r="AI1656" s="81" t="e">
        <f>VLOOKUP(BP_OverallScore,BP_rating_benchmarks,3,TRUE)</f>
        <v>#N/A</v>
      </c>
      <c r="AJ1656" s="91"/>
      <c r="AK1656" s="91"/>
      <c r="AL1656" s="91"/>
      <c r="AM1656" s="91"/>
      <c r="AN1656" s="91"/>
      <c r="AO1656" s="91"/>
      <c r="AP1656" s="91"/>
      <c r="AQ1656" s="91"/>
      <c r="AR1656" s="91"/>
      <c r="AS1656" s="91"/>
      <c r="AT1656" s="91"/>
      <c r="AU1656" s="91"/>
      <c r="AV1656" s="91"/>
      <c r="AW1656" s="67"/>
      <c r="AX1656" s="160"/>
      <c r="AY1656" s="160"/>
      <c r="AZ1656" s="160"/>
      <c r="BA1656" s="160"/>
      <c r="BB1656" s="160"/>
      <c r="BC1656" s="160"/>
      <c r="BD1656" s="160"/>
      <c r="BE1656" s="160"/>
      <c r="BF1656" s="160"/>
      <c r="BG1656" s="160"/>
      <c r="BH1656" s="160"/>
      <c r="BI1656" s="106"/>
      <c r="BJ1656" s="106"/>
      <c r="BK1656" s="106"/>
      <c r="BL1656" s="106"/>
      <c r="BM1656" s="106"/>
      <c r="BN1656" s="106"/>
      <c r="BO1656" s="106"/>
    </row>
    <row r="1657" spans="25:67" hidden="1" x14ac:dyDescent="0.25">
      <c r="Y1657" s="91"/>
      <c r="Z1657" s="91"/>
      <c r="AA1657" s="91"/>
      <c r="AB1657" s="77">
        <v>0</v>
      </c>
      <c r="AC1657" s="77" t="s">
        <v>779</v>
      </c>
      <c r="AD1657" s="81">
        <v>0</v>
      </c>
      <c r="AE1657" s="91"/>
      <c r="AF1657" s="91"/>
      <c r="AG1657" s="91"/>
      <c r="AH1657" s="66" t="s">
        <v>795</v>
      </c>
      <c r="AI1657" s="81" t="e">
        <f>IF(OR(AIS_BREEAM_rating_level=AIS_MinStandMin,AIS_MinStandMin&gt;AIS_BREEAM_rating_level),AIS_Yes,AIS_No)</f>
        <v>#N/A</v>
      </c>
      <c r="AJ1657" s="91"/>
      <c r="AK1657" s="91"/>
      <c r="AL1657" s="91"/>
      <c r="AM1657" s="91"/>
      <c r="AN1657" s="91"/>
      <c r="AO1657" s="91"/>
      <c r="AP1657" s="91"/>
      <c r="AQ1657" s="91"/>
      <c r="AR1657" s="91"/>
      <c r="AS1657" s="91"/>
      <c r="AT1657" s="91"/>
      <c r="AU1657" s="91"/>
      <c r="AV1657" s="91"/>
      <c r="AW1657" s="67"/>
      <c r="AX1657" s="160"/>
      <c r="AY1657" s="160"/>
      <c r="AZ1657" s="160"/>
      <c r="BA1657" s="160"/>
      <c r="BB1657" s="160"/>
      <c r="BC1657" s="160"/>
      <c r="BD1657" s="160"/>
      <c r="BE1657" s="160"/>
      <c r="BF1657" s="160"/>
      <c r="BG1657" s="160"/>
      <c r="BH1657" s="160"/>
      <c r="BI1657" s="106"/>
      <c r="BJ1657" s="106"/>
      <c r="BK1657" s="106"/>
      <c r="BL1657" s="106"/>
      <c r="BM1657" s="106"/>
      <c r="BN1657" s="106"/>
      <c r="BO1657" s="106"/>
    </row>
    <row r="1658" spans="25:67" hidden="1" x14ac:dyDescent="0.25">
      <c r="Y1658" s="91"/>
      <c r="Z1658" s="91"/>
      <c r="AA1658" s="91"/>
      <c r="AB1658" s="77">
        <v>0.3</v>
      </c>
      <c r="AC1658" s="77" t="s">
        <v>775</v>
      </c>
      <c r="AD1658" s="81">
        <v>1</v>
      </c>
      <c r="AE1658" s="91"/>
      <c r="AF1658" s="91"/>
      <c r="AG1658" s="91"/>
      <c r="AH1658" s="91"/>
      <c r="AI1658" s="91"/>
      <c r="AJ1658" s="91"/>
      <c r="AK1658" s="91"/>
      <c r="AL1658" s="91"/>
      <c r="AM1658" s="91"/>
      <c r="AN1658" s="91"/>
      <c r="AO1658" s="91"/>
      <c r="AP1658" s="91"/>
      <c r="AQ1658" s="91"/>
      <c r="AR1658" s="91"/>
      <c r="AS1658" s="91"/>
      <c r="AT1658" s="91"/>
      <c r="AU1658" s="91"/>
      <c r="AV1658" s="91"/>
      <c r="AW1658" s="67"/>
      <c r="AX1658" s="160"/>
      <c r="AY1658" s="160"/>
      <c r="AZ1658" s="160"/>
      <c r="BA1658" s="160"/>
      <c r="BB1658" s="160"/>
      <c r="BC1658" s="160"/>
      <c r="BD1658" s="160"/>
      <c r="BE1658" s="160"/>
      <c r="BF1658" s="160"/>
      <c r="BG1658" s="160"/>
      <c r="BH1658" s="160"/>
      <c r="BI1658" s="106"/>
      <c r="BJ1658" s="106"/>
      <c r="BK1658" s="106"/>
      <c r="BL1658" s="106"/>
      <c r="BM1658" s="106"/>
      <c r="BN1658" s="106"/>
      <c r="BO1658" s="106"/>
    </row>
    <row r="1659" spans="25:67" hidden="1" x14ac:dyDescent="0.25">
      <c r="Y1659" s="67"/>
      <c r="Z1659" s="91"/>
      <c r="AA1659" s="91"/>
      <c r="AB1659" s="77">
        <v>0.45</v>
      </c>
      <c r="AC1659" s="77" t="s">
        <v>772</v>
      </c>
      <c r="AD1659" s="81">
        <v>2</v>
      </c>
      <c r="AE1659" s="91"/>
      <c r="AF1659" s="91"/>
      <c r="AG1659" s="91"/>
      <c r="AH1659" s="91"/>
      <c r="AI1659" s="91"/>
      <c r="AJ1659" s="91"/>
      <c r="AK1659" s="91"/>
      <c r="AL1659" s="91"/>
      <c r="AM1659" s="91"/>
      <c r="AN1659" s="91"/>
      <c r="AO1659" s="91"/>
      <c r="AP1659" s="91"/>
      <c r="AQ1659" s="91"/>
      <c r="AR1659" s="91"/>
      <c r="AS1659" s="91"/>
      <c r="AT1659" s="91"/>
      <c r="AU1659" s="91"/>
      <c r="AV1659" s="91"/>
      <c r="AW1659" s="67"/>
      <c r="AX1659" s="160"/>
      <c r="AY1659" s="160"/>
      <c r="AZ1659" s="160"/>
      <c r="BA1659" s="160"/>
      <c r="BB1659" s="160"/>
      <c r="BC1659" s="160"/>
      <c r="BD1659" s="160"/>
      <c r="BE1659" s="160"/>
      <c r="BF1659" s="160"/>
      <c r="BG1659" s="160"/>
      <c r="BH1659" s="160"/>
      <c r="BI1659" s="106"/>
      <c r="BJ1659" s="106"/>
      <c r="BK1659" s="106"/>
      <c r="BL1659" s="106"/>
      <c r="BM1659" s="106"/>
      <c r="BN1659" s="106"/>
      <c r="BO1659" s="106"/>
    </row>
    <row r="1660" spans="25:67" hidden="1" x14ac:dyDescent="0.25">
      <c r="Y1660" s="91"/>
      <c r="Z1660" s="91"/>
      <c r="AA1660" s="91"/>
      <c r="AB1660" s="77">
        <v>0.55000000000000004</v>
      </c>
      <c r="AC1660" s="77" t="s">
        <v>769</v>
      </c>
      <c r="AD1660" s="81">
        <v>3</v>
      </c>
      <c r="AE1660" s="91"/>
      <c r="AF1660" s="91"/>
      <c r="AG1660" s="91"/>
      <c r="AH1660" s="91"/>
      <c r="AI1660" s="91"/>
      <c r="AJ1660" s="91"/>
      <c r="AK1660" s="91"/>
      <c r="AL1660" s="91"/>
      <c r="AM1660" s="91"/>
      <c r="AN1660" s="91"/>
      <c r="AO1660" s="91"/>
      <c r="AP1660" s="91"/>
      <c r="AQ1660" s="91"/>
      <c r="AR1660" s="91"/>
      <c r="AS1660" s="91"/>
      <c r="AT1660" s="91"/>
      <c r="AU1660" s="91"/>
      <c r="AV1660" s="91"/>
      <c r="AW1660" s="67"/>
      <c r="AX1660" s="160"/>
      <c r="AY1660" s="160"/>
      <c r="AZ1660" s="160"/>
      <c r="BA1660" s="160"/>
      <c r="BB1660" s="160"/>
      <c r="BC1660" s="160"/>
      <c r="BD1660" s="160"/>
      <c r="BE1660" s="160"/>
      <c r="BF1660" s="160"/>
      <c r="BG1660" s="160"/>
      <c r="BH1660" s="160"/>
      <c r="BI1660" s="106"/>
      <c r="BJ1660" s="106"/>
      <c r="BK1660" s="106"/>
      <c r="BL1660" s="106"/>
      <c r="BM1660" s="106"/>
      <c r="BN1660" s="106"/>
      <c r="BO1660" s="106"/>
    </row>
    <row r="1661" spans="25:67" hidden="1" x14ac:dyDescent="0.25">
      <c r="Y1661" s="91"/>
      <c r="Z1661" s="91"/>
      <c r="AA1661" s="91"/>
      <c r="AB1661" s="77">
        <v>0.7</v>
      </c>
      <c r="AC1661" s="77" t="s">
        <v>766</v>
      </c>
      <c r="AD1661" s="81">
        <v>4</v>
      </c>
      <c r="AE1661" s="91"/>
      <c r="AF1661" s="91"/>
      <c r="AG1661" s="91"/>
      <c r="AH1661" s="91"/>
      <c r="AI1661" s="91"/>
      <c r="AJ1661" s="91"/>
      <c r="AK1661" s="91"/>
      <c r="AL1661" s="91"/>
      <c r="AM1661" s="91"/>
      <c r="AN1661" s="91"/>
      <c r="AO1661" s="91"/>
      <c r="AP1661" s="91"/>
      <c r="AQ1661" s="91"/>
      <c r="AR1661" s="91"/>
      <c r="AS1661" s="91"/>
      <c r="AT1661" s="91"/>
      <c r="AU1661" s="91"/>
      <c r="AV1661" s="91"/>
      <c r="AW1661" s="67"/>
      <c r="AX1661" s="160"/>
      <c r="AY1661" s="160"/>
      <c r="AZ1661" s="160"/>
      <c r="BA1661" s="160"/>
      <c r="BB1661" s="160"/>
      <c r="BC1661" s="160"/>
      <c r="BD1661" s="160"/>
      <c r="BE1661" s="160"/>
      <c r="BF1661" s="160"/>
      <c r="BG1661" s="160"/>
      <c r="BH1661" s="160"/>
      <c r="BI1661" s="106"/>
      <c r="BJ1661" s="106"/>
      <c r="BK1661" s="106"/>
      <c r="BL1661" s="106"/>
      <c r="BM1661" s="106"/>
      <c r="BN1661" s="106"/>
      <c r="BO1661" s="106"/>
    </row>
    <row r="1662" spans="25:67" hidden="1" x14ac:dyDescent="0.25">
      <c r="Y1662" s="91"/>
      <c r="Z1662" s="91"/>
      <c r="AA1662" s="91"/>
      <c r="AB1662" s="77">
        <v>0.85</v>
      </c>
      <c r="AC1662" s="77" t="s">
        <v>758</v>
      </c>
      <c r="AD1662" s="81">
        <v>5</v>
      </c>
      <c r="AE1662" s="91"/>
      <c r="AF1662" s="91"/>
      <c r="AG1662" s="91"/>
      <c r="AH1662" s="91"/>
      <c r="AI1662" s="91"/>
      <c r="AJ1662" s="91"/>
      <c r="AK1662" s="91"/>
      <c r="AL1662" s="91"/>
      <c r="AM1662" s="91"/>
      <c r="AN1662" s="91"/>
      <c r="AO1662" s="91"/>
      <c r="AP1662" s="91"/>
      <c r="AQ1662" s="91"/>
      <c r="AR1662" s="91"/>
      <c r="AS1662" s="91"/>
      <c r="AT1662" s="91"/>
      <c r="AU1662" s="91"/>
      <c r="AV1662" s="91"/>
      <c r="AW1662" s="67"/>
      <c r="AX1662" s="160"/>
      <c r="AY1662" s="160"/>
      <c r="AZ1662" s="160"/>
      <c r="BA1662" s="160"/>
      <c r="BB1662" s="160"/>
      <c r="BC1662" s="160"/>
      <c r="BD1662" s="160"/>
      <c r="BE1662" s="160"/>
      <c r="BF1662" s="160"/>
      <c r="BG1662" s="160"/>
      <c r="BH1662" s="160"/>
      <c r="BI1662" s="106"/>
      <c r="BJ1662" s="106"/>
      <c r="BK1662" s="106"/>
      <c r="BL1662" s="106"/>
      <c r="BM1662" s="106"/>
      <c r="BN1662" s="106"/>
      <c r="BO1662" s="106"/>
    </row>
    <row r="1663" spans="25:67" hidden="1" x14ac:dyDescent="0.25">
      <c r="Y1663" s="91"/>
      <c r="Z1663" s="91"/>
      <c r="AA1663" s="91"/>
      <c r="AB1663" s="438"/>
      <c r="AC1663" s="91"/>
      <c r="AD1663" s="91"/>
      <c r="AE1663" s="91"/>
      <c r="AF1663" s="91"/>
      <c r="AG1663" s="91"/>
      <c r="AH1663" s="91"/>
      <c r="AI1663" s="91"/>
      <c r="AJ1663" s="91"/>
      <c r="AK1663" s="91"/>
      <c r="AL1663" s="91"/>
      <c r="AM1663" s="91"/>
      <c r="AN1663" s="91"/>
      <c r="AO1663" s="91"/>
      <c r="AP1663" s="91"/>
      <c r="AQ1663" s="91"/>
      <c r="AR1663" s="91"/>
      <c r="AS1663" s="91"/>
      <c r="AT1663" s="91"/>
      <c r="AU1663" s="91"/>
      <c r="AV1663" s="91"/>
      <c r="AW1663" s="67"/>
      <c r="AX1663" s="160"/>
      <c r="AY1663" s="160"/>
      <c r="AZ1663" s="160"/>
      <c r="BA1663" s="160"/>
      <c r="BB1663" s="160"/>
      <c r="BC1663" s="160"/>
      <c r="BD1663" s="160"/>
      <c r="BE1663" s="160"/>
      <c r="BF1663" s="160"/>
      <c r="BG1663" s="160"/>
      <c r="BH1663" s="160"/>
      <c r="BI1663" s="106"/>
      <c r="BJ1663" s="106"/>
      <c r="BK1663" s="106"/>
      <c r="BL1663" s="106"/>
      <c r="BM1663" s="106"/>
      <c r="BN1663" s="106"/>
      <c r="BO1663" s="106"/>
    </row>
    <row r="1664" spans="25:67" hidden="1" x14ac:dyDescent="0.25">
      <c r="Y1664" s="91"/>
      <c r="Z1664" s="91"/>
      <c r="AA1664" s="91"/>
      <c r="AB1664" s="438"/>
      <c r="AC1664" s="91"/>
      <c r="AD1664" s="91"/>
      <c r="AE1664" s="91"/>
      <c r="AF1664" s="91"/>
      <c r="AG1664" s="91"/>
      <c r="AH1664" s="91"/>
      <c r="AI1664" s="91"/>
      <c r="AJ1664" s="91"/>
      <c r="AK1664" s="91"/>
      <c r="AL1664" s="91"/>
      <c r="AM1664" s="91"/>
      <c r="AN1664" s="91"/>
      <c r="AO1664" s="91"/>
      <c r="AP1664" s="91"/>
      <c r="AQ1664" s="91"/>
      <c r="AR1664" s="91"/>
      <c r="AS1664" s="91"/>
      <c r="AT1664" s="91"/>
      <c r="AU1664" s="91"/>
      <c r="AV1664" s="91"/>
      <c r="AW1664" s="67"/>
      <c r="AX1664" s="160"/>
      <c r="AY1664" s="160"/>
      <c r="AZ1664" s="160"/>
      <c r="BA1664" s="160"/>
      <c r="BB1664" s="160"/>
      <c r="BC1664" s="160"/>
      <c r="BD1664" s="160"/>
      <c r="BE1664" s="160"/>
      <c r="BF1664" s="160"/>
      <c r="BG1664" s="160"/>
      <c r="BH1664" s="160"/>
      <c r="BI1664" s="106"/>
      <c r="BJ1664" s="106"/>
      <c r="BK1664" s="106"/>
      <c r="BL1664" s="106"/>
      <c r="BM1664" s="106"/>
      <c r="BN1664" s="106"/>
      <c r="BO1664" s="106"/>
    </row>
    <row r="1665" spans="25:67" hidden="1" x14ac:dyDescent="0.25">
      <c r="Y1665" s="91"/>
      <c r="Z1665" s="91"/>
      <c r="AA1665" s="91"/>
      <c r="AB1665" s="438"/>
      <c r="AC1665" s="91"/>
      <c r="AD1665" s="91"/>
      <c r="AE1665" s="91"/>
      <c r="AF1665" s="91"/>
      <c r="AG1665" s="91"/>
      <c r="AH1665" s="91"/>
      <c r="AI1665" s="91"/>
      <c r="AJ1665" s="91"/>
      <c r="AK1665" s="91"/>
      <c r="AL1665" s="91"/>
      <c r="AM1665" s="91"/>
      <c r="AN1665" s="91"/>
      <c r="AO1665" s="91"/>
      <c r="AP1665" s="91"/>
      <c r="AQ1665" s="91"/>
      <c r="AR1665" s="91"/>
      <c r="AS1665" s="91"/>
      <c r="AT1665" s="91"/>
      <c r="AU1665" s="91"/>
      <c r="AV1665" s="91"/>
      <c r="AW1665" s="67"/>
      <c r="AX1665" s="160"/>
      <c r="AY1665" s="160"/>
      <c r="AZ1665" s="160"/>
      <c r="BA1665" s="160"/>
      <c r="BB1665" s="160"/>
      <c r="BC1665" s="160"/>
      <c r="BD1665" s="160"/>
      <c r="BE1665" s="160"/>
      <c r="BF1665" s="160"/>
      <c r="BG1665" s="160"/>
      <c r="BH1665" s="160"/>
      <c r="BI1665" s="106"/>
      <c r="BJ1665" s="106"/>
      <c r="BK1665" s="106"/>
      <c r="BL1665" s="106"/>
      <c r="BM1665" s="106"/>
      <c r="BN1665" s="106"/>
      <c r="BO1665" s="106"/>
    </row>
    <row r="1666" spans="25:67" hidden="1" x14ac:dyDescent="0.25">
      <c r="Y1666" s="91"/>
      <c r="Z1666" s="91"/>
      <c r="AA1666" s="91"/>
      <c r="AB1666" s="438"/>
      <c r="AC1666" s="91"/>
      <c r="AD1666" s="91"/>
      <c r="AE1666" s="91"/>
      <c r="AF1666" s="91"/>
      <c r="AG1666" s="91"/>
      <c r="AH1666" s="91"/>
      <c r="AI1666" s="91"/>
      <c r="AJ1666" s="91"/>
      <c r="AK1666" s="91"/>
      <c r="AL1666" s="91"/>
      <c r="AM1666" s="91"/>
      <c r="AN1666" s="91"/>
      <c r="AO1666" s="91"/>
      <c r="AP1666" s="91"/>
      <c r="AQ1666" s="91"/>
      <c r="AR1666" s="91"/>
      <c r="AS1666" s="91"/>
      <c r="AT1666" s="91"/>
      <c r="AU1666" s="91"/>
      <c r="AV1666" s="91"/>
      <c r="AW1666" s="67"/>
      <c r="AX1666" s="160"/>
      <c r="AY1666" s="160"/>
      <c r="AZ1666" s="160"/>
      <c r="BA1666" s="160"/>
      <c r="BB1666" s="160"/>
      <c r="BC1666" s="160"/>
      <c r="BD1666" s="160"/>
      <c r="BE1666" s="160"/>
      <c r="BF1666" s="160"/>
      <c r="BG1666" s="160"/>
      <c r="BH1666" s="160"/>
      <c r="BI1666" s="106"/>
      <c r="BJ1666" s="106"/>
      <c r="BK1666" s="106"/>
      <c r="BL1666" s="106"/>
      <c r="BM1666" s="106"/>
      <c r="BN1666" s="106"/>
      <c r="BO1666" s="106"/>
    </row>
    <row r="1667" spans="25:67" hidden="1" x14ac:dyDescent="0.25">
      <c r="Y1667" s="91"/>
      <c r="Z1667" s="91"/>
      <c r="AA1667" s="91"/>
      <c r="AB1667" s="438"/>
      <c r="AC1667" s="91"/>
      <c r="AD1667" s="91"/>
      <c r="AE1667" s="91"/>
      <c r="AF1667" s="91"/>
      <c r="AG1667" s="91"/>
      <c r="AH1667" s="91"/>
      <c r="AI1667" s="91"/>
      <c r="AJ1667" s="91"/>
      <c r="AK1667" s="91"/>
      <c r="AL1667" s="91"/>
      <c r="AM1667" s="91"/>
      <c r="AN1667" s="91"/>
      <c r="AO1667" s="91"/>
      <c r="AP1667" s="91"/>
      <c r="AQ1667" s="91"/>
      <c r="AR1667" s="91"/>
      <c r="AS1667" s="91"/>
      <c r="AT1667" s="91"/>
      <c r="AU1667" s="91"/>
      <c r="AV1667" s="91"/>
      <c r="AW1667" s="67"/>
      <c r="AX1667" s="160"/>
      <c r="AY1667" s="160"/>
      <c r="AZ1667" s="160"/>
      <c r="BA1667" s="160"/>
      <c r="BB1667" s="160"/>
      <c r="BC1667" s="160"/>
      <c r="BD1667" s="160"/>
      <c r="BE1667" s="160"/>
      <c r="BF1667" s="160"/>
      <c r="BG1667" s="160"/>
      <c r="BH1667" s="160"/>
      <c r="BI1667" s="106"/>
      <c r="BJ1667" s="106"/>
      <c r="BK1667" s="106"/>
      <c r="BL1667" s="106"/>
      <c r="BM1667" s="106"/>
      <c r="BN1667" s="106"/>
      <c r="BO1667" s="106"/>
    </row>
    <row r="1668" spans="25:67" hidden="1" x14ac:dyDescent="0.25">
      <c r="Y1668" s="91"/>
      <c r="Z1668" s="91"/>
      <c r="AA1668" s="91"/>
      <c r="AB1668" s="438"/>
      <c r="AC1668" s="91"/>
      <c r="AD1668" s="91"/>
      <c r="AE1668" s="91"/>
      <c r="AF1668" s="91"/>
      <c r="AG1668" s="91"/>
      <c r="AH1668" s="91"/>
      <c r="AI1668" s="91"/>
      <c r="AJ1668" s="91"/>
      <c r="AK1668" s="91"/>
      <c r="AL1668" s="91"/>
      <c r="AM1668" s="91"/>
      <c r="AN1668" s="91"/>
      <c r="AO1668" s="91"/>
      <c r="AP1668" s="91"/>
      <c r="AQ1668" s="91"/>
      <c r="AR1668" s="91"/>
      <c r="AS1668" s="91"/>
      <c r="AT1668" s="91"/>
      <c r="AU1668" s="91"/>
      <c r="AV1668" s="91"/>
      <c r="AW1668" s="67"/>
      <c r="AX1668" s="160"/>
      <c r="AY1668" s="160"/>
      <c r="AZ1668" s="160"/>
      <c r="BA1668" s="160"/>
      <c r="BB1668" s="160"/>
      <c r="BC1668" s="160"/>
      <c r="BD1668" s="160"/>
      <c r="BE1668" s="160"/>
      <c r="BF1668" s="160"/>
      <c r="BG1668" s="160"/>
      <c r="BH1668" s="160"/>
      <c r="BI1668" s="106"/>
      <c r="BJ1668" s="106"/>
      <c r="BK1668" s="106"/>
      <c r="BL1668" s="106"/>
      <c r="BM1668" s="106"/>
      <c r="BN1668" s="106"/>
      <c r="BO1668" s="106"/>
    </row>
    <row r="1669" spans="25:67" hidden="1" x14ac:dyDescent="0.25">
      <c r="Y1669" s="91"/>
      <c r="Z1669" s="91"/>
      <c r="AA1669" s="91"/>
      <c r="AB1669" s="438"/>
      <c r="AC1669" s="91"/>
      <c r="AD1669" s="91"/>
      <c r="AE1669" s="91"/>
      <c r="AF1669" s="91"/>
      <c r="AG1669" s="91"/>
      <c r="AH1669" s="91"/>
      <c r="AI1669" s="91"/>
      <c r="AJ1669" s="91"/>
      <c r="AK1669" s="91"/>
      <c r="AL1669" s="91"/>
      <c r="AM1669" s="91"/>
      <c r="AN1669" s="91"/>
      <c r="AO1669" s="91"/>
      <c r="AP1669" s="91"/>
      <c r="AQ1669" s="91"/>
      <c r="AR1669" s="91"/>
      <c r="AS1669" s="91"/>
      <c r="AT1669" s="91"/>
      <c r="AU1669" s="91"/>
      <c r="AV1669" s="91"/>
      <c r="AW1669" s="67"/>
      <c r="AX1669" s="160"/>
      <c r="AY1669" s="160"/>
      <c r="AZ1669" s="160"/>
      <c r="BA1669" s="160"/>
      <c r="BB1669" s="160"/>
      <c r="BC1669" s="160"/>
      <c r="BD1669" s="160"/>
      <c r="BE1669" s="160"/>
      <c r="BF1669" s="160"/>
      <c r="BG1669" s="160"/>
      <c r="BH1669" s="160"/>
      <c r="BI1669" s="106"/>
      <c r="BJ1669" s="106"/>
      <c r="BK1669" s="106"/>
      <c r="BL1669" s="106"/>
      <c r="BM1669" s="106"/>
      <c r="BN1669" s="106"/>
      <c r="BO1669" s="106"/>
    </row>
    <row r="1670" spans="25:67" hidden="1" x14ac:dyDescent="0.25">
      <c r="Y1670" s="91"/>
      <c r="Z1670" s="91"/>
      <c r="AA1670" s="91"/>
      <c r="AB1670" s="438"/>
      <c r="AC1670" s="91"/>
      <c r="AD1670" s="91"/>
      <c r="AE1670" s="91"/>
      <c r="AF1670" s="91"/>
      <c r="AG1670" s="91"/>
      <c r="AH1670" s="91"/>
      <c r="AI1670" s="91"/>
      <c r="AJ1670" s="91"/>
      <c r="AK1670" s="91"/>
      <c r="AL1670" s="91"/>
      <c r="AM1670" s="91"/>
      <c r="AN1670" s="91"/>
      <c r="AO1670" s="91"/>
      <c r="AP1670" s="91"/>
      <c r="AQ1670" s="91"/>
      <c r="AR1670" s="91"/>
      <c r="AS1670" s="91"/>
      <c r="AT1670" s="91"/>
      <c r="AU1670" s="91"/>
      <c r="AV1670" s="91"/>
      <c r="AW1670" s="67"/>
      <c r="AX1670" s="160"/>
      <c r="AY1670" s="160"/>
      <c r="AZ1670" s="160"/>
      <c r="BA1670" s="160"/>
      <c r="BB1670" s="160"/>
      <c r="BC1670" s="160"/>
      <c r="BD1670" s="160"/>
      <c r="BE1670" s="160"/>
      <c r="BF1670" s="160"/>
      <c r="BG1670" s="160"/>
      <c r="BH1670" s="160"/>
      <c r="BI1670" s="106"/>
      <c r="BJ1670" s="106"/>
      <c r="BK1670" s="106"/>
      <c r="BL1670" s="106"/>
      <c r="BM1670" s="106"/>
      <c r="BN1670" s="106"/>
      <c r="BO1670" s="106"/>
    </row>
    <row r="1671" spans="25:67" hidden="1" x14ac:dyDescent="0.25">
      <c r="Y1671" s="91"/>
      <c r="Z1671" s="91"/>
      <c r="AA1671" s="91"/>
      <c r="AB1671" s="438"/>
      <c r="AC1671" s="91"/>
      <c r="AD1671" s="91"/>
      <c r="AE1671" s="91"/>
      <c r="AF1671" s="91"/>
      <c r="AG1671" s="91"/>
      <c r="AH1671" s="91"/>
      <c r="AI1671" s="91"/>
      <c r="AJ1671" s="91"/>
      <c r="AK1671" s="91"/>
      <c r="AL1671" s="91"/>
      <c r="AM1671" s="91"/>
      <c r="AN1671" s="91"/>
      <c r="AO1671" s="91"/>
      <c r="AP1671" s="91"/>
      <c r="AQ1671" s="91"/>
      <c r="AR1671" s="91"/>
      <c r="AS1671" s="91"/>
      <c r="AT1671" s="91"/>
      <c r="AU1671" s="91"/>
      <c r="AV1671" s="91"/>
      <c r="AW1671" s="67"/>
      <c r="AX1671" s="160"/>
      <c r="AY1671" s="160"/>
      <c r="AZ1671" s="160"/>
      <c r="BA1671" s="160"/>
      <c r="BB1671" s="160"/>
      <c r="BC1671" s="160"/>
      <c r="BD1671" s="160"/>
      <c r="BE1671" s="160"/>
      <c r="BF1671" s="160"/>
      <c r="BG1671" s="160"/>
      <c r="BH1671" s="160"/>
      <c r="BI1671" s="106"/>
      <c r="BJ1671" s="106"/>
      <c r="BK1671" s="106"/>
      <c r="BL1671" s="106"/>
      <c r="BM1671" s="106"/>
      <c r="BN1671" s="106"/>
      <c r="BO1671" s="106"/>
    </row>
    <row r="1672" spans="25:67" hidden="1" x14ac:dyDescent="0.25">
      <c r="Y1672" s="91"/>
      <c r="Z1672" s="91"/>
      <c r="AA1672" s="91"/>
      <c r="AB1672" s="438"/>
      <c r="AC1672" s="91"/>
      <c r="AD1672" s="91"/>
      <c r="AE1672" s="91"/>
      <c r="AF1672" s="91"/>
      <c r="AG1672" s="91"/>
      <c r="AH1672" s="91"/>
      <c r="AI1672" s="91"/>
      <c r="AJ1672" s="91"/>
      <c r="AK1672" s="91"/>
      <c r="AL1672" s="91"/>
      <c r="AM1672" s="91"/>
      <c r="AN1672" s="91"/>
      <c r="AO1672" s="91"/>
      <c r="AP1672" s="91"/>
      <c r="AQ1672" s="91"/>
      <c r="AR1672" s="91"/>
      <c r="AS1672" s="91"/>
      <c r="AT1672" s="91"/>
      <c r="AU1672" s="91"/>
      <c r="AV1672" s="91"/>
      <c r="AW1672" s="67"/>
      <c r="AX1672" s="160"/>
      <c r="AY1672" s="160"/>
      <c r="AZ1672" s="160"/>
      <c r="BA1672" s="160"/>
      <c r="BB1672" s="160"/>
      <c r="BC1672" s="160"/>
      <c r="BD1672" s="160"/>
      <c r="BE1672" s="160"/>
      <c r="BF1672" s="160"/>
      <c r="BG1672" s="160"/>
      <c r="BH1672" s="160"/>
      <c r="BI1672" s="106"/>
      <c r="BJ1672" s="106"/>
      <c r="BK1672" s="106"/>
      <c r="BL1672" s="106"/>
      <c r="BM1672" s="106"/>
      <c r="BN1672" s="106"/>
      <c r="BO1672" s="106"/>
    </row>
    <row r="1673" spans="25:67" hidden="1" x14ac:dyDescent="0.25">
      <c r="Y1673" s="91"/>
      <c r="Z1673" s="91"/>
      <c r="AA1673" s="91"/>
      <c r="AB1673" s="438"/>
      <c r="AC1673" s="91"/>
      <c r="AD1673" s="91"/>
      <c r="AE1673" s="91"/>
      <c r="AF1673" s="91"/>
      <c r="AG1673" s="91"/>
      <c r="AH1673" s="91"/>
      <c r="AI1673" s="91"/>
      <c r="AJ1673" s="91"/>
      <c r="AK1673" s="91"/>
      <c r="AL1673" s="91"/>
      <c r="AM1673" s="91"/>
      <c r="AN1673" s="91"/>
      <c r="AO1673" s="91"/>
      <c r="AP1673" s="91"/>
      <c r="AQ1673" s="91"/>
      <c r="AR1673" s="91"/>
      <c r="AS1673" s="91"/>
      <c r="AT1673" s="91"/>
      <c r="AU1673" s="91"/>
      <c r="AV1673" s="91"/>
      <c r="AW1673" s="67"/>
      <c r="AX1673" s="160"/>
      <c r="AY1673" s="160"/>
      <c r="AZ1673" s="160"/>
      <c r="BA1673" s="160"/>
      <c r="BB1673" s="160"/>
      <c r="BC1673" s="160"/>
      <c r="BD1673" s="160"/>
      <c r="BE1673" s="160"/>
      <c r="BF1673" s="160"/>
      <c r="BG1673" s="160"/>
      <c r="BH1673" s="160"/>
      <c r="BI1673" s="106"/>
      <c r="BJ1673" s="106"/>
      <c r="BK1673" s="106"/>
      <c r="BL1673" s="106"/>
      <c r="BM1673" s="106"/>
      <c r="BN1673" s="106"/>
      <c r="BO1673" s="106"/>
    </row>
    <row r="1674" spans="25:67" hidden="1" x14ac:dyDescent="0.25">
      <c r="Y1674" s="91"/>
      <c r="Z1674" s="91"/>
      <c r="AA1674" s="91"/>
      <c r="AB1674" s="438"/>
      <c r="AC1674" s="91"/>
      <c r="AD1674" s="91"/>
      <c r="AE1674" s="91"/>
      <c r="AF1674" s="91"/>
      <c r="AG1674" s="91"/>
      <c r="AH1674" s="91"/>
      <c r="AI1674" s="91"/>
      <c r="AJ1674" s="91"/>
      <c r="AK1674" s="91"/>
      <c r="AL1674" s="91"/>
      <c r="AM1674" s="91"/>
      <c r="AN1674" s="91"/>
      <c r="AO1674" s="91"/>
      <c r="AP1674" s="91"/>
      <c r="AQ1674" s="91"/>
      <c r="AR1674" s="91"/>
      <c r="AS1674" s="91"/>
      <c r="AT1674" s="91"/>
      <c r="AU1674" s="91"/>
      <c r="AV1674" s="91"/>
      <c r="AW1674" s="67"/>
      <c r="AX1674" s="160"/>
      <c r="AY1674" s="160"/>
      <c r="AZ1674" s="160"/>
      <c r="BA1674" s="160"/>
      <c r="BB1674" s="160"/>
      <c r="BC1674" s="160"/>
      <c r="BD1674" s="160"/>
      <c r="BE1674" s="160"/>
      <c r="BF1674" s="160"/>
      <c r="BG1674" s="160"/>
      <c r="BH1674" s="160"/>
      <c r="BI1674" s="106"/>
      <c r="BJ1674" s="106"/>
      <c r="BK1674" s="106"/>
      <c r="BL1674" s="106"/>
      <c r="BM1674" s="106"/>
      <c r="BN1674" s="106"/>
      <c r="BO1674" s="106"/>
    </row>
    <row r="1675" spans="25:67" hidden="1" x14ac:dyDescent="0.25">
      <c r="Y1675" s="91"/>
      <c r="Z1675" s="91"/>
      <c r="AA1675" s="91"/>
      <c r="AB1675" s="438"/>
      <c r="AC1675" s="91"/>
      <c r="AD1675" s="91"/>
      <c r="AE1675" s="91"/>
      <c r="AF1675" s="91"/>
      <c r="AG1675" s="91"/>
      <c r="AH1675" s="91"/>
      <c r="AI1675" s="91"/>
      <c r="AJ1675" s="91"/>
      <c r="AK1675" s="91"/>
      <c r="AL1675" s="91"/>
      <c r="AM1675" s="91"/>
      <c r="AN1675" s="91"/>
      <c r="AO1675" s="91"/>
      <c r="AP1675" s="91"/>
      <c r="AQ1675" s="91"/>
      <c r="AR1675" s="91"/>
      <c r="AS1675" s="91"/>
      <c r="AT1675" s="91"/>
      <c r="AU1675" s="91"/>
      <c r="AV1675" s="91"/>
      <c r="AW1675" s="67"/>
      <c r="AX1675" s="160"/>
      <c r="AY1675" s="160"/>
      <c r="AZ1675" s="160"/>
      <c r="BA1675" s="160"/>
      <c r="BB1675" s="160"/>
      <c r="BC1675" s="160"/>
      <c r="BD1675" s="160"/>
      <c r="BE1675" s="160"/>
      <c r="BF1675" s="160"/>
      <c r="BG1675" s="160"/>
      <c r="BH1675" s="160"/>
      <c r="BI1675" s="106"/>
      <c r="BJ1675" s="106"/>
      <c r="BK1675" s="106"/>
      <c r="BL1675" s="106"/>
      <c r="BM1675" s="106"/>
      <c r="BN1675" s="106"/>
      <c r="BO1675" s="106"/>
    </row>
    <row r="1676" spans="25:67" hidden="1" x14ac:dyDescent="0.25">
      <c r="Y1676" s="91"/>
      <c r="Z1676" s="91"/>
      <c r="AA1676" s="91"/>
      <c r="AB1676" s="438"/>
      <c r="AC1676" s="91"/>
      <c r="AD1676" s="91"/>
      <c r="AE1676" s="91"/>
      <c r="AF1676" s="91"/>
      <c r="AG1676" s="91"/>
      <c r="AH1676" s="91"/>
      <c r="AI1676" s="91"/>
      <c r="AJ1676" s="91"/>
      <c r="AK1676" s="91"/>
      <c r="AL1676" s="91"/>
      <c r="AM1676" s="91"/>
      <c r="AN1676" s="91"/>
      <c r="AO1676" s="91"/>
      <c r="AP1676" s="91"/>
      <c r="AQ1676" s="91"/>
      <c r="AR1676" s="91"/>
      <c r="AS1676" s="91"/>
      <c r="AT1676" s="91"/>
      <c r="AU1676" s="91"/>
      <c r="AV1676" s="91"/>
      <c r="AW1676" s="67"/>
      <c r="AX1676" s="160"/>
      <c r="AY1676" s="160"/>
      <c r="AZ1676" s="160"/>
      <c r="BA1676" s="160"/>
      <c r="BB1676" s="160"/>
      <c r="BC1676" s="160"/>
      <c r="BD1676" s="160"/>
      <c r="BE1676" s="160"/>
      <c r="BF1676" s="160"/>
      <c r="BG1676" s="160"/>
      <c r="BH1676" s="160"/>
      <c r="BI1676" s="106"/>
      <c r="BJ1676" s="106"/>
      <c r="BK1676" s="106"/>
      <c r="BL1676" s="106"/>
      <c r="BM1676" s="106"/>
      <c r="BN1676" s="106"/>
      <c r="BO1676" s="106"/>
    </row>
    <row r="1677" spans="25:67" hidden="1" x14ac:dyDescent="0.25">
      <c r="Y1677" s="91"/>
      <c r="Z1677" s="91"/>
      <c r="AA1677" s="91"/>
      <c r="AB1677" s="438"/>
      <c r="AC1677" s="91"/>
      <c r="AD1677" s="91"/>
      <c r="AE1677" s="91"/>
      <c r="AF1677" s="91"/>
      <c r="AG1677" s="91"/>
      <c r="AH1677" s="91"/>
      <c r="AI1677" s="91"/>
      <c r="AJ1677" s="91"/>
      <c r="AK1677" s="91"/>
      <c r="AL1677" s="91"/>
      <c r="AM1677" s="91"/>
      <c r="AN1677" s="91"/>
      <c r="AO1677" s="91"/>
      <c r="AP1677" s="91"/>
      <c r="AQ1677" s="91"/>
      <c r="AR1677" s="91"/>
      <c r="AS1677" s="91"/>
      <c r="AT1677" s="91"/>
      <c r="AU1677" s="91"/>
      <c r="AV1677" s="91"/>
      <c r="AW1677" s="67"/>
      <c r="AX1677" s="160"/>
      <c r="AY1677" s="160"/>
      <c r="AZ1677" s="160"/>
      <c r="BA1677" s="160"/>
      <c r="BB1677" s="160"/>
      <c r="BC1677" s="160"/>
      <c r="BD1677" s="160"/>
      <c r="BE1677" s="160"/>
      <c r="BF1677" s="160"/>
      <c r="BG1677" s="160"/>
      <c r="BH1677" s="160"/>
      <c r="BI1677" s="106"/>
      <c r="BJ1677" s="106"/>
      <c r="BK1677" s="106"/>
      <c r="BL1677" s="106"/>
      <c r="BM1677" s="106"/>
      <c r="BN1677" s="106"/>
      <c r="BO1677" s="106"/>
    </row>
    <row r="1678" spans="25:67" hidden="1" x14ac:dyDescent="0.25">
      <c r="Y1678" s="91"/>
      <c r="Z1678" s="91"/>
      <c r="AA1678" s="91"/>
      <c r="AB1678" s="438"/>
      <c r="AC1678" s="91"/>
      <c r="AD1678" s="91"/>
      <c r="AE1678" s="91"/>
      <c r="AF1678" s="91"/>
      <c r="AG1678" s="91"/>
      <c r="AH1678" s="91"/>
      <c r="AI1678" s="91"/>
      <c r="AJ1678" s="91"/>
      <c r="AK1678" s="91"/>
      <c r="AL1678" s="91"/>
      <c r="AM1678" s="91"/>
      <c r="AN1678" s="91"/>
      <c r="AO1678" s="91"/>
      <c r="AP1678" s="91"/>
      <c r="AQ1678" s="91"/>
      <c r="AR1678" s="91"/>
      <c r="AS1678" s="91"/>
      <c r="AT1678" s="91"/>
      <c r="AU1678" s="91"/>
      <c r="AV1678" s="91"/>
      <c r="AW1678" s="67"/>
      <c r="AX1678" s="160"/>
      <c r="AY1678" s="160"/>
      <c r="AZ1678" s="160"/>
      <c r="BA1678" s="160"/>
      <c r="BB1678" s="160"/>
      <c r="BC1678" s="160"/>
      <c r="BD1678" s="160"/>
      <c r="BE1678" s="160"/>
      <c r="BF1678" s="160"/>
      <c r="BG1678" s="160"/>
      <c r="BH1678" s="160"/>
      <c r="BI1678" s="106"/>
      <c r="BJ1678" s="106"/>
      <c r="BK1678" s="106"/>
      <c r="BL1678" s="106"/>
      <c r="BM1678" s="106"/>
      <c r="BN1678" s="106"/>
      <c r="BO1678" s="106"/>
    </row>
    <row r="1679" spans="25:67" hidden="1" x14ac:dyDescent="0.25">
      <c r="Y1679" s="91"/>
      <c r="Z1679" s="91"/>
      <c r="AA1679" s="91"/>
      <c r="AB1679" s="438"/>
      <c r="AC1679" s="91"/>
      <c r="AD1679" s="91"/>
      <c r="AE1679" s="91"/>
      <c r="AF1679" s="91"/>
      <c r="AG1679" s="91"/>
      <c r="AH1679" s="91"/>
      <c r="AI1679" s="91"/>
      <c r="AJ1679" s="91"/>
      <c r="AK1679" s="91"/>
      <c r="AL1679" s="91"/>
      <c r="AM1679" s="91"/>
      <c r="AN1679" s="91"/>
      <c r="AO1679" s="91"/>
      <c r="AP1679" s="91"/>
      <c r="AQ1679" s="91"/>
      <c r="AR1679" s="91"/>
      <c r="AS1679" s="91"/>
      <c r="AT1679" s="91"/>
      <c r="AU1679" s="91"/>
      <c r="AV1679" s="91"/>
      <c r="AW1679" s="67"/>
      <c r="AX1679" s="160"/>
      <c r="AY1679" s="160"/>
      <c r="AZ1679" s="160"/>
      <c r="BA1679" s="160"/>
      <c r="BB1679" s="160"/>
      <c r="BC1679" s="160"/>
      <c r="BD1679" s="160"/>
      <c r="BE1679" s="160"/>
      <c r="BF1679" s="160"/>
      <c r="BG1679" s="160"/>
      <c r="BH1679" s="160"/>
      <c r="BI1679" s="106"/>
      <c r="BJ1679" s="106"/>
      <c r="BK1679" s="106"/>
      <c r="BL1679" s="106"/>
      <c r="BM1679" s="106"/>
      <c r="BN1679" s="106"/>
      <c r="BO1679" s="106"/>
    </row>
    <row r="1680" spans="25:67" hidden="1" x14ac:dyDescent="0.25">
      <c r="Y1680" s="91"/>
      <c r="Z1680" s="78" t="s">
        <v>796</v>
      </c>
      <c r="AA1680" s="91"/>
      <c r="AB1680" s="91"/>
      <c r="AC1680" s="91"/>
      <c r="AD1680" s="91"/>
      <c r="AE1680" s="91"/>
      <c r="AF1680" s="91"/>
      <c r="AG1680" s="91"/>
      <c r="AH1680" s="91"/>
      <c r="AI1680" s="91"/>
      <c r="AJ1680" s="91"/>
      <c r="AK1680" s="91"/>
      <c r="AL1680" s="91"/>
      <c r="AM1680" s="91"/>
      <c r="AN1680" s="91"/>
      <c r="AO1680" s="91"/>
      <c r="AP1680" s="91"/>
      <c r="AQ1680" s="91"/>
      <c r="AR1680" s="91"/>
      <c r="AS1680" s="91"/>
      <c r="AT1680" s="91"/>
      <c r="AU1680" s="91"/>
      <c r="AV1680" s="91"/>
      <c r="AW1680" s="67"/>
      <c r="AX1680" s="160"/>
      <c r="AY1680" s="160"/>
      <c r="AZ1680" s="160"/>
      <c r="BA1680" s="160"/>
      <c r="BB1680" s="160"/>
      <c r="BC1680" s="160"/>
      <c r="BD1680" s="160"/>
      <c r="BE1680" s="160"/>
      <c r="BF1680" s="160"/>
      <c r="BG1680" s="160"/>
      <c r="BH1680" s="160"/>
      <c r="BI1680" s="106"/>
      <c r="BJ1680" s="106"/>
      <c r="BK1680" s="106"/>
      <c r="BL1680" s="106"/>
      <c r="BM1680" s="106"/>
      <c r="BN1680" s="106"/>
      <c r="BO1680" s="106"/>
    </row>
    <row r="1681" spans="25:67" hidden="1" x14ac:dyDescent="0.25">
      <c r="Y1681" s="91"/>
      <c r="Z1681" s="78"/>
      <c r="AA1681" s="91"/>
      <c r="AB1681" s="91"/>
      <c r="AC1681" s="91"/>
      <c r="AD1681" s="91"/>
      <c r="AE1681" s="91"/>
      <c r="AF1681" s="91"/>
      <c r="AG1681" s="91"/>
      <c r="AH1681" s="91"/>
      <c r="AI1681" s="91"/>
      <c r="AJ1681" s="91"/>
      <c r="AK1681" s="91"/>
      <c r="AL1681" s="91"/>
      <c r="AM1681" s="91"/>
      <c r="AN1681" s="91"/>
      <c r="AO1681" s="91"/>
      <c r="AP1681" s="91"/>
      <c r="AQ1681" s="91"/>
      <c r="AR1681" s="91"/>
      <c r="AS1681" s="91"/>
      <c r="AT1681" s="91"/>
      <c r="AU1681" s="91"/>
      <c r="AV1681" s="91"/>
      <c r="AW1681" s="67"/>
      <c r="AX1681" s="160"/>
      <c r="AY1681" s="160"/>
      <c r="AZ1681" s="160"/>
      <c r="BA1681" s="160"/>
      <c r="BB1681" s="160"/>
      <c r="BC1681" s="160"/>
      <c r="BD1681" s="160"/>
      <c r="BE1681" s="160"/>
      <c r="BF1681" s="160"/>
      <c r="BG1681" s="160"/>
      <c r="BH1681" s="160"/>
      <c r="BI1681" s="106"/>
      <c r="BJ1681" s="106"/>
      <c r="BK1681" s="106"/>
      <c r="BL1681" s="106"/>
      <c r="BM1681" s="106"/>
      <c r="BN1681" s="106"/>
      <c r="BO1681" s="106"/>
    </row>
    <row r="1682" spans="25:67" hidden="1" x14ac:dyDescent="0.25">
      <c r="Y1682" s="91"/>
      <c r="Z1682" s="91" t="s">
        <v>797</v>
      </c>
      <c r="AA1682" s="91"/>
      <c r="AB1682" s="91"/>
      <c r="AC1682" s="91"/>
      <c r="AD1682" s="91"/>
      <c r="AE1682" s="91"/>
      <c r="AF1682" s="91"/>
      <c r="AG1682" s="91"/>
      <c r="AH1682" s="91"/>
      <c r="AI1682" s="91"/>
      <c r="AJ1682" s="91"/>
      <c r="AK1682" s="91"/>
      <c r="AL1682" s="91"/>
      <c r="AM1682" s="91"/>
      <c r="AN1682" s="91"/>
      <c r="AO1682" s="91"/>
      <c r="AP1682" s="91"/>
      <c r="AQ1682" s="91"/>
      <c r="AR1682" s="91"/>
      <c r="AS1682" s="91"/>
      <c r="AT1682" s="91"/>
      <c r="AU1682" s="91"/>
      <c r="AV1682" s="91"/>
      <c r="AW1682" s="67"/>
      <c r="AX1682" s="160"/>
      <c r="AY1682" s="160"/>
      <c r="AZ1682" s="160"/>
      <c r="BA1682" s="160"/>
      <c r="BB1682" s="160"/>
      <c r="BC1682" s="160"/>
      <c r="BD1682" s="160"/>
      <c r="BE1682" s="160"/>
      <c r="BF1682" s="160"/>
      <c r="BG1682" s="160"/>
      <c r="BH1682" s="160"/>
      <c r="BI1682" s="106"/>
      <c r="BJ1682" s="106"/>
      <c r="BK1682" s="106"/>
      <c r="BL1682" s="106"/>
      <c r="BM1682" s="106"/>
      <c r="BN1682" s="106"/>
      <c r="BO1682" s="106"/>
    </row>
    <row r="1683" spans="25:67" hidden="1" x14ac:dyDescent="0.25">
      <c r="Y1683" s="91"/>
      <c r="Z1683" s="91" t="s">
        <v>798</v>
      </c>
      <c r="AA1683" s="91"/>
      <c r="AB1683" s="91"/>
      <c r="AC1683" s="91"/>
      <c r="AD1683" s="91"/>
      <c r="AE1683" s="91"/>
      <c r="AF1683" s="91"/>
      <c r="AG1683" s="91"/>
      <c r="AH1683" s="91"/>
      <c r="AI1683" s="91"/>
      <c r="AJ1683" s="91"/>
      <c r="AK1683" s="91"/>
      <c r="AL1683" s="91"/>
      <c r="AM1683" s="91"/>
      <c r="AN1683" s="91"/>
      <c r="AO1683" s="91"/>
      <c r="AP1683" s="91"/>
      <c r="AQ1683" s="91"/>
      <c r="AR1683" s="91"/>
      <c r="AS1683" s="91"/>
      <c r="AT1683" s="91"/>
      <c r="AU1683" s="91"/>
      <c r="AV1683" s="91"/>
      <c r="AW1683" s="67"/>
      <c r="AX1683" s="160"/>
      <c r="AY1683" s="160"/>
      <c r="AZ1683" s="160"/>
      <c r="BA1683" s="160"/>
      <c r="BB1683" s="160"/>
      <c r="BC1683" s="160"/>
      <c r="BD1683" s="160"/>
      <c r="BE1683" s="160"/>
      <c r="BF1683" s="160"/>
      <c r="BG1683" s="160"/>
      <c r="BH1683" s="160"/>
      <c r="BI1683" s="106"/>
      <c r="BJ1683" s="106"/>
      <c r="BK1683" s="106"/>
      <c r="BL1683" s="106"/>
      <c r="BM1683" s="106"/>
      <c r="BN1683" s="106"/>
      <c r="BO1683" s="106"/>
    </row>
    <row r="1684" spans="25:67" hidden="1" x14ac:dyDescent="0.25">
      <c r="Y1684" s="91"/>
      <c r="Z1684" s="91" t="s">
        <v>799</v>
      </c>
      <c r="AA1684" s="91"/>
      <c r="AB1684" s="91"/>
      <c r="AC1684" s="91"/>
      <c r="AD1684" s="91"/>
      <c r="AE1684" s="91"/>
      <c r="AF1684" s="91"/>
      <c r="AG1684" s="91"/>
      <c r="AH1684" s="91"/>
      <c r="AI1684" s="91"/>
      <c r="AJ1684" s="91"/>
      <c r="AK1684" s="91"/>
      <c r="AL1684" s="91"/>
      <c r="AM1684" s="91"/>
      <c r="AN1684" s="91"/>
      <c r="AO1684" s="91"/>
      <c r="AP1684" s="91"/>
      <c r="AQ1684" s="91"/>
      <c r="AR1684" s="91"/>
      <c r="AS1684" s="91"/>
      <c r="AT1684" s="91"/>
      <c r="AU1684" s="91"/>
      <c r="AV1684" s="91"/>
      <c r="AW1684" s="67"/>
      <c r="AX1684" s="160"/>
      <c r="AY1684" s="160"/>
      <c r="AZ1684" s="160"/>
      <c r="BA1684" s="160"/>
      <c r="BB1684" s="160"/>
      <c r="BC1684" s="160"/>
      <c r="BD1684" s="160"/>
      <c r="BE1684" s="160"/>
      <c r="BF1684" s="160"/>
      <c r="BG1684" s="160"/>
      <c r="BH1684" s="160"/>
      <c r="BI1684" s="106"/>
      <c r="BJ1684" s="106"/>
      <c r="BK1684" s="106"/>
      <c r="BL1684" s="106"/>
      <c r="BM1684" s="106"/>
      <c r="BN1684" s="106"/>
      <c r="BO1684" s="106"/>
    </row>
    <row r="1685" spans="25:67" hidden="1" x14ac:dyDescent="0.25">
      <c r="Y1685" s="91"/>
      <c r="Z1685" s="91"/>
      <c r="AA1685" s="91"/>
      <c r="AB1685" s="91"/>
      <c r="AC1685" s="91"/>
      <c r="AD1685" s="91"/>
      <c r="AE1685" s="91"/>
      <c r="AF1685" s="91"/>
      <c r="AG1685" s="91"/>
      <c r="AH1685" s="91"/>
      <c r="AI1685" s="91"/>
      <c r="AJ1685" s="91"/>
      <c r="AK1685" s="91"/>
      <c r="AL1685" s="91"/>
      <c r="AM1685" s="91"/>
      <c r="AN1685" s="91"/>
      <c r="AO1685" s="91"/>
      <c r="AP1685" s="91"/>
      <c r="AQ1685" s="91"/>
      <c r="AR1685" s="91"/>
      <c r="AS1685" s="91"/>
      <c r="AT1685" s="91"/>
      <c r="AU1685" s="91"/>
      <c r="AV1685" s="91"/>
      <c r="AW1685" s="67"/>
      <c r="AX1685" s="160"/>
      <c r="AY1685" s="160"/>
      <c r="AZ1685" s="160"/>
      <c r="BA1685" s="160"/>
      <c r="BB1685" s="160"/>
      <c r="BC1685" s="160"/>
      <c r="BD1685" s="160"/>
      <c r="BE1685" s="160"/>
      <c r="BF1685" s="160"/>
      <c r="BG1685" s="160"/>
      <c r="BH1685" s="160"/>
      <c r="BI1685" s="106"/>
      <c r="BJ1685" s="106"/>
      <c r="BK1685" s="106"/>
      <c r="BL1685" s="106"/>
      <c r="BM1685" s="106"/>
      <c r="BN1685" s="106"/>
      <c r="BO1685" s="106"/>
    </row>
    <row r="1686" spans="25:67" hidden="1" x14ac:dyDescent="0.25">
      <c r="Y1686" s="91"/>
      <c r="Z1686" s="91" t="s">
        <v>800</v>
      </c>
      <c r="AA1686" s="91"/>
      <c r="AB1686" s="91"/>
      <c r="AC1686" s="91"/>
      <c r="AD1686" s="91"/>
      <c r="AE1686" s="91"/>
      <c r="AF1686" s="91"/>
      <c r="AG1686" s="91"/>
      <c r="AH1686" s="91"/>
      <c r="AI1686" s="91"/>
      <c r="AJ1686" s="91"/>
      <c r="AK1686" s="91"/>
      <c r="AL1686" s="91"/>
      <c r="AM1686" s="91"/>
      <c r="AN1686" s="91"/>
      <c r="AO1686" s="91"/>
      <c r="AP1686" s="91"/>
      <c r="AQ1686" s="91"/>
      <c r="AR1686" s="91"/>
      <c r="AS1686" s="91"/>
      <c r="AT1686" s="91"/>
      <c r="AU1686" s="91"/>
      <c r="AV1686" s="91"/>
      <c r="AW1686" s="67"/>
      <c r="AX1686" s="160"/>
      <c r="AY1686" s="160"/>
      <c r="AZ1686" s="160"/>
      <c r="BA1686" s="160"/>
      <c r="BB1686" s="160"/>
      <c r="BC1686" s="160"/>
      <c r="BD1686" s="160"/>
      <c r="BE1686" s="160"/>
      <c r="BF1686" s="160"/>
      <c r="BG1686" s="160"/>
      <c r="BH1686" s="160"/>
      <c r="BI1686" s="106"/>
      <c r="BJ1686" s="106"/>
      <c r="BK1686" s="106"/>
      <c r="BL1686" s="106"/>
      <c r="BM1686" s="106"/>
      <c r="BN1686" s="106"/>
      <c r="BO1686" s="106"/>
    </row>
    <row r="1687" spans="25:67" hidden="1" x14ac:dyDescent="0.25">
      <c r="Y1687" s="91"/>
      <c r="Z1687" s="91"/>
      <c r="AA1687" s="91"/>
      <c r="AB1687" s="91"/>
      <c r="AC1687" s="91"/>
      <c r="AD1687" s="91"/>
      <c r="AE1687" s="91"/>
      <c r="AF1687" s="91"/>
      <c r="AG1687" s="91"/>
      <c r="AH1687" s="91"/>
      <c r="AI1687" s="91"/>
      <c r="AJ1687" s="91"/>
      <c r="AK1687" s="91"/>
      <c r="AL1687" s="91"/>
      <c r="AM1687" s="91"/>
      <c r="AN1687" s="91"/>
      <c r="AO1687" s="91"/>
      <c r="AP1687" s="91"/>
      <c r="AQ1687" s="91"/>
      <c r="AR1687" s="91"/>
      <c r="AS1687" s="91"/>
      <c r="AT1687" s="91"/>
      <c r="AU1687" s="91"/>
      <c r="AV1687" s="91"/>
      <c r="AW1687" s="67"/>
      <c r="AX1687" s="160"/>
      <c r="AY1687" s="160"/>
      <c r="AZ1687" s="160"/>
      <c r="BA1687" s="160"/>
      <c r="BB1687" s="160"/>
      <c r="BC1687" s="160"/>
      <c r="BD1687" s="160"/>
      <c r="BE1687" s="160"/>
      <c r="BF1687" s="160"/>
      <c r="BG1687" s="160"/>
      <c r="BH1687" s="160"/>
      <c r="BI1687" s="106"/>
      <c r="BJ1687" s="106"/>
      <c r="BK1687" s="106"/>
      <c r="BL1687" s="106"/>
      <c r="BM1687" s="106"/>
      <c r="BN1687" s="106"/>
      <c r="BO1687" s="106"/>
    </row>
    <row r="1688" spans="25:67" hidden="1" x14ac:dyDescent="0.25">
      <c r="Y1688" s="91"/>
      <c r="Z1688" s="91"/>
      <c r="AA1688" s="91"/>
      <c r="AB1688" s="91"/>
      <c r="AC1688" s="91"/>
      <c r="AD1688" s="91"/>
      <c r="AE1688" s="91"/>
      <c r="AF1688" s="91"/>
      <c r="AG1688" s="91"/>
      <c r="AH1688" s="91"/>
      <c r="AI1688" s="91"/>
      <c r="AJ1688" s="91"/>
      <c r="AK1688" s="91"/>
      <c r="AL1688" s="91"/>
      <c r="AM1688" s="91"/>
      <c r="AN1688" s="91"/>
      <c r="AO1688" s="91"/>
      <c r="AP1688" s="91"/>
      <c r="AQ1688" s="91"/>
      <c r="AR1688" s="91"/>
      <c r="AS1688" s="91"/>
      <c r="AT1688" s="91"/>
      <c r="AU1688" s="91"/>
      <c r="AV1688" s="91"/>
      <c r="AW1688" s="67"/>
      <c r="AX1688" s="160"/>
      <c r="AY1688" s="160"/>
      <c r="AZ1688" s="160"/>
      <c r="BA1688" s="160"/>
      <c r="BB1688" s="160"/>
      <c r="BC1688" s="160"/>
      <c r="BD1688" s="160"/>
      <c r="BE1688" s="160"/>
      <c r="BF1688" s="160"/>
      <c r="BG1688" s="160"/>
      <c r="BH1688" s="160"/>
      <c r="BI1688" s="106"/>
      <c r="BJ1688" s="106"/>
      <c r="BK1688" s="106"/>
      <c r="BL1688" s="106"/>
      <c r="BM1688" s="106"/>
      <c r="BN1688" s="106"/>
      <c r="BO1688" s="106"/>
    </row>
    <row r="1689" spans="25:67" hidden="1" x14ac:dyDescent="0.25">
      <c r="Y1689" s="91"/>
      <c r="Z1689" s="91" t="s">
        <v>801</v>
      </c>
      <c r="AA1689" s="91"/>
      <c r="AB1689" s="91"/>
      <c r="AC1689" s="91"/>
      <c r="AD1689" s="91"/>
      <c r="AE1689" s="91"/>
      <c r="AF1689" s="91"/>
      <c r="AG1689" s="91"/>
      <c r="AH1689" s="91"/>
      <c r="AI1689" s="91"/>
      <c r="AJ1689" s="91"/>
      <c r="AK1689" s="91"/>
      <c r="AL1689" s="91"/>
      <c r="AM1689" s="91"/>
      <c r="AN1689" s="91"/>
      <c r="AO1689" s="91"/>
      <c r="AP1689" s="91"/>
      <c r="AQ1689" s="91"/>
      <c r="AR1689" s="91"/>
      <c r="AS1689" s="91"/>
      <c r="AT1689" s="91"/>
      <c r="AU1689" s="91"/>
      <c r="AV1689" s="91"/>
      <c r="AW1689" s="67"/>
      <c r="AX1689" s="160"/>
      <c r="AY1689" s="160"/>
      <c r="AZ1689" s="160"/>
      <c r="BA1689" s="160"/>
      <c r="BB1689" s="160"/>
      <c r="BC1689" s="160"/>
      <c r="BD1689" s="160"/>
      <c r="BE1689" s="160"/>
      <c r="BF1689" s="160"/>
      <c r="BG1689" s="160"/>
      <c r="BH1689" s="160"/>
      <c r="BI1689" s="106"/>
      <c r="BJ1689" s="106"/>
      <c r="BK1689" s="106"/>
      <c r="BL1689" s="106"/>
      <c r="BM1689" s="106"/>
      <c r="BN1689" s="106"/>
      <c r="BO1689" s="106"/>
    </row>
    <row r="1690" spans="25:67" hidden="1" x14ac:dyDescent="0.25">
      <c r="Y1690" s="91"/>
      <c r="Z1690" s="91" t="s">
        <v>802</v>
      </c>
      <c r="AA1690" s="91"/>
      <c r="AB1690" s="91"/>
      <c r="AC1690" s="91"/>
      <c r="AD1690" s="91"/>
      <c r="AE1690" s="91"/>
      <c r="AF1690" s="91"/>
      <c r="AG1690" s="91"/>
      <c r="AH1690" s="91"/>
      <c r="AI1690" s="91"/>
      <c r="AJ1690" s="91"/>
      <c r="AK1690" s="91"/>
      <c r="AL1690" s="91"/>
      <c r="AM1690" s="91"/>
      <c r="AN1690" s="91"/>
      <c r="AO1690" s="91"/>
      <c r="AP1690" s="91"/>
      <c r="AQ1690" s="91"/>
      <c r="AR1690" s="91"/>
      <c r="AS1690" s="91"/>
      <c r="AT1690" s="91"/>
      <c r="AU1690" s="91"/>
      <c r="AV1690" s="91"/>
      <c r="AW1690" s="67"/>
      <c r="AX1690" s="160"/>
      <c r="AY1690" s="160"/>
      <c r="AZ1690" s="160"/>
      <c r="BA1690" s="160"/>
      <c r="BB1690" s="160"/>
      <c r="BC1690" s="160"/>
      <c r="BD1690" s="160"/>
      <c r="BE1690" s="160"/>
      <c r="BF1690" s="160"/>
      <c r="BG1690" s="160"/>
      <c r="BH1690" s="160"/>
      <c r="BI1690" s="106"/>
      <c r="BJ1690" s="106"/>
      <c r="BK1690" s="106"/>
      <c r="BL1690" s="106"/>
      <c r="BM1690" s="106"/>
      <c r="BN1690" s="106"/>
      <c r="BO1690" s="106"/>
    </row>
    <row r="1691" spans="25:67" hidden="1" x14ac:dyDescent="0.25">
      <c r="Y1691" s="91"/>
      <c r="Z1691" s="91" t="s">
        <v>803</v>
      </c>
      <c r="AA1691" s="91"/>
      <c r="AB1691" s="91"/>
      <c r="AC1691" s="91"/>
      <c r="AD1691" s="91"/>
      <c r="AE1691" s="91"/>
      <c r="AF1691" s="91"/>
      <c r="AG1691" s="91"/>
      <c r="AH1691" s="91"/>
      <c r="AI1691" s="91"/>
      <c r="AJ1691" s="91"/>
      <c r="AK1691" s="91"/>
      <c r="AL1691" s="91"/>
      <c r="AM1691" s="91"/>
      <c r="AN1691" s="91"/>
      <c r="AO1691" s="91"/>
      <c r="AP1691" s="91"/>
      <c r="AQ1691" s="91"/>
      <c r="AR1691" s="91"/>
      <c r="AS1691" s="91"/>
      <c r="AT1691" s="91"/>
      <c r="AU1691" s="91"/>
      <c r="AV1691" s="91"/>
      <c r="AW1691" s="67"/>
      <c r="AX1691" s="160"/>
      <c r="AY1691" s="160"/>
      <c r="AZ1691" s="160"/>
      <c r="BA1691" s="160"/>
      <c r="BB1691" s="160"/>
      <c r="BC1691" s="160"/>
      <c r="BD1691" s="160"/>
      <c r="BE1691" s="160"/>
      <c r="BF1691" s="160"/>
      <c r="BG1691" s="160"/>
      <c r="BH1691" s="160"/>
      <c r="BI1691" s="106"/>
      <c r="BJ1691" s="106"/>
      <c r="BK1691" s="106"/>
      <c r="BL1691" s="106"/>
      <c r="BM1691" s="106"/>
      <c r="BN1691" s="106"/>
      <c r="BO1691" s="106"/>
    </row>
    <row r="1692" spans="25:67" hidden="1" x14ac:dyDescent="0.25">
      <c r="Y1692" s="91"/>
      <c r="Z1692" s="91" t="s">
        <v>804</v>
      </c>
      <c r="AA1692" s="91"/>
      <c r="AB1692" s="91"/>
      <c r="AC1692" s="91"/>
      <c r="AD1692" s="91"/>
      <c r="AE1692" s="91"/>
      <c r="AF1692" s="91"/>
      <c r="AG1692" s="91"/>
      <c r="AH1692" s="91"/>
      <c r="AI1692" s="91"/>
      <c r="AJ1692" s="91"/>
      <c r="AK1692" s="91"/>
      <c r="AL1692" s="91"/>
      <c r="AM1692" s="91"/>
      <c r="AN1692" s="91"/>
      <c r="AO1692" s="91"/>
      <c r="AP1692" s="91"/>
      <c r="AQ1692" s="91"/>
      <c r="AR1692" s="91"/>
      <c r="AS1692" s="91"/>
      <c r="AT1692" s="91"/>
      <c r="AU1692" s="91"/>
      <c r="AV1692" s="91"/>
      <c r="AW1692" s="67"/>
      <c r="AX1692" s="160"/>
      <c r="AY1692" s="160"/>
      <c r="AZ1692" s="160"/>
      <c r="BA1692" s="160"/>
      <c r="BB1692" s="160"/>
      <c r="BC1692" s="160"/>
      <c r="BD1692" s="160"/>
      <c r="BE1692" s="160"/>
      <c r="BF1692" s="160"/>
      <c r="BG1692" s="160"/>
      <c r="BH1692" s="160"/>
      <c r="BI1692" s="106"/>
      <c r="BJ1692" s="106"/>
      <c r="BK1692" s="106"/>
      <c r="BL1692" s="106"/>
      <c r="BM1692" s="106"/>
      <c r="BN1692" s="106"/>
      <c r="BO1692" s="106"/>
    </row>
    <row r="1693" spans="25:67" hidden="1" x14ac:dyDescent="0.25">
      <c r="Y1693" s="91"/>
      <c r="Z1693" s="91" t="s">
        <v>805</v>
      </c>
      <c r="AA1693" s="91"/>
      <c r="AB1693" s="91"/>
      <c r="AC1693" s="91"/>
      <c r="AD1693" s="91"/>
      <c r="AE1693" s="91"/>
      <c r="AF1693" s="91"/>
      <c r="AG1693" s="91"/>
      <c r="AH1693" s="91"/>
      <c r="AI1693" s="91"/>
      <c r="AJ1693" s="91"/>
      <c r="AK1693" s="91"/>
      <c r="AL1693" s="91"/>
      <c r="AM1693" s="91"/>
      <c r="AN1693" s="91"/>
      <c r="AO1693" s="91"/>
      <c r="AP1693" s="91"/>
      <c r="AQ1693" s="91"/>
      <c r="AR1693" s="91"/>
      <c r="AS1693" s="91"/>
      <c r="AT1693" s="91"/>
      <c r="AU1693" s="91"/>
      <c r="AV1693" s="91"/>
      <c r="AW1693" s="67"/>
      <c r="AX1693" s="160"/>
      <c r="AY1693" s="160"/>
      <c r="AZ1693" s="160"/>
      <c r="BA1693" s="160"/>
      <c r="BB1693" s="160"/>
      <c r="BC1693" s="160"/>
      <c r="BD1693" s="160"/>
      <c r="BE1693" s="160"/>
      <c r="BF1693" s="160"/>
      <c r="BG1693" s="160"/>
      <c r="BH1693" s="160"/>
      <c r="BI1693" s="106"/>
      <c r="BJ1693" s="106"/>
      <c r="BK1693" s="106"/>
      <c r="BL1693" s="106"/>
      <c r="BM1693" s="106"/>
      <c r="BN1693" s="106"/>
      <c r="BO1693" s="106"/>
    </row>
    <row r="1694" spans="25:67" hidden="1" x14ac:dyDescent="0.25">
      <c r="Y1694" s="91"/>
      <c r="Z1694" s="91" t="s">
        <v>806</v>
      </c>
      <c r="AA1694" s="91"/>
      <c r="AB1694" s="91"/>
      <c r="AC1694" s="91"/>
      <c r="AD1694" s="91"/>
      <c r="AE1694" s="91"/>
      <c r="AF1694" s="91"/>
      <c r="AG1694" s="91"/>
      <c r="AH1694" s="91"/>
      <c r="AI1694" s="91"/>
      <c r="AJ1694" s="91"/>
      <c r="AK1694" s="91"/>
      <c r="AL1694" s="91"/>
      <c r="AM1694" s="91"/>
      <c r="AN1694" s="91"/>
      <c r="AO1694" s="91"/>
      <c r="AP1694" s="91"/>
      <c r="AQ1694" s="91"/>
      <c r="AR1694" s="91"/>
      <c r="AS1694" s="91"/>
      <c r="AT1694" s="91"/>
      <c r="AU1694" s="91"/>
      <c r="AV1694" s="91"/>
      <c r="AW1694" s="67"/>
      <c r="AX1694" s="160"/>
      <c r="AY1694" s="160"/>
      <c r="AZ1694" s="160"/>
      <c r="BA1694" s="160"/>
      <c r="BB1694" s="160"/>
      <c r="BC1694" s="160"/>
      <c r="BD1694" s="160"/>
      <c r="BE1694" s="160"/>
      <c r="BF1694" s="160"/>
      <c r="BG1694" s="160"/>
      <c r="BH1694" s="160"/>
      <c r="BI1694" s="106"/>
      <c r="BJ1694" s="106"/>
      <c r="BK1694" s="106"/>
      <c r="BL1694" s="106"/>
      <c r="BM1694" s="106"/>
      <c r="BN1694" s="106"/>
      <c r="BO1694" s="106"/>
    </row>
    <row r="1695" spans="25:67" hidden="1" x14ac:dyDescent="0.25">
      <c r="Y1695" s="91"/>
      <c r="Z1695" s="91" t="s">
        <v>807</v>
      </c>
      <c r="AA1695" s="91"/>
      <c r="AB1695" s="91"/>
      <c r="AC1695" s="91"/>
      <c r="AD1695" s="91"/>
      <c r="AE1695" s="91"/>
      <c r="AF1695" s="91"/>
      <c r="AG1695" s="91"/>
      <c r="AH1695" s="91"/>
      <c r="AI1695" s="91"/>
      <c r="AJ1695" s="91"/>
      <c r="AK1695" s="91"/>
      <c r="AL1695" s="91"/>
      <c r="AM1695" s="91"/>
      <c r="AN1695" s="91"/>
      <c r="AO1695" s="91"/>
      <c r="AP1695" s="91"/>
      <c r="AQ1695" s="91"/>
      <c r="AR1695" s="91"/>
      <c r="AS1695" s="91"/>
      <c r="AT1695" s="91"/>
      <c r="AU1695" s="91"/>
      <c r="AV1695" s="91"/>
      <c r="AW1695" s="67"/>
      <c r="AX1695" s="160"/>
      <c r="AY1695" s="160"/>
      <c r="AZ1695" s="160"/>
      <c r="BA1695" s="160"/>
      <c r="BB1695" s="160"/>
      <c r="BC1695" s="160"/>
      <c r="BD1695" s="160"/>
      <c r="BE1695" s="160"/>
      <c r="BF1695" s="160"/>
      <c r="BG1695" s="160"/>
      <c r="BH1695" s="160"/>
      <c r="BI1695" s="106"/>
      <c r="BJ1695" s="106"/>
      <c r="BK1695" s="106"/>
      <c r="BL1695" s="106"/>
      <c r="BM1695" s="106"/>
      <c r="BN1695" s="106"/>
      <c r="BO1695" s="106"/>
    </row>
    <row r="1696" spans="25:67" hidden="1" x14ac:dyDescent="0.25">
      <c r="Y1696" s="91"/>
      <c r="Z1696" s="91" t="s">
        <v>808</v>
      </c>
      <c r="AA1696" s="91"/>
      <c r="AB1696" s="91"/>
      <c r="AC1696" s="91"/>
      <c r="AD1696" s="91"/>
      <c r="AE1696" s="91"/>
      <c r="AF1696" s="91"/>
      <c r="AG1696" s="91"/>
      <c r="AH1696" s="91"/>
      <c r="AI1696" s="91"/>
      <c r="AJ1696" s="91"/>
      <c r="AK1696" s="91"/>
      <c r="AL1696" s="91"/>
      <c r="AM1696" s="91"/>
      <c r="AN1696" s="91"/>
      <c r="AO1696" s="91"/>
      <c r="AP1696" s="91"/>
      <c r="AQ1696" s="91"/>
      <c r="AR1696" s="91"/>
      <c r="AS1696" s="91"/>
      <c r="AT1696" s="91"/>
      <c r="AU1696" s="91"/>
      <c r="AV1696" s="91"/>
      <c r="AW1696" s="67"/>
      <c r="AX1696" s="160"/>
      <c r="AY1696" s="160"/>
      <c r="AZ1696" s="160"/>
      <c r="BA1696" s="160"/>
      <c r="BB1696" s="160"/>
      <c r="BC1696" s="160"/>
      <c r="BD1696" s="160"/>
      <c r="BE1696" s="160"/>
      <c r="BF1696" s="160"/>
      <c r="BG1696" s="160"/>
      <c r="BH1696" s="160"/>
      <c r="BI1696" s="106"/>
      <c r="BJ1696" s="106"/>
      <c r="BK1696" s="106"/>
      <c r="BL1696" s="106"/>
      <c r="BM1696" s="106"/>
      <c r="BN1696" s="106"/>
      <c r="BO1696" s="106"/>
    </row>
    <row r="1697" spans="25:67" hidden="1" x14ac:dyDescent="0.25">
      <c r="Y1697" s="91"/>
      <c r="Z1697" s="91" t="s">
        <v>809</v>
      </c>
      <c r="AA1697" s="91"/>
      <c r="AB1697" s="91"/>
      <c r="AC1697" s="91"/>
      <c r="AD1697" s="91"/>
      <c r="AE1697" s="91"/>
      <c r="AF1697" s="91"/>
      <c r="AG1697" s="91"/>
      <c r="AH1697" s="91"/>
      <c r="AI1697" s="91"/>
      <c r="AJ1697" s="91"/>
      <c r="AK1697" s="91"/>
      <c r="AL1697" s="91"/>
      <c r="AM1697" s="91"/>
      <c r="AN1697" s="91"/>
      <c r="AO1697" s="91"/>
      <c r="AP1697" s="91"/>
      <c r="AQ1697" s="91"/>
      <c r="AR1697" s="91"/>
      <c r="AS1697" s="91"/>
      <c r="AT1697" s="91"/>
      <c r="AU1697" s="91"/>
      <c r="AV1697" s="91"/>
      <c r="AW1697" s="67"/>
      <c r="AX1697" s="160"/>
      <c r="AY1697" s="160"/>
      <c r="AZ1697" s="160"/>
      <c r="BA1697" s="160"/>
      <c r="BB1697" s="160"/>
      <c r="BC1697" s="160"/>
      <c r="BD1697" s="160"/>
      <c r="BE1697" s="160"/>
      <c r="BF1697" s="160"/>
      <c r="BG1697" s="160"/>
      <c r="BH1697" s="160"/>
      <c r="BI1697" s="106"/>
      <c r="BJ1697" s="106"/>
      <c r="BK1697" s="106"/>
      <c r="BL1697" s="106"/>
      <c r="BM1697" s="106"/>
      <c r="BN1697" s="106"/>
      <c r="BO1697" s="106"/>
    </row>
    <row r="1698" spans="25:67" hidden="1" x14ac:dyDescent="0.25">
      <c r="Y1698" s="91"/>
      <c r="Z1698" s="91" t="s">
        <v>810</v>
      </c>
      <c r="AA1698" s="91"/>
      <c r="AB1698" s="91"/>
      <c r="AC1698" s="91"/>
      <c r="AD1698" s="91"/>
      <c r="AE1698" s="91"/>
      <c r="AF1698" s="91"/>
      <c r="AG1698" s="91"/>
      <c r="AH1698" s="91"/>
      <c r="AI1698" s="91"/>
      <c r="AJ1698" s="91"/>
      <c r="AK1698" s="91"/>
      <c r="AL1698" s="91"/>
      <c r="AM1698" s="91"/>
      <c r="AN1698" s="91"/>
      <c r="AO1698" s="91"/>
      <c r="AP1698" s="91"/>
      <c r="AQ1698" s="91"/>
      <c r="AR1698" s="91"/>
      <c r="AS1698" s="91"/>
      <c r="AT1698" s="91"/>
      <c r="AU1698" s="91"/>
      <c r="AV1698" s="91"/>
      <c r="AW1698" s="67"/>
      <c r="AX1698" s="160"/>
      <c r="AY1698" s="160"/>
      <c r="AZ1698" s="160"/>
      <c r="BA1698" s="160"/>
      <c r="BB1698" s="160"/>
      <c r="BC1698" s="160"/>
      <c r="BD1698" s="160"/>
      <c r="BE1698" s="160"/>
      <c r="BF1698" s="160"/>
      <c r="BG1698" s="160"/>
      <c r="BH1698" s="160"/>
      <c r="BI1698" s="106"/>
      <c r="BJ1698" s="106"/>
      <c r="BK1698" s="106"/>
      <c r="BL1698" s="106"/>
      <c r="BM1698" s="106"/>
      <c r="BN1698" s="106"/>
      <c r="BO1698" s="106"/>
    </row>
    <row r="1699" spans="25:67" hidden="1" x14ac:dyDescent="0.25">
      <c r="Y1699" s="91"/>
      <c r="Z1699" s="91" t="s">
        <v>811</v>
      </c>
      <c r="AA1699" s="91"/>
      <c r="AB1699" s="91"/>
      <c r="AC1699" s="91"/>
      <c r="AD1699" s="91"/>
      <c r="AE1699" s="91"/>
      <c r="AF1699" s="91"/>
      <c r="AG1699" s="91"/>
      <c r="AH1699" s="91"/>
      <c r="AI1699" s="91"/>
      <c r="AJ1699" s="91"/>
      <c r="AK1699" s="91"/>
      <c r="AL1699" s="91"/>
      <c r="AM1699" s="91"/>
      <c r="AN1699" s="91"/>
      <c r="AO1699" s="91"/>
      <c r="AP1699" s="91"/>
      <c r="AQ1699" s="91"/>
      <c r="AR1699" s="91"/>
      <c r="AS1699" s="91"/>
      <c r="AT1699" s="91"/>
      <c r="AU1699" s="91"/>
      <c r="AV1699" s="91"/>
      <c r="AW1699" s="67"/>
      <c r="AX1699" s="160"/>
      <c r="AY1699" s="160"/>
      <c r="AZ1699" s="160"/>
      <c r="BA1699" s="160"/>
      <c r="BB1699" s="160"/>
      <c r="BC1699" s="160"/>
      <c r="BD1699" s="160"/>
      <c r="BE1699" s="160"/>
      <c r="BF1699" s="160"/>
      <c r="BG1699" s="160"/>
      <c r="BH1699" s="160"/>
      <c r="BI1699" s="106"/>
      <c r="BJ1699" s="106"/>
      <c r="BK1699" s="106"/>
      <c r="BL1699" s="106"/>
      <c r="BM1699" s="106"/>
      <c r="BN1699" s="106"/>
      <c r="BO1699" s="106"/>
    </row>
    <row r="1700" spans="25:67" hidden="1" x14ac:dyDescent="0.25">
      <c r="Y1700" s="91"/>
      <c r="Z1700" s="91" t="s">
        <v>812</v>
      </c>
      <c r="AA1700" s="91"/>
      <c r="AB1700" s="91"/>
      <c r="AC1700" s="91"/>
      <c r="AD1700" s="91"/>
      <c r="AE1700" s="91"/>
      <c r="AF1700" s="91"/>
      <c r="AG1700" s="91"/>
      <c r="AH1700" s="91"/>
      <c r="AI1700" s="91"/>
      <c r="AJ1700" s="91"/>
      <c r="AK1700" s="91"/>
      <c r="AL1700" s="91"/>
      <c r="AM1700" s="91"/>
      <c r="AN1700" s="91"/>
      <c r="AO1700" s="91"/>
      <c r="AP1700" s="91"/>
      <c r="AQ1700" s="91"/>
      <c r="AR1700" s="91"/>
      <c r="AS1700" s="91"/>
      <c r="AT1700" s="91"/>
      <c r="AU1700" s="91"/>
      <c r="AV1700" s="91"/>
      <c r="AW1700" s="67"/>
      <c r="AX1700" s="160"/>
      <c r="AY1700" s="160"/>
      <c r="AZ1700" s="160"/>
      <c r="BA1700" s="160"/>
      <c r="BB1700" s="160"/>
      <c r="BC1700" s="160"/>
      <c r="BD1700" s="160"/>
      <c r="BE1700" s="160"/>
      <c r="BF1700" s="160"/>
      <c r="BG1700" s="160"/>
      <c r="BH1700" s="160"/>
      <c r="BI1700" s="106"/>
      <c r="BJ1700" s="106"/>
      <c r="BK1700" s="106"/>
      <c r="BL1700" s="106"/>
      <c r="BM1700" s="106"/>
      <c r="BN1700" s="106"/>
      <c r="BO1700" s="106"/>
    </row>
    <row r="1701" spans="25:67" hidden="1" x14ac:dyDescent="0.25">
      <c r="Y1701" s="91"/>
      <c r="Z1701" s="91" t="s">
        <v>813</v>
      </c>
      <c r="AA1701" s="91"/>
      <c r="AB1701" s="91"/>
      <c r="AC1701" s="91"/>
      <c r="AD1701" s="91"/>
      <c r="AE1701" s="91"/>
      <c r="AF1701" s="91"/>
      <c r="AG1701" s="91"/>
      <c r="AH1701" s="91"/>
      <c r="AI1701" s="91"/>
      <c r="AJ1701" s="91"/>
      <c r="AK1701" s="91"/>
      <c r="AL1701" s="91"/>
      <c r="AM1701" s="91"/>
      <c r="AN1701" s="91"/>
      <c r="AO1701" s="91"/>
      <c r="AP1701" s="91"/>
      <c r="AQ1701" s="91"/>
      <c r="AR1701" s="91"/>
      <c r="AS1701" s="91"/>
      <c r="AT1701" s="91"/>
      <c r="AU1701" s="91"/>
      <c r="AV1701" s="91"/>
      <c r="AW1701" s="67"/>
      <c r="AX1701" s="160"/>
      <c r="AY1701" s="160"/>
      <c r="AZ1701" s="160"/>
      <c r="BA1701" s="160"/>
      <c r="BB1701" s="160"/>
      <c r="BC1701" s="160"/>
      <c r="BD1701" s="160"/>
      <c r="BE1701" s="160"/>
      <c r="BF1701" s="160"/>
      <c r="BG1701" s="160"/>
      <c r="BH1701" s="160"/>
      <c r="BI1701" s="106"/>
      <c r="BJ1701" s="106"/>
      <c r="BK1701" s="106"/>
      <c r="BL1701" s="106"/>
      <c r="BM1701" s="106"/>
      <c r="BN1701" s="106"/>
      <c r="BO1701" s="106"/>
    </row>
    <row r="1702" spans="25:67" hidden="1" x14ac:dyDescent="0.25">
      <c r="Y1702" s="91"/>
      <c r="Z1702" s="91" t="s">
        <v>814</v>
      </c>
      <c r="AA1702" s="91"/>
      <c r="AB1702" s="91"/>
      <c r="AC1702" s="91"/>
      <c r="AD1702" s="91"/>
      <c r="AE1702" s="91"/>
      <c r="AF1702" s="91"/>
      <c r="AG1702" s="91"/>
      <c r="AH1702" s="91"/>
      <c r="AI1702" s="91"/>
      <c r="AJ1702" s="91"/>
      <c r="AK1702" s="91"/>
      <c r="AL1702" s="91"/>
      <c r="AM1702" s="91"/>
      <c r="AN1702" s="91"/>
      <c r="AO1702" s="91"/>
      <c r="AP1702" s="91"/>
      <c r="AQ1702" s="91"/>
      <c r="AR1702" s="91"/>
      <c r="AS1702" s="91"/>
      <c r="AT1702" s="91"/>
      <c r="AU1702" s="91"/>
      <c r="AV1702" s="91"/>
      <c r="AW1702" s="67"/>
      <c r="AX1702" s="160"/>
      <c r="AY1702" s="160"/>
      <c r="AZ1702" s="160"/>
      <c r="BA1702" s="160"/>
      <c r="BB1702" s="160"/>
      <c r="BC1702" s="160"/>
      <c r="BD1702" s="160"/>
      <c r="BE1702" s="160"/>
      <c r="BF1702" s="160"/>
      <c r="BG1702" s="160"/>
      <c r="BH1702" s="160"/>
      <c r="BI1702" s="106"/>
      <c r="BJ1702" s="106"/>
      <c r="BK1702" s="106"/>
      <c r="BL1702" s="106"/>
      <c r="BM1702" s="106"/>
      <c r="BN1702" s="106"/>
      <c r="BO1702" s="106"/>
    </row>
    <row r="1703" spans="25:67" hidden="1" x14ac:dyDescent="0.25">
      <c r="Y1703" s="91"/>
      <c r="Z1703" s="91" t="s">
        <v>815</v>
      </c>
      <c r="AA1703" s="91"/>
      <c r="AB1703" s="91"/>
      <c r="AC1703" s="91"/>
      <c r="AD1703" s="91"/>
      <c r="AE1703" s="91"/>
      <c r="AF1703" s="91"/>
      <c r="AG1703" s="91"/>
      <c r="AH1703" s="91"/>
      <c r="AI1703" s="91"/>
      <c r="AJ1703" s="91"/>
      <c r="AK1703" s="91"/>
      <c r="AL1703" s="91"/>
      <c r="AM1703" s="91"/>
      <c r="AN1703" s="91"/>
      <c r="AO1703" s="91"/>
      <c r="AP1703" s="91"/>
      <c r="AQ1703" s="91"/>
      <c r="AR1703" s="91"/>
      <c r="AS1703" s="91"/>
      <c r="AT1703" s="91"/>
      <c r="AU1703" s="91"/>
      <c r="AV1703" s="91"/>
      <c r="AW1703" s="67"/>
      <c r="AX1703" s="160"/>
      <c r="AY1703" s="160"/>
      <c r="AZ1703" s="160"/>
      <c r="BA1703" s="160"/>
      <c r="BB1703" s="160"/>
      <c r="BC1703" s="160"/>
      <c r="BD1703" s="160"/>
      <c r="BE1703" s="160"/>
      <c r="BF1703" s="160"/>
      <c r="BG1703" s="160"/>
      <c r="BH1703" s="160"/>
      <c r="BI1703" s="106"/>
      <c r="BJ1703" s="106"/>
      <c r="BK1703" s="106"/>
      <c r="BL1703" s="106"/>
      <c r="BM1703" s="106"/>
      <c r="BN1703" s="106"/>
      <c r="BO1703" s="106"/>
    </row>
    <row r="1704" spans="25:67" hidden="1" x14ac:dyDescent="0.25">
      <c r="Y1704" s="91"/>
      <c r="Z1704" s="91" t="s">
        <v>816</v>
      </c>
      <c r="AA1704" s="91"/>
      <c r="AB1704" s="91"/>
      <c r="AC1704" s="91"/>
      <c r="AD1704" s="91"/>
      <c r="AE1704" s="91"/>
      <c r="AF1704" s="91"/>
      <c r="AG1704" s="91"/>
      <c r="AH1704" s="91"/>
      <c r="AI1704" s="91"/>
      <c r="AJ1704" s="91"/>
      <c r="AK1704" s="91"/>
      <c r="AL1704" s="91"/>
      <c r="AM1704" s="91"/>
      <c r="AN1704" s="91"/>
      <c r="AO1704" s="91"/>
      <c r="AP1704" s="91"/>
      <c r="AQ1704" s="91"/>
      <c r="AR1704" s="91"/>
      <c r="AS1704" s="91"/>
      <c r="AT1704" s="91"/>
      <c r="AU1704" s="91"/>
      <c r="AV1704" s="91"/>
      <c r="AW1704" s="67"/>
      <c r="AX1704" s="160"/>
      <c r="AY1704" s="160"/>
      <c r="AZ1704" s="160"/>
      <c r="BA1704" s="160"/>
      <c r="BB1704" s="160"/>
      <c r="BC1704" s="160"/>
      <c r="BD1704" s="160"/>
      <c r="BE1704" s="160"/>
      <c r="BF1704" s="160"/>
      <c r="BG1704" s="160"/>
      <c r="BH1704" s="160"/>
      <c r="BI1704" s="106"/>
      <c r="BJ1704" s="106"/>
      <c r="BK1704" s="106"/>
      <c r="BL1704" s="106"/>
      <c r="BM1704" s="106"/>
      <c r="BN1704" s="106"/>
      <c r="BO1704" s="106"/>
    </row>
    <row r="1705" spans="25:67" hidden="1" x14ac:dyDescent="0.25">
      <c r="Y1705" s="91"/>
      <c r="Z1705" s="91" t="s">
        <v>817</v>
      </c>
      <c r="AA1705" s="91"/>
      <c r="AB1705" s="91"/>
      <c r="AC1705" s="91"/>
      <c r="AD1705" s="91"/>
      <c r="AE1705" s="91"/>
      <c r="AF1705" s="91"/>
      <c r="AG1705" s="91"/>
      <c r="AH1705" s="91"/>
      <c r="AI1705" s="91"/>
      <c r="AJ1705" s="91"/>
      <c r="AK1705" s="91"/>
      <c r="AL1705" s="91"/>
      <c r="AM1705" s="91"/>
      <c r="AN1705" s="91"/>
      <c r="AO1705" s="91"/>
      <c r="AP1705" s="91"/>
      <c r="AQ1705" s="91"/>
      <c r="AR1705" s="91"/>
      <c r="AS1705" s="91"/>
      <c r="AT1705" s="91"/>
      <c r="AU1705" s="91"/>
      <c r="AV1705" s="91"/>
      <c r="AW1705" s="67"/>
      <c r="AX1705" s="160"/>
      <c r="AY1705" s="160"/>
      <c r="AZ1705" s="160"/>
      <c r="BA1705" s="160"/>
      <c r="BB1705" s="160"/>
      <c r="BC1705" s="160"/>
      <c r="BD1705" s="160"/>
      <c r="BE1705" s="160"/>
      <c r="BF1705" s="160"/>
      <c r="BG1705" s="160"/>
      <c r="BH1705" s="160"/>
      <c r="BI1705" s="106"/>
      <c r="BJ1705" s="106"/>
      <c r="BK1705" s="106"/>
      <c r="BL1705" s="106"/>
      <c r="BM1705" s="106"/>
      <c r="BN1705" s="106"/>
      <c r="BO1705" s="106"/>
    </row>
    <row r="1706" spans="25:67" hidden="1" x14ac:dyDescent="0.25">
      <c r="Y1706" s="91"/>
      <c r="Z1706" s="91" t="s">
        <v>818</v>
      </c>
      <c r="AA1706" s="91"/>
      <c r="AB1706" s="91"/>
      <c r="AC1706" s="91"/>
      <c r="AD1706" s="91"/>
      <c r="AE1706" s="91"/>
      <c r="AF1706" s="91"/>
      <c r="AG1706" s="91"/>
      <c r="AH1706" s="91"/>
      <c r="AI1706" s="91"/>
      <c r="AJ1706" s="91"/>
      <c r="AK1706" s="91"/>
      <c r="AL1706" s="91"/>
      <c r="AM1706" s="91"/>
      <c r="AN1706" s="91"/>
      <c r="AO1706" s="91"/>
      <c r="AP1706" s="91"/>
      <c r="AQ1706" s="91"/>
      <c r="AR1706" s="91"/>
      <c r="AS1706" s="91"/>
      <c r="AT1706" s="91"/>
      <c r="AU1706" s="91"/>
      <c r="AV1706" s="91"/>
      <c r="AW1706" s="67"/>
      <c r="AX1706" s="160"/>
      <c r="AY1706" s="160"/>
      <c r="AZ1706" s="160"/>
      <c r="BA1706" s="160"/>
      <c r="BB1706" s="160"/>
      <c r="BC1706" s="160"/>
      <c r="BD1706" s="160"/>
      <c r="BE1706" s="160"/>
      <c r="BF1706" s="160"/>
      <c r="BG1706" s="160"/>
      <c r="BH1706" s="160"/>
      <c r="BI1706" s="106"/>
      <c r="BJ1706" s="106"/>
      <c r="BK1706" s="106"/>
      <c r="BL1706" s="106"/>
      <c r="BM1706" s="106"/>
      <c r="BN1706" s="106"/>
      <c r="BO1706" s="106"/>
    </row>
    <row r="1707" spans="25:67" hidden="1" x14ac:dyDescent="0.25">
      <c r="Y1707" s="91"/>
      <c r="Z1707" s="91" t="s">
        <v>819</v>
      </c>
      <c r="AA1707" s="91"/>
      <c r="AB1707" s="91"/>
      <c r="AC1707" s="91"/>
      <c r="AD1707" s="91"/>
      <c r="AE1707" s="91"/>
      <c r="AF1707" s="91"/>
      <c r="AG1707" s="91"/>
      <c r="AH1707" s="91"/>
      <c r="AI1707" s="91"/>
      <c r="AJ1707" s="91"/>
      <c r="AK1707" s="91"/>
      <c r="AL1707" s="91"/>
      <c r="AM1707" s="91"/>
      <c r="AN1707" s="91"/>
      <c r="AO1707" s="91"/>
      <c r="AP1707" s="91"/>
      <c r="AQ1707" s="91"/>
      <c r="AR1707" s="91"/>
      <c r="AS1707" s="91"/>
      <c r="AT1707" s="91"/>
      <c r="AU1707" s="91"/>
      <c r="AV1707" s="91"/>
      <c r="AW1707" s="67"/>
      <c r="AX1707" s="160"/>
      <c r="AY1707" s="160"/>
      <c r="AZ1707" s="160"/>
      <c r="BA1707" s="160"/>
      <c r="BB1707" s="160"/>
      <c r="BC1707" s="160"/>
      <c r="BD1707" s="160"/>
      <c r="BE1707" s="160"/>
      <c r="BF1707" s="160"/>
      <c r="BG1707" s="160"/>
      <c r="BH1707" s="160"/>
      <c r="BI1707" s="106"/>
      <c r="BJ1707" s="106"/>
      <c r="BK1707" s="106"/>
      <c r="BL1707" s="106"/>
      <c r="BM1707" s="106"/>
      <c r="BN1707" s="106"/>
      <c r="BO1707" s="106"/>
    </row>
    <row r="1708" spans="25:67" hidden="1" x14ac:dyDescent="0.25">
      <c r="Y1708" s="91"/>
      <c r="Z1708" s="91" t="s">
        <v>820</v>
      </c>
      <c r="AA1708" s="91"/>
      <c r="AB1708" s="91"/>
      <c r="AC1708" s="91"/>
      <c r="AD1708" s="91"/>
      <c r="AE1708" s="91"/>
      <c r="AF1708" s="91"/>
      <c r="AG1708" s="91"/>
      <c r="AH1708" s="91"/>
      <c r="AI1708" s="91"/>
      <c r="AJ1708" s="91"/>
      <c r="AK1708" s="91"/>
      <c r="AL1708" s="91"/>
      <c r="AM1708" s="91"/>
      <c r="AN1708" s="91"/>
      <c r="AO1708" s="91"/>
      <c r="AP1708" s="91"/>
      <c r="AQ1708" s="91"/>
      <c r="AR1708" s="91"/>
      <c r="AS1708" s="91"/>
      <c r="AT1708" s="91"/>
      <c r="AU1708" s="91"/>
      <c r="AV1708" s="91"/>
      <c r="AW1708" s="67"/>
      <c r="AX1708" s="160"/>
      <c r="AY1708" s="160"/>
      <c r="AZ1708" s="160"/>
      <c r="BA1708" s="160"/>
      <c r="BB1708" s="160"/>
      <c r="BC1708" s="160"/>
      <c r="BD1708" s="160"/>
      <c r="BE1708" s="160"/>
      <c r="BF1708" s="160"/>
      <c r="BG1708" s="160"/>
      <c r="BH1708" s="160"/>
      <c r="BI1708" s="106"/>
      <c r="BJ1708" s="106"/>
      <c r="BK1708" s="106"/>
      <c r="BL1708" s="106"/>
      <c r="BM1708" s="106"/>
      <c r="BN1708" s="106"/>
      <c r="BO1708" s="106"/>
    </row>
    <row r="1709" spans="25:67" hidden="1" x14ac:dyDescent="0.25">
      <c r="Y1709" s="91"/>
      <c r="Z1709" s="91" t="s">
        <v>821</v>
      </c>
      <c r="AA1709" s="91"/>
      <c r="AB1709" s="91"/>
      <c r="AC1709" s="91"/>
      <c r="AD1709" s="91"/>
      <c r="AE1709" s="91"/>
      <c r="AF1709" s="91"/>
      <c r="AG1709" s="91"/>
      <c r="AH1709" s="91"/>
      <c r="AI1709" s="91"/>
      <c r="AJ1709" s="91"/>
      <c r="AK1709" s="91"/>
      <c r="AL1709" s="91"/>
      <c r="AM1709" s="91"/>
      <c r="AN1709" s="91"/>
      <c r="AO1709" s="91"/>
      <c r="AP1709" s="91"/>
      <c r="AQ1709" s="91"/>
      <c r="AR1709" s="91"/>
      <c r="AS1709" s="91"/>
      <c r="AT1709" s="91"/>
      <c r="AU1709" s="91"/>
      <c r="AV1709" s="91"/>
      <c r="AW1709" s="67"/>
      <c r="AX1709" s="160"/>
      <c r="AY1709" s="160"/>
      <c r="AZ1709" s="160"/>
      <c r="BA1709" s="160"/>
      <c r="BB1709" s="160"/>
      <c r="BC1709" s="160"/>
      <c r="BD1709" s="160"/>
      <c r="BE1709" s="160"/>
      <c r="BF1709" s="160"/>
      <c r="BG1709" s="160"/>
      <c r="BH1709" s="160"/>
      <c r="BI1709" s="106"/>
      <c r="BJ1709" s="106"/>
      <c r="BK1709" s="106"/>
      <c r="BL1709" s="106"/>
      <c r="BM1709" s="106"/>
      <c r="BN1709" s="106"/>
      <c r="BO1709" s="106"/>
    </row>
    <row r="1710" spans="25:67" hidden="1" x14ac:dyDescent="0.25">
      <c r="Y1710" s="91"/>
      <c r="Z1710" s="91" t="s">
        <v>822</v>
      </c>
      <c r="AA1710" s="91"/>
      <c r="AB1710" s="91"/>
      <c r="AC1710" s="91"/>
      <c r="AD1710" s="91"/>
      <c r="AE1710" s="91"/>
      <c r="AF1710" s="91"/>
      <c r="AG1710" s="91"/>
      <c r="AH1710" s="91"/>
      <c r="AI1710" s="91"/>
      <c r="AJ1710" s="91"/>
      <c r="AK1710" s="91"/>
      <c r="AL1710" s="91"/>
      <c r="AM1710" s="91"/>
      <c r="AN1710" s="91"/>
      <c r="AO1710" s="91"/>
      <c r="AP1710" s="91"/>
      <c r="AQ1710" s="91"/>
      <c r="AR1710" s="91"/>
      <c r="AS1710" s="91"/>
      <c r="AT1710" s="91"/>
      <c r="AU1710" s="91"/>
      <c r="AV1710" s="91"/>
      <c r="AW1710" s="67"/>
      <c r="AX1710" s="160"/>
      <c r="AY1710" s="160"/>
      <c r="AZ1710" s="160"/>
      <c r="BA1710" s="160"/>
      <c r="BB1710" s="160"/>
      <c r="BC1710" s="160"/>
      <c r="BD1710" s="160"/>
      <c r="BE1710" s="160"/>
      <c r="BF1710" s="160"/>
      <c r="BG1710" s="160"/>
      <c r="BH1710" s="160"/>
      <c r="BI1710" s="106"/>
      <c r="BJ1710" s="106"/>
      <c r="BK1710" s="106"/>
      <c r="BL1710" s="106"/>
      <c r="BM1710" s="106"/>
      <c r="BN1710" s="106"/>
      <c r="BO1710" s="106"/>
    </row>
    <row r="1711" spans="25:67" hidden="1" x14ac:dyDescent="0.25">
      <c r="Y1711" s="91"/>
      <c r="Z1711" s="91" t="s">
        <v>823</v>
      </c>
      <c r="AA1711" s="91"/>
      <c r="AB1711" s="91"/>
      <c r="AC1711" s="91"/>
      <c r="AD1711" s="91"/>
      <c r="AE1711" s="91"/>
      <c r="AF1711" s="91"/>
      <c r="AG1711" s="91"/>
      <c r="AH1711" s="91"/>
      <c r="AI1711" s="91"/>
      <c r="AJ1711" s="91"/>
      <c r="AK1711" s="91"/>
      <c r="AL1711" s="91"/>
      <c r="AM1711" s="91"/>
      <c r="AN1711" s="91"/>
      <c r="AO1711" s="91"/>
      <c r="AP1711" s="91"/>
      <c r="AQ1711" s="91"/>
      <c r="AR1711" s="91"/>
      <c r="AS1711" s="91"/>
      <c r="AT1711" s="91"/>
      <c r="AU1711" s="91"/>
      <c r="AV1711" s="91"/>
      <c r="AW1711" s="67"/>
      <c r="AX1711" s="160"/>
      <c r="AY1711" s="160"/>
      <c r="AZ1711" s="160"/>
      <c r="BA1711" s="160"/>
      <c r="BB1711" s="160"/>
      <c r="BC1711" s="160"/>
      <c r="BD1711" s="160"/>
      <c r="BE1711" s="160"/>
      <c r="BF1711" s="160"/>
      <c r="BG1711" s="160"/>
      <c r="BH1711" s="160"/>
      <c r="BI1711" s="106"/>
      <c r="BJ1711" s="106"/>
      <c r="BK1711" s="106"/>
      <c r="BL1711" s="106"/>
      <c r="BM1711" s="106"/>
      <c r="BN1711" s="106"/>
      <c r="BO1711" s="106"/>
    </row>
    <row r="1712" spans="25:67" hidden="1" x14ac:dyDescent="0.25">
      <c r="Y1712" s="91"/>
      <c r="Z1712" s="91" t="s">
        <v>824</v>
      </c>
      <c r="AA1712" s="91"/>
      <c r="AB1712" s="91"/>
      <c r="AC1712" s="91"/>
      <c r="AD1712" s="91"/>
      <c r="AE1712" s="91"/>
      <c r="AF1712" s="91"/>
      <c r="AG1712" s="91"/>
      <c r="AH1712" s="91"/>
      <c r="AI1712" s="91"/>
      <c r="AJ1712" s="91"/>
      <c r="AK1712" s="91"/>
      <c r="AL1712" s="91"/>
      <c r="AM1712" s="91"/>
      <c r="AN1712" s="91"/>
      <c r="AO1712" s="91"/>
      <c r="AP1712" s="91"/>
      <c r="AQ1712" s="91"/>
      <c r="AR1712" s="91"/>
      <c r="AS1712" s="91"/>
      <c r="AT1712" s="91"/>
      <c r="AU1712" s="91"/>
      <c r="AV1712" s="91"/>
      <c r="AW1712" s="67"/>
      <c r="AX1712" s="160"/>
      <c r="AY1712" s="160"/>
      <c r="AZ1712" s="160"/>
      <c r="BA1712" s="160"/>
      <c r="BB1712" s="160"/>
      <c r="BC1712" s="160"/>
      <c r="BD1712" s="160"/>
      <c r="BE1712" s="160"/>
      <c r="BF1712" s="160"/>
      <c r="BG1712" s="160"/>
      <c r="BH1712" s="160"/>
      <c r="BI1712" s="106"/>
      <c r="BJ1712" s="106"/>
      <c r="BK1712" s="106"/>
      <c r="BL1712" s="106"/>
      <c r="BM1712" s="106"/>
      <c r="BN1712" s="106"/>
      <c r="BO1712" s="106"/>
    </row>
    <row r="1713" spans="25:67" hidden="1" x14ac:dyDescent="0.25">
      <c r="Y1713" s="91"/>
      <c r="Z1713" s="91" t="s">
        <v>825</v>
      </c>
      <c r="AA1713" s="91"/>
      <c r="AB1713" s="91"/>
      <c r="AC1713" s="91"/>
      <c r="AD1713" s="91"/>
      <c r="AE1713" s="91"/>
      <c r="AF1713" s="91"/>
      <c r="AG1713" s="91"/>
      <c r="AH1713" s="91"/>
      <c r="AI1713" s="91"/>
      <c r="AJ1713" s="91"/>
      <c r="AK1713" s="91"/>
      <c r="AL1713" s="91"/>
      <c r="AM1713" s="91"/>
      <c r="AN1713" s="91"/>
      <c r="AO1713" s="91"/>
      <c r="AP1713" s="91"/>
      <c r="AQ1713" s="91"/>
      <c r="AR1713" s="91"/>
      <c r="AS1713" s="91"/>
      <c r="AT1713" s="91"/>
      <c r="AU1713" s="91"/>
      <c r="AV1713" s="91"/>
      <c r="AW1713" s="67"/>
      <c r="AX1713" s="160"/>
      <c r="AY1713" s="160"/>
      <c r="AZ1713" s="160"/>
      <c r="BA1713" s="160"/>
      <c r="BB1713" s="160"/>
      <c r="BC1713" s="160"/>
      <c r="BD1713" s="160"/>
      <c r="BE1713" s="160"/>
      <c r="BF1713" s="160"/>
      <c r="BG1713" s="160"/>
      <c r="BH1713" s="160"/>
      <c r="BI1713" s="106"/>
      <c r="BJ1713" s="106"/>
      <c r="BK1713" s="106"/>
      <c r="BL1713" s="106"/>
      <c r="BM1713" s="106"/>
      <c r="BN1713" s="106"/>
      <c r="BO1713" s="106"/>
    </row>
    <row r="1714" spans="25:67" hidden="1" x14ac:dyDescent="0.25">
      <c r="Y1714" s="91"/>
      <c r="Z1714" s="91" t="s">
        <v>826</v>
      </c>
      <c r="AA1714" s="91"/>
      <c r="AB1714" s="91"/>
      <c r="AC1714" s="91"/>
      <c r="AD1714" s="91"/>
      <c r="AE1714" s="91"/>
      <c r="AF1714" s="91"/>
      <c r="AG1714" s="91"/>
      <c r="AH1714" s="91"/>
      <c r="AI1714" s="91"/>
      <c r="AJ1714" s="91"/>
      <c r="AK1714" s="91"/>
      <c r="AL1714" s="91"/>
      <c r="AM1714" s="91"/>
      <c r="AN1714" s="91"/>
      <c r="AO1714" s="91"/>
      <c r="AP1714" s="91"/>
      <c r="AQ1714" s="91"/>
      <c r="AR1714" s="91"/>
      <c r="AS1714" s="91"/>
      <c r="AT1714" s="91"/>
      <c r="AU1714" s="91"/>
      <c r="AV1714" s="91"/>
      <c r="AW1714" s="67"/>
      <c r="AX1714" s="160"/>
      <c r="AY1714" s="160"/>
      <c r="AZ1714" s="160"/>
      <c r="BA1714" s="160"/>
      <c r="BB1714" s="160"/>
      <c r="BC1714" s="160"/>
      <c r="BD1714" s="160"/>
      <c r="BE1714" s="160"/>
      <c r="BF1714" s="160"/>
      <c r="BG1714" s="160"/>
      <c r="BH1714" s="160"/>
      <c r="BI1714" s="106"/>
      <c r="BJ1714" s="106"/>
      <c r="BK1714" s="106"/>
      <c r="BL1714" s="106"/>
      <c r="BM1714" s="106"/>
      <c r="BN1714" s="106"/>
      <c r="BO1714" s="106"/>
    </row>
    <row r="1715" spans="25:67" hidden="1" x14ac:dyDescent="0.25">
      <c r="Y1715" s="91"/>
      <c r="Z1715" s="91" t="s">
        <v>827</v>
      </c>
      <c r="AA1715" s="91"/>
      <c r="AB1715" s="91"/>
      <c r="AC1715" s="91"/>
      <c r="AD1715" s="91"/>
      <c r="AE1715" s="91"/>
      <c r="AF1715" s="91"/>
      <c r="AG1715" s="91"/>
      <c r="AH1715" s="91"/>
      <c r="AI1715" s="91"/>
      <c r="AJ1715" s="91"/>
      <c r="AK1715" s="91"/>
      <c r="AL1715" s="91"/>
      <c r="AM1715" s="91"/>
      <c r="AN1715" s="91"/>
      <c r="AO1715" s="91"/>
      <c r="AP1715" s="91"/>
      <c r="AQ1715" s="91"/>
      <c r="AR1715" s="91"/>
      <c r="AS1715" s="91"/>
      <c r="AT1715" s="91"/>
      <c r="AU1715" s="91"/>
      <c r="AV1715" s="91"/>
      <c r="AW1715" s="67"/>
      <c r="AX1715" s="160"/>
      <c r="AY1715" s="160"/>
      <c r="AZ1715" s="160"/>
      <c r="BA1715" s="160"/>
      <c r="BB1715" s="160"/>
      <c r="BC1715" s="160"/>
      <c r="BD1715" s="160"/>
      <c r="BE1715" s="160"/>
      <c r="BF1715" s="160"/>
      <c r="BG1715" s="160"/>
      <c r="BH1715" s="160"/>
      <c r="BI1715" s="106"/>
      <c r="BJ1715" s="106"/>
      <c r="BK1715" s="106"/>
      <c r="BL1715" s="106"/>
      <c r="BM1715" s="106"/>
      <c r="BN1715" s="106"/>
      <c r="BO1715" s="106"/>
    </row>
    <row r="1716" spans="25:67" hidden="1" x14ac:dyDescent="0.25">
      <c r="Y1716" s="91"/>
      <c r="Z1716" s="91" t="s">
        <v>828</v>
      </c>
      <c r="AA1716" s="91"/>
      <c r="AB1716" s="91"/>
      <c r="AC1716" s="91"/>
      <c r="AD1716" s="91"/>
      <c r="AE1716" s="91"/>
      <c r="AF1716" s="91"/>
      <c r="AG1716" s="91"/>
      <c r="AH1716" s="91"/>
      <c r="AI1716" s="91"/>
      <c r="AJ1716" s="91"/>
      <c r="AK1716" s="91"/>
      <c r="AL1716" s="91"/>
      <c r="AM1716" s="91"/>
      <c r="AN1716" s="91"/>
      <c r="AO1716" s="91"/>
      <c r="AP1716" s="91"/>
      <c r="AQ1716" s="91"/>
      <c r="AR1716" s="91"/>
      <c r="AS1716" s="91"/>
      <c r="AT1716" s="91"/>
      <c r="AU1716" s="91"/>
      <c r="AV1716" s="91"/>
      <c r="AW1716" s="67"/>
      <c r="AX1716" s="160"/>
      <c r="AY1716" s="160"/>
      <c r="AZ1716" s="160"/>
      <c r="BA1716" s="160"/>
      <c r="BB1716" s="160"/>
      <c r="BC1716" s="160"/>
      <c r="BD1716" s="160"/>
      <c r="BE1716" s="160"/>
      <c r="BF1716" s="160"/>
      <c r="BG1716" s="160"/>
      <c r="BH1716" s="160"/>
      <c r="BI1716" s="106"/>
      <c r="BJ1716" s="106"/>
      <c r="BK1716" s="106"/>
      <c r="BL1716" s="106"/>
      <c r="BM1716" s="106"/>
      <c r="BN1716" s="106"/>
      <c r="BO1716" s="106"/>
    </row>
    <row r="1717" spans="25:67" hidden="1" x14ac:dyDescent="0.25">
      <c r="Y1717" s="91"/>
      <c r="Z1717" s="91" t="s">
        <v>829</v>
      </c>
      <c r="AA1717" s="91"/>
      <c r="AB1717" s="91"/>
      <c r="AC1717" s="91"/>
      <c r="AD1717" s="91"/>
      <c r="AE1717" s="91"/>
      <c r="AF1717" s="91"/>
      <c r="AG1717" s="91"/>
      <c r="AH1717" s="91"/>
      <c r="AI1717" s="91"/>
      <c r="AJ1717" s="91"/>
      <c r="AK1717" s="91"/>
      <c r="AL1717" s="91"/>
      <c r="AM1717" s="91"/>
      <c r="AN1717" s="91"/>
      <c r="AO1717" s="91"/>
      <c r="AP1717" s="91"/>
      <c r="AQ1717" s="91"/>
      <c r="AR1717" s="91"/>
      <c r="AS1717" s="91"/>
      <c r="AT1717" s="91"/>
      <c r="AU1717" s="91"/>
      <c r="AV1717" s="91"/>
      <c r="AW1717" s="67"/>
      <c r="AX1717" s="160"/>
      <c r="AY1717" s="160"/>
      <c r="AZ1717" s="160"/>
      <c r="BA1717" s="160"/>
      <c r="BB1717" s="160"/>
      <c r="BC1717" s="160"/>
      <c r="BD1717" s="160"/>
      <c r="BE1717" s="160"/>
      <c r="BF1717" s="160"/>
      <c r="BG1717" s="160"/>
      <c r="BH1717" s="160"/>
      <c r="BI1717" s="106"/>
      <c r="BJ1717" s="106"/>
      <c r="BK1717" s="106"/>
      <c r="BL1717" s="106"/>
      <c r="BM1717" s="106"/>
      <c r="BN1717" s="106"/>
      <c r="BO1717" s="106"/>
    </row>
    <row r="1718" spans="25:67" hidden="1" x14ac:dyDescent="0.25">
      <c r="Y1718" s="91"/>
      <c r="Z1718" s="91" t="s">
        <v>830</v>
      </c>
      <c r="AA1718" s="91"/>
      <c r="AB1718" s="91"/>
      <c r="AC1718" s="91"/>
      <c r="AD1718" s="91"/>
      <c r="AE1718" s="91"/>
      <c r="AF1718" s="91"/>
      <c r="AG1718" s="91"/>
      <c r="AH1718" s="91"/>
      <c r="AI1718" s="91"/>
      <c r="AJ1718" s="91"/>
      <c r="AK1718" s="91"/>
      <c r="AL1718" s="91"/>
      <c r="AM1718" s="91"/>
      <c r="AN1718" s="91"/>
      <c r="AO1718" s="91"/>
      <c r="AP1718" s="91"/>
      <c r="AQ1718" s="91"/>
      <c r="AR1718" s="91"/>
      <c r="AS1718" s="91"/>
      <c r="AT1718" s="91"/>
      <c r="AU1718" s="91"/>
      <c r="AV1718" s="91"/>
      <c r="AW1718" s="67"/>
      <c r="AX1718" s="160"/>
      <c r="AY1718" s="160"/>
      <c r="AZ1718" s="160"/>
      <c r="BA1718" s="160"/>
      <c r="BB1718" s="160"/>
      <c r="BC1718" s="160"/>
      <c r="BD1718" s="160"/>
      <c r="BE1718" s="160"/>
      <c r="BF1718" s="160"/>
      <c r="BG1718" s="160"/>
      <c r="BH1718" s="160"/>
      <c r="BI1718" s="106"/>
      <c r="BJ1718" s="106"/>
      <c r="BK1718" s="106"/>
      <c r="BL1718" s="106"/>
      <c r="BM1718" s="106"/>
      <c r="BN1718" s="106"/>
      <c r="BO1718" s="106"/>
    </row>
    <row r="1719" spans="25:67" hidden="1" x14ac:dyDescent="0.25">
      <c r="Y1719" s="91"/>
      <c r="Z1719" s="91" t="s">
        <v>831</v>
      </c>
      <c r="AA1719" s="91"/>
      <c r="AB1719" s="91"/>
      <c r="AC1719" s="91"/>
      <c r="AD1719" s="91"/>
      <c r="AE1719" s="91"/>
      <c r="AF1719" s="91"/>
      <c r="AG1719" s="91"/>
      <c r="AH1719" s="91"/>
      <c r="AI1719" s="91"/>
      <c r="AJ1719" s="91"/>
      <c r="AK1719" s="91"/>
      <c r="AL1719" s="91"/>
      <c r="AM1719" s="91"/>
      <c r="AN1719" s="91"/>
      <c r="AO1719" s="91"/>
      <c r="AP1719" s="91"/>
      <c r="AQ1719" s="91"/>
      <c r="AR1719" s="91"/>
      <c r="AS1719" s="91"/>
      <c r="AT1719" s="91"/>
      <c r="AU1719" s="91"/>
      <c r="AV1719" s="91"/>
      <c r="AW1719" s="67"/>
      <c r="AX1719" s="160"/>
      <c r="AY1719" s="160"/>
      <c r="AZ1719" s="160"/>
      <c r="BA1719" s="160"/>
      <c r="BB1719" s="160"/>
      <c r="BC1719" s="160"/>
      <c r="BD1719" s="160"/>
      <c r="BE1719" s="160"/>
      <c r="BF1719" s="160"/>
      <c r="BG1719" s="160"/>
      <c r="BH1719" s="160"/>
      <c r="BI1719" s="106"/>
      <c r="BJ1719" s="106"/>
      <c r="BK1719" s="106"/>
      <c r="BL1719" s="106"/>
      <c r="BM1719" s="106"/>
      <c r="BN1719" s="106"/>
      <c r="BO1719" s="106"/>
    </row>
    <row r="1720" spans="25:67" hidden="1" x14ac:dyDescent="0.25">
      <c r="Y1720" s="91"/>
      <c r="Z1720" s="91" t="s">
        <v>832</v>
      </c>
      <c r="AA1720" s="91"/>
      <c r="AB1720" s="91"/>
      <c r="AC1720" s="91"/>
      <c r="AD1720" s="91"/>
      <c r="AE1720" s="91"/>
      <c r="AF1720" s="91"/>
      <c r="AG1720" s="91"/>
      <c r="AH1720" s="91"/>
      <c r="AI1720" s="91"/>
      <c r="AJ1720" s="91"/>
      <c r="AK1720" s="91"/>
      <c r="AL1720" s="91"/>
      <c r="AM1720" s="91"/>
      <c r="AN1720" s="91"/>
      <c r="AO1720" s="91"/>
      <c r="AP1720" s="91"/>
      <c r="AQ1720" s="91"/>
      <c r="AR1720" s="91"/>
      <c r="AS1720" s="91"/>
      <c r="AT1720" s="91"/>
      <c r="AU1720" s="91"/>
      <c r="AV1720" s="91"/>
      <c r="AW1720" s="67"/>
      <c r="AX1720" s="160"/>
      <c r="AY1720" s="160"/>
      <c r="AZ1720" s="160"/>
      <c r="BA1720" s="160"/>
      <c r="BB1720" s="160"/>
      <c r="BC1720" s="160"/>
      <c r="BD1720" s="160"/>
      <c r="BE1720" s="160"/>
      <c r="BF1720" s="160"/>
      <c r="BG1720" s="160"/>
      <c r="BH1720" s="160"/>
      <c r="BI1720" s="106"/>
      <c r="BJ1720" s="106"/>
      <c r="BK1720" s="106"/>
      <c r="BL1720" s="106"/>
      <c r="BM1720" s="106"/>
      <c r="BN1720" s="106"/>
      <c r="BO1720" s="106"/>
    </row>
    <row r="1721" spans="25:67" hidden="1" x14ac:dyDescent="0.25">
      <c r="Y1721" s="91"/>
      <c r="Z1721" s="91" t="s">
        <v>833</v>
      </c>
      <c r="AA1721" s="91"/>
      <c r="AB1721" s="91"/>
      <c r="AC1721" s="91"/>
      <c r="AD1721" s="91"/>
      <c r="AE1721" s="91"/>
      <c r="AF1721" s="91"/>
      <c r="AG1721" s="91"/>
      <c r="AH1721" s="91"/>
      <c r="AI1721" s="91"/>
      <c r="AJ1721" s="91"/>
      <c r="AK1721" s="91"/>
      <c r="AL1721" s="91"/>
      <c r="AM1721" s="91"/>
      <c r="AN1721" s="91"/>
      <c r="AO1721" s="91"/>
      <c r="AP1721" s="91"/>
      <c r="AQ1721" s="91"/>
      <c r="AR1721" s="91"/>
      <c r="AS1721" s="91"/>
      <c r="AT1721" s="91"/>
      <c r="AU1721" s="91"/>
      <c r="AV1721" s="91"/>
      <c r="AW1721" s="67"/>
      <c r="AX1721" s="160"/>
      <c r="AY1721" s="160"/>
      <c r="AZ1721" s="160"/>
      <c r="BA1721" s="160"/>
      <c r="BB1721" s="160"/>
      <c r="BC1721" s="160"/>
      <c r="BD1721" s="160"/>
      <c r="BE1721" s="160"/>
      <c r="BF1721" s="160"/>
      <c r="BG1721" s="160"/>
      <c r="BH1721" s="160"/>
      <c r="BI1721" s="106"/>
      <c r="BJ1721" s="106"/>
      <c r="BK1721" s="106"/>
      <c r="BL1721" s="106"/>
      <c r="BM1721" s="106"/>
      <c r="BN1721" s="106"/>
      <c r="BO1721" s="106"/>
    </row>
    <row r="1722" spans="25:67" hidden="1" x14ac:dyDescent="0.25">
      <c r="Y1722" s="91"/>
      <c r="Z1722" s="91" t="s">
        <v>834</v>
      </c>
      <c r="AA1722" s="91"/>
      <c r="AB1722" s="91"/>
      <c r="AC1722" s="91"/>
      <c r="AD1722" s="91"/>
      <c r="AE1722" s="91"/>
      <c r="AF1722" s="91"/>
      <c r="AG1722" s="91"/>
      <c r="AH1722" s="91"/>
      <c r="AI1722" s="91"/>
      <c r="AJ1722" s="91"/>
      <c r="AK1722" s="91"/>
      <c r="AL1722" s="91"/>
      <c r="AM1722" s="91"/>
      <c r="AN1722" s="91"/>
      <c r="AO1722" s="91"/>
      <c r="AP1722" s="91"/>
      <c r="AQ1722" s="91"/>
      <c r="AR1722" s="91"/>
      <c r="AS1722" s="91"/>
      <c r="AT1722" s="91"/>
      <c r="AU1722" s="91"/>
      <c r="AV1722" s="91"/>
      <c r="AW1722" s="67"/>
      <c r="AX1722" s="160"/>
      <c r="AY1722" s="160"/>
      <c r="AZ1722" s="160"/>
      <c r="BA1722" s="160"/>
      <c r="BB1722" s="160"/>
      <c r="BC1722" s="160"/>
      <c r="BD1722" s="160"/>
      <c r="BE1722" s="160"/>
      <c r="BF1722" s="160"/>
      <c r="BG1722" s="160"/>
      <c r="BH1722" s="160"/>
      <c r="BI1722" s="106"/>
      <c r="BJ1722" s="106"/>
      <c r="BK1722" s="106"/>
      <c r="BL1722" s="106"/>
      <c r="BM1722" s="106"/>
      <c r="BN1722" s="106"/>
      <c r="BO1722" s="106"/>
    </row>
    <row r="1723" spans="25:67" hidden="1" x14ac:dyDescent="0.25">
      <c r="Y1723" s="91"/>
      <c r="Z1723" s="91" t="s">
        <v>835</v>
      </c>
      <c r="AA1723" s="91"/>
      <c r="AB1723" s="91"/>
      <c r="AC1723" s="91"/>
      <c r="AD1723" s="91"/>
      <c r="AE1723" s="91"/>
      <c r="AF1723" s="91"/>
      <c r="AG1723" s="91"/>
      <c r="AH1723" s="91"/>
      <c r="AI1723" s="91"/>
      <c r="AJ1723" s="91"/>
      <c r="AK1723" s="91"/>
      <c r="AL1723" s="91"/>
      <c r="AM1723" s="91"/>
      <c r="AN1723" s="91"/>
      <c r="AO1723" s="91"/>
      <c r="AP1723" s="91"/>
      <c r="AQ1723" s="91"/>
      <c r="AR1723" s="91"/>
      <c r="AS1723" s="91"/>
      <c r="AT1723" s="91"/>
      <c r="AU1723" s="91"/>
      <c r="AV1723" s="91"/>
      <c r="AW1723" s="67"/>
      <c r="AX1723" s="160"/>
      <c r="AY1723" s="160"/>
      <c r="AZ1723" s="160"/>
      <c r="BA1723" s="160"/>
      <c r="BB1723" s="160"/>
      <c r="BC1723" s="160"/>
      <c r="BD1723" s="160"/>
      <c r="BE1723" s="160"/>
      <c r="BF1723" s="160"/>
      <c r="BG1723" s="160"/>
      <c r="BH1723" s="160"/>
      <c r="BI1723" s="106"/>
      <c r="BJ1723" s="106"/>
      <c r="BK1723" s="106"/>
      <c r="BL1723" s="106"/>
      <c r="BM1723" s="106"/>
      <c r="BN1723" s="106"/>
      <c r="BO1723" s="106"/>
    </row>
    <row r="1724" spans="25:67" hidden="1" x14ac:dyDescent="0.25">
      <c r="Y1724" s="91"/>
      <c r="Z1724" s="91" t="s">
        <v>836</v>
      </c>
      <c r="AA1724" s="91"/>
      <c r="AB1724" s="91"/>
      <c r="AC1724" s="91"/>
      <c r="AD1724" s="91"/>
      <c r="AE1724" s="91"/>
      <c r="AF1724" s="91"/>
      <c r="AG1724" s="91"/>
      <c r="AH1724" s="91"/>
      <c r="AI1724" s="91"/>
      <c r="AJ1724" s="91"/>
      <c r="AK1724" s="91"/>
      <c r="AL1724" s="91"/>
      <c r="AM1724" s="91"/>
      <c r="AN1724" s="91"/>
      <c r="AO1724" s="91"/>
      <c r="AP1724" s="91"/>
      <c r="AQ1724" s="91"/>
      <c r="AR1724" s="91"/>
      <c r="AS1724" s="91"/>
      <c r="AT1724" s="91"/>
      <c r="AU1724" s="91"/>
      <c r="AV1724" s="91"/>
      <c r="AW1724" s="67"/>
      <c r="AX1724" s="160"/>
      <c r="AY1724" s="160"/>
      <c r="AZ1724" s="160"/>
      <c r="BA1724" s="160"/>
      <c r="BB1724" s="160"/>
      <c r="BC1724" s="160"/>
      <c r="BD1724" s="160"/>
      <c r="BE1724" s="160"/>
      <c r="BF1724" s="160"/>
      <c r="BG1724" s="160"/>
      <c r="BH1724" s="160"/>
      <c r="BI1724" s="106"/>
      <c r="BJ1724" s="106"/>
      <c r="BK1724" s="106"/>
      <c r="BL1724" s="106"/>
      <c r="BM1724" s="106"/>
      <c r="BN1724" s="106"/>
      <c r="BO1724" s="106"/>
    </row>
    <row r="1725" spans="25:67" hidden="1" x14ac:dyDescent="0.25">
      <c r="Y1725" s="91"/>
      <c r="Z1725" s="91" t="s">
        <v>837</v>
      </c>
      <c r="AA1725" s="91"/>
      <c r="AB1725" s="91"/>
      <c r="AC1725" s="91"/>
      <c r="AD1725" s="91"/>
      <c r="AE1725" s="91"/>
      <c r="AF1725" s="91"/>
      <c r="AG1725" s="91"/>
      <c r="AH1725" s="91"/>
      <c r="AI1725" s="91"/>
      <c r="AJ1725" s="91"/>
      <c r="AK1725" s="91"/>
      <c r="AL1725" s="91"/>
      <c r="AM1725" s="91"/>
      <c r="AN1725" s="91"/>
      <c r="AO1725" s="91"/>
      <c r="AP1725" s="91"/>
      <c r="AQ1725" s="91"/>
      <c r="AR1725" s="91"/>
      <c r="AS1725" s="91"/>
      <c r="AT1725" s="91"/>
      <c r="AU1725" s="91"/>
      <c r="AV1725" s="91"/>
      <c r="AW1725" s="67"/>
      <c r="AX1725" s="160"/>
      <c r="AY1725" s="160"/>
      <c r="AZ1725" s="160"/>
      <c r="BA1725" s="160"/>
      <c r="BB1725" s="160"/>
      <c r="BC1725" s="160"/>
      <c r="BD1725" s="160"/>
      <c r="BE1725" s="160"/>
      <c r="BF1725" s="160"/>
      <c r="BG1725" s="160"/>
      <c r="BH1725" s="160"/>
      <c r="BI1725" s="106"/>
      <c r="BJ1725" s="106"/>
      <c r="BK1725" s="106"/>
      <c r="BL1725" s="106"/>
      <c r="BM1725" s="106"/>
      <c r="BN1725" s="106"/>
      <c r="BO1725" s="106"/>
    </row>
    <row r="1726" spans="25:67" hidden="1" x14ac:dyDescent="0.25">
      <c r="Y1726" s="91"/>
      <c r="Z1726" s="91" t="s">
        <v>838</v>
      </c>
      <c r="AA1726" s="91"/>
      <c r="AB1726" s="91"/>
      <c r="AC1726" s="91"/>
      <c r="AD1726" s="91"/>
      <c r="AE1726" s="91"/>
      <c r="AF1726" s="91"/>
      <c r="AG1726" s="91"/>
      <c r="AH1726" s="91"/>
      <c r="AI1726" s="91"/>
      <c r="AJ1726" s="91"/>
      <c r="AK1726" s="91"/>
      <c r="AL1726" s="91"/>
      <c r="AM1726" s="91"/>
      <c r="AN1726" s="91"/>
      <c r="AO1726" s="91"/>
      <c r="AP1726" s="91"/>
      <c r="AQ1726" s="91"/>
      <c r="AR1726" s="91"/>
      <c r="AS1726" s="91"/>
      <c r="AT1726" s="91"/>
      <c r="AU1726" s="91"/>
      <c r="AV1726" s="91"/>
      <c r="AW1726" s="67"/>
      <c r="AX1726" s="160"/>
      <c r="AY1726" s="160"/>
      <c r="AZ1726" s="160"/>
      <c r="BA1726" s="160"/>
      <c r="BB1726" s="160"/>
      <c r="BC1726" s="160"/>
      <c r="BD1726" s="160"/>
      <c r="BE1726" s="160"/>
      <c r="BF1726" s="160"/>
      <c r="BG1726" s="160"/>
      <c r="BH1726" s="160"/>
      <c r="BI1726" s="106"/>
      <c r="BJ1726" s="106"/>
      <c r="BK1726" s="106"/>
      <c r="BL1726" s="106"/>
      <c r="BM1726" s="106"/>
      <c r="BN1726" s="106"/>
      <c r="BO1726" s="106"/>
    </row>
    <row r="1727" spans="25:67" hidden="1" x14ac:dyDescent="0.25">
      <c r="Y1727" s="91"/>
      <c r="Z1727" s="91" t="s">
        <v>839</v>
      </c>
      <c r="AA1727" s="91"/>
      <c r="AB1727" s="91"/>
      <c r="AC1727" s="91"/>
      <c r="AD1727" s="91"/>
      <c r="AE1727" s="91"/>
      <c r="AF1727" s="91"/>
      <c r="AG1727" s="91"/>
      <c r="AH1727" s="91"/>
      <c r="AI1727" s="91"/>
      <c r="AJ1727" s="91"/>
      <c r="AK1727" s="91"/>
      <c r="AL1727" s="91"/>
      <c r="AM1727" s="91"/>
      <c r="AN1727" s="91"/>
      <c r="AO1727" s="91"/>
      <c r="AP1727" s="91"/>
      <c r="AQ1727" s="91"/>
      <c r="AR1727" s="91"/>
      <c r="AS1727" s="91"/>
      <c r="AT1727" s="91"/>
      <c r="AU1727" s="91"/>
      <c r="AV1727" s="91"/>
      <c r="AW1727" s="67"/>
      <c r="AX1727" s="160"/>
      <c r="AY1727" s="160"/>
      <c r="AZ1727" s="160"/>
      <c r="BA1727" s="160"/>
      <c r="BB1727" s="160"/>
      <c r="BC1727" s="160"/>
      <c r="BD1727" s="160"/>
      <c r="BE1727" s="160"/>
      <c r="BF1727" s="160"/>
      <c r="BG1727" s="160"/>
      <c r="BH1727" s="160"/>
      <c r="BI1727" s="106"/>
      <c r="BJ1727" s="106"/>
      <c r="BK1727" s="106"/>
      <c r="BL1727" s="106"/>
      <c r="BM1727" s="106"/>
      <c r="BN1727" s="106"/>
      <c r="BO1727" s="106"/>
    </row>
    <row r="1728" spans="25:67" hidden="1" x14ac:dyDescent="0.25">
      <c r="Y1728" s="91"/>
      <c r="Z1728" s="91" t="s">
        <v>840</v>
      </c>
      <c r="AA1728" s="91"/>
      <c r="AB1728" s="91"/>
      <c r="AC1728" s="91"/>
      <c r="AD1728" s="91"/>
      <c r="AE1728" s="91"/>
      <c r="AF1728" s="91"/>
      <c r="AG1728" s="91"/>
      <c r="AH1728" s="91"/>
      <c r="AI1728" s="91"/>
      <c r="AJ1728" s="91"/>
      <c r="AK1728" s="91"/>
      <c r="AL1728" s="91"/>
      <c r="AM1728" s="91"/>
      <c r="AN1728" s="91"/>
      <c r="AO1728" s="91"/>
      <c r="AP1728" s="91"/>
      <c r="AQ1728" s="91"/>
      <c r="AR1728" s="91"/>
      <c r="AS1728" s="91"/>
      <c r="AT1728" s="91"/>
      <c r="AU1728" s="91"/>
      <c r="AV1728" s="91"/>
      <c r="AW1728" s="67"/>
      <c r="AX1728" s="160"/>
      <c r="AY1728" s="160"/>
      <c r="AZ1728" s="160"/>
      <c r="BA1728" s="160"/>
      <c r="BB1728" s="160"/>
      <c r="BC1728" s="160"/>
      <c r="BD1728" s="160"/>
      <c r="BE1728" s="160"/>
      <c r="BF1728" s="160"/>
      <c r="BG1728" s="160"/>
      <c r="BH1728" s="160"/>
      <c r="BI1728" s="106"/>
      <c r="BJ1728" s="106"/>
      <c r="BK1728" s="106"/>
      <c r="BL1728" s="106"/>
      <c r="BM1728" s="106"/>
      <c r="BN1728" s="106"/>
      <c r="BO1728" s="106"/>
    </row>
    <row r="1729" spans="25:67" hidden="1" x14ac:dyDescent="0.25">
      <c r="Y1729" s="91"/>
      <c r="Z1729" s="91" t="s">
        <v>841</v>
      </c>
      <c r="AA1729" s="91"/>
      <c r="AB1729" s="91"/>
      <c r="AC1729" s="91"/>
      <c r="AD1729" s="91"/>
      <c r="AE1729" s="91"/>
      <c r="AF1729" s="91"/>
      <c r="AG1729" s="91"/>
      <c r="AH1729" s="91"/>
      <c r="AI1729" s="91"/>
      <c r="AJ1729" s="91"/>
      <c r="AK1729" s="91"/>
      <c r="AL1729" s="91"/>
      <c r="AM1729" s="91"/>
      <c r="AN1729" s="91"/>
      <c r="AO1729" s="91"/>
      <c r="AP1729" s="91"/>
      <c r="AQ1729" s="91"/>
      <c r="AR1729" s="91"/>
      <c r="AS1729" s="91"/>
      <c r="AT1729" s="91"/>
      <c r="AU1729" s="91"/>
      <c r="AV1729" s="91"/>
      <c r="AW1729" s="67"/>
      <c r="AX1729" s="160"/>
      <c r="AY1729" s="160"/>
      <c r="AZ1729" s="160"/>
      <c r="BA1729" s="160"/>
      <c r="BB1729" s="160"/>
      <c r="BC1729" s="160"/>
      <c r="BD1729" s="160"/>
      <c r="BE1729" s="160"/>
      <c r="BF1729" s="160"/>
      <c r="BG1729" s="160"/>
      <c r="BH1729" s="160"/>
      <c r="BI1729" s="106"/>
      <c r="BJ1729" s="106"/>
      <c r="BK1729" s="106"/>
      <c r="BL1729" s="106"/>
      <c r="BM1729" s="106"/>
      <c r="BN1729" s="106"/>
      <c r="BO1729" s="106"/>
    </row>
    <row r="1730" spans="25:67" hidden="1" x14ac:dyDescent="0.25">
      <c r="Y1730" s="91"/>
      <c r="Z1730" s="91" t="s">
        <v>842</v>
      </c>
      <c r="AA1730" s="91"/>
      <c r="AB1730" s="91"/>
      <c r="AC1730" s="91"/>
      <c r="AD1730" s="91"/>
      <c r="AE1730" s="91"/>
      <c r="AF1730" s="91"/>
      <c r="AG1730" s="91"/>
      <c r="AH1730" s="91"/>
      <c r="AI1730" s="91"/>
      <c r="AJ1730" s="91"/>
      <c r="AK1730" s="91"/>
      <c r="AL1730" s="91"/>
      <c r="AM1730" s="91"/>
      <c r="AN1730" s="91"/>
      <c r="AO1730" s="91"/>
      <c r="AP1730" s="91"/>
      <c r="AQ1730" s="91"/>
      <c r="AR1730" s="91"/>
      <c r="AS1730" s="91"/>
      <c r="AT1730" s="91"/>
      <c r="AU1730" s="91"/>
      <c r="AV1730" s="91"/>
      <c r="AW1730" s="67"/>
      <c r="AX1730" s="160"/>
      <c r="AY1730" s="160"/>
      <c r="AZ1730" s="160"/>
      <c r="BA1730" s="160"/>
      <c r="BB1730" s="160"/>
      <c r="BC1730" s="160"/>
      <c r="BD1730" s="160"/>
      <c r="BE1730" s="160"/>
      <c r="BF1730" s="160"/>
      <c r="BG1730" s="160"/>
      <c r="BH1730" s="160"/>
      <c r="BI1730" s="106"/>
      <c r="BJ1730" s="106"/>
      <c r="BK1730" s="106"/>
      <c r="BL1730" s="106"/>
      <c r="BM1730" s="106"/>
      <c r="BN1730" s="106"/>
      <c r="BO1730" s="106"/>
    </row>
    <row r="1731" spans="25:67" hidden="1" x14ac:dyDescent="0.25">
      <c r="Y1731" s="91"/>
      <c r="Z1731" s="91" t="s">
        <v>843</v>
      </c>
      <c r="AA1731" s="91"/>
      <c r="AB1731" s="91"/>
      <c r="AC1731" s="91"/>
      <c r="AD1731" s="91"/>
      <c r="AE1731" s="91"/>
      <c r="AF1731" s="91"/>
      <c r="AG1731" s="91"/>
      <c r="AH1731" s="91"/>
      <c r="AI1731" s="91"/>
      <c r="AJ1731" s="91"/>
      <c r="AK1731" s="91"/>
      <c r="AL1731" s="91"/>
      <c r="AM1731" s="91"/>
      <c r="AN1731" s="91"/>
      <c r="AO1731" s="91"/>
      <c r="AP1731" s="91"/>
      <c r="AQ1731" s="91"/>
      <c r="AR1731" s="91"/>
      <c r="AS1731" s="91"/>
      <c r="AT1731" s="91"/>
      <c r="AU1731" s="91"/>
      <c r="AV1731" s="91"/>
      <c r="AW1731" s="67"/>
      <c r="AX1731" s="160"/>
      <c r="AY1731" s="160"/>
      <c r="AZ1731" s="160"/>
      <c r="BA1731" s="160"/>
      <c r="BB1731" s="160"/>
      <c r="BC1731" s="160"/>
      <c r="BD1731" s="160"/>
      <c r="BE1731" s="160"/>
      <c r="BF1731" s="160"/>
      <c r="BG1731" s="160"/>
      <c r="BH1731" s="160"/>
      <c r="BI1731" s="106"/>
      <c r="BJ1731" s="106"/>
      <c r="BK1731" s="106"/>
      <c r="BL1731" s="106"/>
      <c r="BM1731" s="106"/>
      <c r="BN1731" s="106"/>
      <c r="BO1731" s="106"/>
    </row>
    <row r="1732" spans="25:67" hidden="1" x14ac:dyDescent="0.25">
      <c r="Y1732" s="91"/>
      <c r="Z1732" s="91" t="s">
        <v>844</v>
      </c>
      <c r="AA1732" s="91"/>
      <c r="AB1732" s="91"/>
      <c r="AC1732" s="91"/>
      <c r="AD1732" s="91"/>
      <c r="AE1732" s="91"/>
      <c r="AF1732" s="91"/>
      <c r="AG1732" s="91"/>
      <c r="AH1732" s="91"/>
      <c r="AI1732" s="91"/>
      <c r="AJ1732" s="91"/>
      <c r="AK1732" s="91"/>
      <c r="AL1732" s="91"/>
      <c r="AM1732" s="91"/>
      <c r="AN1732" s="91"/>
      <c r="AO1732" s="91"/>
      <c r="AP1732" s="91"/>
      <c r="AQ1732" s="91"/>
      <c r="AR1732" s="91"/>
      <c r="AS1732" s="91"/>
      <c r="AT1732" s="91"/>
      <c r="AU1732" s="91"/>
      <c r="AV1732" s="91"/>
      <c r="AW1732" s="67"/>
      <c r="AX1732" s="160"/>
      <c r="AY1732" s="160"/>
      <c r="AZ1732" s="160"/>
      <c r="BA1732" s="160"/>
      <c r="BB1732" s="160"/>
      <c r="BC1732" s="160"/>
      <c r="BD1732" s="160"/>
      <c r="BE1732" s="160"/>
      <c r="BF1732" s="160"/>
      <c r="BG1732" s="160"/>
      <c r="BH1732" s="160"/>
      <c r="BI1732" s="106"/>
      <c r="BJ1732" s="106"/>
      <c r="BK1732" s="106"/>
      <c r="BL1732" s="106"/>
      <c r="BM1732" s="106"/>
      <c r="BN1732" s="106"/>
      <c r="BO1732" s="106"/>
    </row>
    <row r="1733" spans="25:67" hidden="1" x14ac:dyDescent="0.25">
      <c r="Y1733" s="91"/>
      <c r="Z1733" s="91" t="s">
        <v>845</v>
      </c>
      <c r="AA1733" s="91"/>
      <c r="AB1733" s="91"/>
      <c r="AC1733" s="91"/>
      <c r="AD1733" s="91"/>
      <c r="AE1733" s="91"/>
      <c r="AF1733" s="91"/>
      <c r="AG1733" s="91"/>
      <c r="AH1733" s="91"/>
      <c r="AI1733" s="91"/>
      <c r="AJ1733" s="91"/>
      <c r="AK1733" s="91"/>
      <c r="AL1733" s="91"/>
      <c r="AM1733" s="91"/>
      <c r="AN1733" s="91"/>
      <c r="AO1733" s="91"/>
      <c r="AP1733" s="91"/>
      <c r="AQ1733" s="91"/>
      <c r="AR1733" s="91"/>
      <c r="AS1733" s="91"/>
      <c r="AT1733" s="91"/>
      <c r="AU1733" s="91"/>
      <c r="AV1733" s="91"/>
      <c r="AW1733" s="67"/>
      <c r="AX1733" s="160"/>
      <c r="AY1733" s="160"/>
      <c r="AZ1733" s="160"/>
      <c r="BA1733" s="160"/>
      <c r="BB1733" s="160"/>
      <c r="BC1733" s="160"/>
      <c r="BD1733" s="160"/>
      <c r="BE1733" s="160"/>
      <c r="BF1733" s="160"/>
      <c r="BG1733" s="160"/>
      <c r="BH1733" s="160"/>
      <c r="BI1733" s="106"/>
      <c r="BJ1733" s="106"/>
      <c r="BK1733" s="106"/>
      <c r="BL1733" s="106"/>
      <c r="BM1733" s="106"/>
      <c r="BN1733" s="106"/>
      <c r="BO1733" s="106"/>
    </row>
    <row r="1734" spans="25:67" hidden="1" x14ac:dyDescent="0.25">
      <c r="Y1734" s="91"/>
      <c r="Z1734" s="91" t="s">
        <v>846</v>
      </c>
      <c r="AA1734" s="91"/>
      <c r="AB1734" s="91"/>
      <c r="AC1734" s="91"/>
      <c r="AD1734" s="91"/>
      <c r="AE1734" s="91"/>
      <c r="AF1734" s="91"/>
      <c r="AG1734" s="91"/>
      <c r="AH1734" s="91"/>
      <c r="AI1734" s="91"/>
      <c r="AJ1734" s="91"/>
      <c r="AK1734" s="91"/>
      <c r="AL1734" s="91"/>
      <c r="AM1734" s="91"/>
      <c r="AN1734" s="91"/>
      <c r="AO1734" s="91"/>
      <c r="AP1734" s="91"/>
      <c r="AQ1734" s="91"/>
      <c r="AR1734" s="91"/>
      <c r="AS1734" s="91"/>
      <c r="AT1734" s="91"/>
      <c r="AU1734" s="91"/>
      <c r="AV1734" s="91"/>
      <c r="AW1734" s="67"/>
      <c r="AX1734" s="160"/>
      <c r="AY1734" s="160"/>
      <c r="AZ1734" s="160"/>
      <c r="BA1734" s="160"/>
      <c r="BB1734" s="160"/>
      <c r="BC1734" s="160"/>
      <c r="BD1734" s="160"/>
      <c r="BE1734" s="160"/>
      <c r="BF1734" s="160"/>
      <c r="BG1734" s="160"/>
      <c r="BH1734" s="160"/>
      <c r="BI1734" s="106"/>
      <c r="BJ1734" s="106"/>
      <c r="BK1734" s="106"/>
      <c r="BL1734" s="106"/>
      <c r="BM1734" s="106"/>
      <c r="BN1734" s="106"/>
      <c r="BO1734" s="106"/>
    </row>
    <row r="1735" spans="25:67" hidden="1" x14ac:dyDescent="0.25">
      <c r="Y1735" s="91"/>
      <c r="Z1735" s="91" t="s">
        <v>847</v>
      </c>
      <c r="AA1735" s="91"/>
      <c r="AB1735" s="91"/>
      <c r="AC1735" s="91"/>
      <c r="AD1735" s="91"/>
      <c r="AE1735" s="91"/>
      <c r="AF1735" s="91"/>
      <c r="AG1735" s="91"/>
      <c r="AH1735" s="91"/>
      <c r="AI1735" s="91"/>
      <c r="AJ1735" s="91"/>
      <c r="AK1735" s="91"/>
      <c r="AL1735" s="91"/>
      <c r="AM1735" s="91"/>
      <c r="AN1735" s="91"/>
      <c r="AO1735" s="91"/>
      <c r="AP1735" s="91"/>
      <c r="AQ1735" s="91"/>
      <c r="AR1735" s="91"/>
      <c r="AS1735" s="91"/>
      <c r="AT1735" s="91"/>
      <c r="AU1735" s="91"/>
      <c r="AV1735" s="91"/>
      <c r="AW1735" s="67"/>
      <c r="AX1735" s="160"/>
      <c r="AY1735" s="160"/>
      <c r="AZ1735" s="160"/>
      <c r="BA1735" s="160"/>
      <c r="BB1735" s="160"/>
      <c r="BC1735" s="160"/>
      <c r="BD1735" s="160"/>
      <c r="BE1735" s="160"/>
      <c r="BF1735" s="160"/>
      <c r="BG1735" s="160"/>
      <c r="BH1735" s="160"/>
      <c r="BI1735" s="106"/>
      <c r="BJ1735" s="106"/>
      <c r="BK1735" s="106"/>
      <c r="BL1735" s="106"/>
      <c r="BM1735" s="106"/>
      <c r="BN1735" s="106"/>
      <c r="BO1735" s="106"/>
    </row>
    <row r="1736" spans="25:67" hidden="1" x14ac:dyDescent="0.25">
      <c r="Y1736" s="91"/>
      <c r="Z1736" s="69" t="s">
        <v>848</v>
      </c>
      <c r="AA1736" s="91"/>
      <c r="AB1736" s="91"/>
      <c r="AC1736" s="91"/>
      <c r="AD1736" s="91"/>
      <c r="AE1736" s="91"/>
      <c r="AF1736" s="91"/>
      <c r="AG1736" s="91"/>
      <c r="AH1736" s="91"/>
      <c r="AI1736" s="91"/>
      <c r="AJ1736" s="91"/>
      <c r="AK1736" s="91"/>
      <c r="AL1736" s="91"/>
      <c r="AM1736" s="91"/>
      <c r="AN1736" s="91"/>
      <c r="AO1736" s="91"/>
      <c r="AP1736" s="91"/>
      <c r="AQ1736" s="91"/>
      <c r="AR1736" s="91"/>
      <c r="AS1736" s="91"/>
      <c r="AT1736" s="91"/>
      <c r="AU1736" s="91"/>
      <c r="AV1736" s="91"/>
      <c r="AW1736" s="67"/>
      <c r="AX1736" s="160"/>
      <c r="AY1736" s="160"/>
      <c r="AZ1736" s="160"/>
      <c r="BA1736" s="160"/>
      <c r="BB1736" s="160"/>
      <c r="BC1736" s="160"/>
      <c r="BD1736" s="160"/>
      <c r="BE1736" s="160"/>
      <c r="BF1736" s="160"/>
      <c r="BG1736" s="160"/>
      <c r="BH1736" s="160"/>
      <c r="BI1736" s="106"/>
      <c r="BJ1736" s="106"/>
      <c r="BK1736" s="106"/>
      <c r="BL1736" s="106"/>
      <c r="BM1736" s="106"/>
      <c r="BN1736" s="106"/>
      <c r="BO1736" s="106"/>
    </row>
    <row r="1737" spans="25:67" hidden="1" x14ac:dyDescent="0.25">
      <c r="Y1737" s="91"/>
      <c r="Z1737" s="91" t="s">
        <v>849</v>
      </c>
      <c r="AA1737" s="91"/>
      <c r="AB1737" s="91"/>
      <c r="AC1737" s="91"/>
      <c r="AD1737" s="91"/>
      <c r="AE1737" s="91"/>
      <c r="AF1737" s="91"/>
      <c r="AG1737" s="91"/>
      <c r="AH1737" s="91"/>
      <c r="AI1737" s="91"/>
      <c r="AJ1737" s="91"/>
      <c r="AK1737" s="91"/>
      <c r="AL1737" s="91"/>
      <c r="AM1737" s="91"/>
      <c r="AN1737" s="91"/>
      <c r="AO1737" s="91"/>
      <c r="AP1737" s="91"/>
      <c r="AQ1737" s="91"/>
      <c r="AR1737" s="91"/>
      <c r="AS1737" s="91"/>
      <c r="AT1737" s="91"/>
      <c r="AU1737" s="91"/>
      <c r="AV1737" s="91"/>
      <c r="AW1737" s="67"/>
      <c r="AX1737" s="160"/>
      <c r="AY1737" s="160"/>
      <c r="AZ1737" s="160"/>
      <c r="BA1737" s="160"/>
      <c r="BB1737" s="160"/>
      <c r="BC1737" s="160"/>
      <c r="BD1737" s="160"/>
      <c r="BE1737" s="160"/>
      <c r="BF1737" s="160"/>
      <c r="BG1737" s="160"/>
      <c r="BH1737" s="160"/>
      <c r="BI1737" s="106"/>
      <c r="BJ1737" s="106"/>
      <c r="BK1737" s="106"/>
      <c r="BL1737" s="106"/>
      <c r="BM1737" s="106"/>
      <c r="BN1737" s="106"/>
      <c r="BO1737" s="106"/>
    </row>
    <row r="1738" spans="25:67" hidden="1" x14ac:dyDescent="0.25">
      <c r="Y1738" s="91"/>
      <c r="Z1738" s="91" t="s">
        <v>850</v>
      </c>
      <c r="AA1738" s="91"/>
      <c r="AB1738" s="91"/>
      <c r="AC1738" s="91"/>
      <c r="AD1738" s="91"/>
      <c r="AE1738" s="91"/>
      <c r="AF1738" s="91"/>
      <c r="AG1738" s="91"/>
      <c r="AH1738" s="91"/>
      <c r="AI1738" s="91"/>
      <c r="AJ1738" s="91"/>
      <c r="AK1738" s="91"/>
      <c r="AL1738" s="91"/>
      <c r="AM1738" s="91"/>
      <c r="AN1738" s="91"/>
      <c r="AO1738" s="91"/>
      <c r="AP1738" s="91"/>
      <c r="AQ1738" s="91"/>
      <c r="AR1738" s="91"/>
      <c r="AS1738" s="91"/>
      <c r="AT1738" s="91"/>
      <c r="AU1738" s="91"/>
      <c r="AV1738" s="91"/>
      <c r="AW1738" s="67"/>
      <c r="AX1738" s="160"/>
      <c r="AY1738" s="160"/>
      <c r="AZ1738" s="160"/>
      <c r="BA1738" s="160"/>
      <c r="BB1738" s="160"/>
      <c r="BC1738" s="160"/>
      <c r="BD1738" s="160"/>
      <c r="BE1738" s="160"/>
      <c r="BF1738" s="160"/>
      <c r="BG1738" s="160"/>
      <c r="BH1738" s="160"/>
      <c r="BI1738" s="106"/>
      <c r="BJ1738" s="106"/>
      <c r="BK1738" s="106"/>
      <c r="BL1738" s="106"/>
      <c r="BM1738" s="106"/>
      <c r="BN1738" s="106"/>
      <c r="BO1738" s="106"/>
    </row>
    <row r="1739" spans="25:67" hidden="1" x14ac:dyDescent="0.25">
      <c r="Y1739" s="91"/>
      <c r="Z1739" s="91" t="s">
        <v>851</v>
      </c>
      <c r="AA1739" s="91"/>
      <c r="AB1739" s="91"/>
      <c r="AC1739" s="91"/>
      <c r="AD1739" s="91"/>
      <c r="AE1739" s="91"/>
      <c r="AF1739" s="91"/>
      <c r="AG1739" s="91"/>
      <c r="AH1739" s="91"/>
      <c r="AI1739" s="91"/>
      <c r="AJ1739" s="91"/>
      <c r="AK1739" s="91"/>
      <c r="AL1739" s="91"/>
      <c r="AM1739" s="91"/>
      <c r="AN1739" s="91"/>
      <c r="AO1739" s="91"/>
      <c r="AP1739" s="91"/>
      <c r="AQ1739" s="91"/>
      <c r="AR1739" s="91"/>
      <c r="AS1739" s="91"/>
      <c r="AT1739" s="91"/>
      <c r="AU1739" s="91"/>
      <c r="AV1739" s="91"/>
      <c r="AW1739" s="67"/>
      <c r="AX1739" s="160"/>
      <c r="AY1739" s="160"/>
      <c r="AZ1739" s="160"/>
      <c r="BA1739" s="160"/>
      <c r="BB1739" s="160"/>
      <c r="BC1739" s="160"/>
      <c r="BD1739" s="160"/>
      <c r="BE1739" s="160"/>
      <c r="BF1739" s="160"/>
      <c r="BG1739" s="160"/>
      <c r="BH1739" s="160"/>
      <c r="BI1739" s="106"/>
      <c r="BJ1739" s="106"/>
      <c r="BK1739" s="106"/>
      <c r="BL1739" s="106"/>
      <c r="BM1739" s="106"/>
      <c r="BN1739" s="106"/>
      <c r="BO1739" s="106"/>
    </row>
    <row r="1740" spans="25:67" hidden="1" x14ac:dyDescent="0.25">
      <c r="Y1740" s="91"/>
      <c r="Z1740" s="91" t="s">
        <v>852</v>
      </c>
      <c r="AA1740" s="91"/>
      <c r="AB1740" s="91"/>
      <c r="AC1740" s="91"/>
      <c r="AD1740" s="91"/>
      <c r="AE1740" s="91"/>
      <c r="AF1740" s="91"/>
      <c r="AG1740" s="91"/>
      <c r="AH1740" s="91"/>
      <c r="AI1740" s="91"/>
      <c r="AJ1740" s="91"/>
      <c r="AK1740" s="91"/>
      <c r="AL1740" s="91"/>
      <c r="AM1740" s="91"/>
      <c r="AN1740" s="91"/>
      <c r="AO1740" s="91"/>
      <c r="AP1740" s="91"/>
      <c r="AQ1740" s="91"/>
      <c r="AR1740" s="91"/>
      <c r="AS1740" s="91"/>
      <c r="AT1740" s="91"/>
      <c r="AU1740" s="91"/>
      <c r="AV1740" s="91"/>
      <c r="AW1740" s="67"/>
      <c r="AX1740" s="160"/>
      <c r="AY1740" s="160"/>
      <c r="AZ1740" s="160"/>
      <c r="BA1740" s="160"/>
      <c r="BB1740" s="160"/>
      <c r="BC1740" s="160"/>
      <c r="BD1740" s="160"/>
      <c r="BE1740" s="160"/>
      <c r="BF1740" s="160"/>
      <c r="BG1740" s="160"/>
      <c r="BH1740" s="160"/>
      <c r="BI1740" s="106"/>
      <c r="BJ1740" s="106"/>
      <c r="BK1740" s="106"/>
      <c r="BL1740" s="106"/>
      <c r="BM1740" s="106"/>
      <c r="BN1740" s="106"/>
      <c r="BO1740" s="106"/>
    </row>
    <row r="1741" spans="25:67" hidden="1" x14ac:dyDescent="0.25">
      <c r="Y1741" s="91"/>
      <c r="Z1741" s="91" t="s">
        <v>853</v>
      </c>
      <c r="AA1741" s="91"/>
      <c r="AB1741" s="91"/>
      <c r="AC1741" s="91"/>
      <c r="AD1741" s="91"/>
      <c r="AE1741" s="91"/>
      <c r="AF1741" s="91"/>
      <c r="AG1741" s="91"/>
      <c r="AH1741" s="91"/>
      <c r="AI1741" s="91"/>
      <c r="AJ1741" s="91"/>
      <c r="AK1741" s="91"/>
      <c r="AL1741" s="91"/>
      <c r="AM1741" s="91"/>
      <c r="AN1741" s="91"/>
      <c r="AO1741" s="91"/>
      <c r="AP1741" s="91"/>
      <c r="AQ1741" s="91"/>
      <c r="AR1741" s="91"/>
      <c r="AS1741" s="91"/>
      <c r="AT1741" s="91"/>
      <c r="AU1741" s="91"/>
      <c r="AV1741" s="91"/>
      <c r="AW1741" s="67"/>
      <c r="AX1741" s="160"/>
      <c r="AY1741" s="160"/>
      <c r="AZ1741" s="160"/>
      <c r="BA1741" s="160"/>
      <c r="BB1741" s="160"/>
      <c r="BC1741" s="160"/>
      <c r="BD1741" s="160"/>
      <c r="BE1741" s="160"/>
      <c r="BF1741" s="160"/>
      <c r="BG1741" s="160"/>
      <c r="BH1741" s="160"/>
      <c r="BI1741" s="106"/>
      <c r="BJ1741" s="106"/>
      <c r="BK1741" s="106"/>
      <c r="BL1741" s="106"/>
      <c r="BM1741" s="106"/>
      <c r="BN1741" s="106"/>
      <c r="BO1741" s="106"/>
    </row>
    <row r="1742" spans="25:67" hidden="1" x14ac:dyDescent="0.25">
      <c r="Y1742" s="91"/>
      <c r="Z1742" s="91" t="s">
        <v>854</v>
      </c>
      <c r="AA1742" s="91"/>
      <c r="AB1742" s="91"/>
      <c r="AC1742" s="91"/>
      <c r="AD1742" s="91"/>
      <c r="AE1742" s="91"/>
      <c r="AF1742" s="91"/>
      <c r="AG1742" s="91"/>
      <c r="AH1742" s="91"/>
      <c r="AI1742" s="91"/>
      <c r="AJ1742" s="91"/>
      <c r="AK1742" s="91"/>
      <c r="AL1742" s="91"/>
      <c r="AM1742" s="91"/>
      <c r="AN1742" s="91"/>
      <c r="AO1742" s="91"/>
      <c r="AP1742" s="91"/>
      <c r="AQ1742" s="91"/>
      <c r="AR1742" s="91"/>
      <c r="AS1742" s="91"/>
      <c r="AT1742" s="91"/>
      <c r="AU1742" s="91"/>
      <c r="AV1742" s="91"/>
      <c r="AW1742" s="67"/>
      <c r="AX1742" s="160"/>
      <c r="AY1742" s="160"/>
      <c r="AZ1742" s="160"/>
      <c r="BA1742" s="160"/>
      <c r="BB1742" s="160"/>
      <c r="BC1742" s="160"/>
      <c r="BD1742" s="160"/>
      <c r="BE1742" s="160"/>
      <c r="BF1742" s="160"/>
      <c r="BG1742" s="160"/>
      <c r="BH1742" s="160"/>
      <c r="BI1742" s="106"/>
      <c r="BJ1742" s="106"/>
      <c r="BK1742" s="106"/>
      <c r="BL1742" s="106"/>
      <c r="BM1742" s="106"/>
      <c r="BN1742" s="106"/>
      <c r="BO1742" s="106"/>
    </row>
    <row r="1743" spans="25:67" hidden="1" x14ac:dyDescent="0.25">
      <c r="Y1743" s="91"/>
      <c r="Z1743" s="91" t="s">
        <v>855</v>
      </c>
      <c r="AA1743" s="91"/>
      <c r="AB1743" s="91"/>
      <c r="AC1743" s="91"/>
      <c r="AD1743" s="91"/>
      <c r="AE1743" s="91"/>
      <c r="AF1743" s="91"/>
      <c r="AG1743" s="91"/>
      <c r="AH1743" s="91"/>
      <c r="AI1743" s="91"/>
      <c r="AJ1743" s="91"/>
      <c r="AK1743" s="91"/>
      <c r="AL1743" s="91"/>
      <c r="AM1743" s="91"/>
      <c r="AN1743" s="91"/>
      <c r="AO1743" s="91"/>
      <c r="AP1743" s="91"/>
      <c r="AQ1743" s="91"/>
      <c r="AR1743" s="91"/>
      <c r="AS1743" s="91"/>
      <c r="AT1743" s="91"/>
      <c r="AU1743" s="91"/>
      <c r="AV1743" s="91"/>
      <c r="AW1743" s="67"/>
      <c r="AX1743" s="160"/>
      <c r="AY1743" s="160"/>
      <c r="AZ1743" s="160"/>
      <c r="BA1743" s="160"/>
      <c r="BB1743" s="160"/>
      <c r="BC1743" s="160"/>
      <c r="BD1743" s="160"/>
      <c r="BE1743" s="160"/>
      <c r="BF1743" s="160"/>
      <c r="BG1743" s="160"/>
      <c r="BH1743" s="160"/>
      <c r="BI1743" s="106"/>
      <c r="BJ1743" s="106"/>
      <c r="BK1743" s="106"/>
      <c r="BL1743" s="106"/>
      <c r="BM1743" s="106"/>
      <c r="BN1743" s="106"/>
      <c r="BO1743" s="106"/>
    </row>
    <row r="1744" spans="25:67" hidden="1" x14ac:dyDescent="0.25">
      <c r="Y1744" s="91"/>
      <c r="Z1744" s="91" t="s">
        <v>856</v>
      </c>
      <c r="AA1744" s="91"/>
      <c r="AB1744" s="91"/>
      <c r="AC1744" s="91"/>
      <c r="AD1744" s="91"/>
      <c r="AE1744" s="91"/>
      <c r="AF1744" s="91"/>
      <c r="AG1744" s="91"/>
      <c r="AH1744" s="91"/>
      <c r="AI1744" s="91"/>
      <c r="AJ1744" s="91"/>
      <c r="AK1744" s="91"/>
      <c r="AL1744" s="91"/>
      <c r="AM1744" s="91"/>
      <c r="AN1744" s="91"/>
      <c r="AO1744" s="91"/>
      <c r="AP1744" s="91"/>
      <c r="AQ1744" s="91"/>
      <c r="AR1744" s="91"/>
      <c r="AS1744" s="91"/>
      <c r="AT1744" s="91"/>
      <c r="AU1744" s="91"/>
      <c r="AV1744" s="91"/>
      <c r="AW1744" s="67"/>
      <c r="AX1744" s="160"/>
      <c r="AY1744" s="160"/>
      <c r="AZ1744" s="160"/>
      <c r="BA1744" s="160"/>
      <c r="BB1744" s="160"/>
      <c r="BC1744" s="160"/>
      <c r="BD1744" s="160"/>
      <c r="BE1744" s="160"/>
      <c r="BF1744" s="160"/>
      <c r="BG1744" s="160"/>
      <c r="BH1744" s="160"/>
      <c r="BI1744" s="106"/>
      <c r="BJ1744" s="106"/>
      <c r="BK1744" s="106"/>
      <c r="BL1744" s="106"/>
      <c r="BM1744" s="106"/>
      <c r="BN1744" s="106"/>
      <c r="BO1744" s="106"/>
    </row>
    <row r="1745" spans="25:67" hidden="1" x14ac:dyDescent="0.25">
      <c r="Y1745" s="91"/>
      <c r="Z1745" s="91" t="s">
        <v>857</v>
      </c>
      <c r="AA1745" s="91"/>
      <c r="AB1745" s="91"/>
      <c r="AC1745" s="91"/>
      <c r="AD1745" s="91"/>
      <c r="AE1745" s="91"/>
      <c r="AF1745" s="91"/>
      <c r="AG1745" s="91"/>
      <c r="AH1745" s="91"/>
      <c r="AI1745" s="91"/>
      <c r="AJ1745" s="91"/>
      <c r="AK1745" s="91"/>
      <c r="AL1745" s="91"/>
      <c r="AM1745" s="91"/>
      <c r="AN1745" s="91"/>
      <c r="AO1745" s="91"/>
      <c r="AP1745" s="91"/>
      <c r="AQ1745" s="91"/>
      <c r="AR1745" s="91"/>
      <c r="AS1745" s="91"/>
      <c r="AT1745" s="91"/>
      <c r="AU1745" s="91"/>
      <c r="AV1745" s="91"/>
      <c r="AW1745" s="67"/>
      <c r="AX1745" s="160"/>
      <c r="AY1745" s="160"/>
      <c r="AZ1745" s="160"/>
      <c r="BA1745" s="160"/>
      <c r="BB1745" s="160"/>
      <c r="BC1745" s="160"/>
      <c r="BD1745" s="160"/>
      <c r="BE1745" s="160"/>
      <c r="BF1745" s="160"/>
      <c r="BG1745" s="160"/>
      <c r="BH1745" s="160"/>
      <c r="BI1745" s="106"/>
      <c r="BJ1745" s="106"/>
      <c r="BK1745" s="106"/>
      <c r="BL1745" s="106"/>
      <c r="BM1745" s="106"/>
      <c r="BN1745" s="106"/>
      <c r="BO1745" s="106"/>
    </row>
    <row r="1746" spans="25:67" hidden="1" x14ac:dyDescent="0.25">
      <c r="Y1746" s="91"/>
      <c r="Z1746" s="91" t="s">
        <v>858</v>
      </c>
      <c r="AA1746" s="91"/>
      <c r="AB1746" s="91"/>
      <c r="AC1746" s="91"/>
      <c r="AD1746" s="91"/>
      <c r="AE1746" s="91"/>
      <c r="AF1746" s="91"/>
      <c r="AG1746" s="91"/>
      <c r="AH1746" s="91"/>
      <c r="AI1746" s="91"/>
      <c r="AJ1746" s="91"/>
      <c r="AK1746" s="91"/>
      <c r="AL1746" s="91"/>
      <c r="AM1746" s="91"/>
      <c r="AN1746" s="91"/>
      <c r="AO1746" s="91"/>
      <c r="AP1746" s="91"/>
      <c r="AQ1746" s="91"/>
      <c r="AR1746" s="91"/>
      <c r="AS1746" s="91"/>
      <c r="AT1746" s="91"/>
      <c r="AU1746" s="91"/>
      <c r="AV1746" s="91"/>
      <c r="AW1746" s="67"/>
      <c r="AX1746" s="160"/>
      <c r="AY1746" s="160"/>
      <c r="AZ1746" s="160"/>
      <c r="BA1746" s="160"/>
      <c r="BB1746" s="160"/>
      <c r="BC1746" s="160"/>
      <c r="BD1746" s="160"/>
      <c r="BE1746" s="160"/>
      <c r="BF1746" s="160"/>
      <c r="BG1746" s="160"/>
      <c r="BH1746" s="160"/>
      <c r="BI1746" s="106"/>
      <c r="BJ1746" s="106"/>
      <c r="BK1746" s="106"/>
      <c r="BL1746" s="106"/>
      <c r="BM1746" s="106"/>
      <c r="BN1746" s="106"/>
      <c r="BO1746" s="106"/>
    </row>
    <row r="1747" spans="25:67" hidden="1" x14ac:dyDescent="0.25">
      <c r="Y1747" s="91"/>
      <c r="Z1747" s="91" t="s">
        <v>859</v>
      </c>
      <c r="AA1747" s="91"/>
      <c r="AB1747" s="91"/>
      <c r="AC1747" s="91"/>
      <c r="AD1747" s="91"/>
      <c r="AE1747" s="91"/>
      <c r="AF1747" s="91"/>
      <c r="AG1747" s="91"/>
      <c r="AH1747" s="91"/>
      <c r="AI1747" s="91"/>
      <c r="AJ1747" s="91"/>
      <c r="AK1747" s="91"/>
      <c r="AL1747" s="91"/>
      <c r="AM1747" s="91"/>
      <c r="AN1747" s="91"/>
      <c r="AO1747" s="91"/>
      <c r="AP1747" s="91"/>
      <c r="AQ1747" s="91"/>
      <c r="AR1747" s="91"/>
      <c r="AS1747" s="91"/>
      <c r="AT1747" s="91"/>
      <c r="AU1747" s="91"/>
      <c r="AV1747" s="91"/>
      <c r="AW1747" s="67"/>
      <c r="AX1747" s="160"/>
      <c r="AY1747" s="160"/>
      <c r="AZ1747" s="160"/>
      <c r="BA1747" s="160"/>
      <c r="BB1747" s="160"/>
      <c r="BC1747" s="160"/>
      <c r="BD1747" s="160"/>
      <c r="BE1747" s="160"/>
      <c r="BF1747" s="160"/>
      <c r="BG1747" s="160"/>
      <c r="BH1747" s="160"/>
      <c r="BI1747" s="106"/>
      <c r="BJ1747" s="106"/>
      <c r="BK1747" s="106"/>
      <c r="BL1747" s="106"/>
      <c r="BM1747" s="106"/>
      <c r="BN1747" s="106"/>
      <c r="BO1747" s="106"/>
    </row>
    <row r="1748" spans="25:67" hidden="1" x14ac:dyDescent="0.25">
      <c r="Y1748" s="91"/>
      <c r="Z1748" s="91" t="s">
        <v>860</v>
      </c>
      <c r="AA1748" s="91"/>
      <c r="AB1748" s="91"/>
      <c r="AC1748" s="91"/>
      <c r="AD1748" s="91"/>
      <c r="AE1748" s="91"/>
      <c r="AF1748" s="91"/>
      <c r="AG1748" s="91"/>
      <c r="AH1748" s="91"/>
      <c r="AI1748" s="91"/>
      <c r="AJ1748" s="91"/>
      <c r="AK1748" s="91"/>
      <c r="AL1748" s="91"/>
      <c r="AM1748" s="91"/>
      <c r="AN1748" s="91"/>
      <c r="AO1748" s="91"/>
      <c r="AP1748" s="91"/>
      <c r="AQ1748" s="91"/>
      <c r="AR1748" s="91"/>
      <c r="AS1748" s="91"/>
      <c r="AT1748" s="91"/>
      <c r="AU1748" s="91"/>
      <c r="AV1748" s="91"/>
      <c r="AW1748" s="67"/>
      <c r="AX1748" s="160"/>
      <c r="AY1748" s="160"/>
      <c r="AZ1748" s="160"/>
      <c r="BA1748" s="160"/>
      <c r="BB1748" s="160"/>
      <c r="BC1748" s="160"/>
      <c r="BD1748" s="160"/>
      <c r="BE1748" s="160"/>
      <c r="BF1748" s="160"/>
      <c r="BG1748" s="160"/>
      <c r="BH1748" s="160"/>
      <c r="BI1748" s="106"/>
      <c r="BJ1748" s="106"/>
      <c r="BK1748" s="106"/>
      <c r="BL1748" s="106"/>
      <c r="BM1748" s="106"/>
      <c r="BN1748" s="106"/>
      <c r="BO1748" s="106"/>
    </row>
    <row r="1749" spans="25:67" hidden="1" x14ac:dyDescent="0.25">
      <c r="Y1749" s="91"/>
      <c r="Z1749" s="91" t="s">
        <v>861</v>
      </c>
      <c r="AA1749" s="91"/>
      <c r="AB1749" s="91"/>
      <c r="AC1749" s="91"/>
      <c r="AD1749" s="91"/>
      <c r="AE1749" s="91"/>
      <c r="AF1749" s="91"/>
      <c r="AG1749" s="91"/>
      <c r="AH1749" s="91"/>
      <c r="AI1749" s="91"/>
      <c r="AJ1749" s="91"/>
      <c r="AK1749" s="91"/>
      <c r="AL1749" s="91"/>
      <c r="AM1749" s="91"/>
      <c r="AN1749" s="91"/>
      <c r="AO1749" s="91"/>
      <c r="AP1749" s="91"/>
      <c r="AQ1749" s="91"/>
      <c r="AR1749" s="91"/>
      <c r="AS1749" s="91"/>
      <c r="AT1749" s="91"/>
      <c r="AU1749" s="91"/>
      <c r="AV1749" s="91"/>
      <c r="AW1749" s="67"/>
      <c r="AX1749" s="160"/>
      <c r="AY1749" s="160"/>
      <c r="AZ1749" s="160"/>
      <c r="BA1749" s="160"/>
      <c r="BB1749" s="160"/>
      <c r="BC1749" s="160"/>
      <c r="BD1749" s="160"/>
      <c r="BE1749" s="160"/>
      <c r="BF1749" s="160"/>
      <c r="BG1749" s="160"/>
      <c r="BH1749" s="160"/>
      <c r="BI1749" s="106"/>
      <c r="BJ1749" s="106"/>
      <c r="BK1749" s="106"/>
      <c r="BL1749" s="106"/>
      <c r="BM1749" s="106"/>
      <c r="BN1749" s="106"/>
      <c r="BO1749" s="106"/>
    </row>
    <row r="1750" spans="25:67" hidden="1" x14ac:dyDescent="0.25">
      <c r="Y1750" s="91"/>
      <c r="Z1750" s="91" t="s">
        <v>862</v>
      </c>
      <c r="AA1750" s="91"/>
      <c r="AB1750" s="91"/>
      <c r="AC1750" s="91"/>
      <c r="AD1750" s="91"/>
      <c r="AE1750" s="91"/>
      <c r="AF1750" s="91"/>
      <c r="AG1750" s="91"/>
      <c r="AH1750" s="91"/>
      <c r="AI1750" s="91"/>
      <c r="AJ1750" s="91"/>
      <c r="AK1750" s="91"/>
      <c r="AL1750" s="91"/>
      <c r="AM1750" s="91"/>
      <c r="AN1750" s="91"/>
      <c r="AO1750" s="91"/>
      <c r="AP1750" s="91"/>
      <c r="AQ1750" s="91"/>
      <c r="AR1750" s="91"/>
      <c r="AS1750" s="91"/>
      <c r="AT1750" s="91"/>
      <c r="AU1750" s="91"/>
      <c r="AV1750" s="91"/>
      <c r="AW1750" s="67"/>
      <c r="AX1750" s="160"/>
      <c r="AY1750" s="160"/>
      <c r="AZ1750" s="160"/>
      <c r="BA1750" s="160"/>
      <c r="BB1750" s="160"/>
      <c r="BC1750" s="160"/>
      <c r="BD1750" s="160"/>
      <c r="BE1750" s="160"/>
      <c r="BF1750" s="160"/>
      <c r="BG1750" s="160"/>
      <c r="BH1750" s="160"/>
      <c r="BI1750" s="106"/>
      <c r="BJ1750" s="106"/>
      <c r="BK1750" s="106"/>
      <c r="BL1750" s="106"/>
      <c r="BM1750" s="106"/>
      <c r="BN1750" s="106"/>
      <c r="BO1750" s="106"/>
    </row>
    <row r="1751" spans="25:67" hidden="1" x14ac:dyDescent="0.25">
      <c r="Y1751" s="91"/>
      <c r="Z1751" s="91" t="s">
        <v>863</v>
      </c>
      <c r="AA1751" s="91"/>
      <c r="AB1751" s="91"/>
      <c r="AC1751" s="91"/>
      <c r="AD1751" s="91"/>
      <c r="AE1751" s="91"/>
      <c r="AF1751" s="91"/>
      <c r="AG1751" s="91"/>
      <c r="AH1751" s="91"/>
      <c r="AI1751" s="91"/>
      <c r="AJ1751" s="91"/>
      <c r="AK1751" s="91"/>
      <c r="AL1751" s="91"/>
      <c r="AM1751" s="91"/>
      <c r="AN1751" s="91"/>
      <c r="AO1751" s="91"/>
      <c r="AP1751" s="91"/>
      <c r="AQ1751" s="91"/>
      <c r="AR1751" s="91"/>
      <c r="AS1751" s="91"/>
      <c r="AT1751" s="91"/>
      <c r="AU1751" s="91"/>
      <c r="AV1751" s="91"/>
      <c r="AW1751" s="67"/>
      <c r="AX1751" s="160"/>
      <c r="AY1751" s="160"/>
      <c r="AZ1751" s="160"/>
      <c r="BA1751" s="160"/>
      <c r="BB1751" s="160"/>
      <c r="BC1751" s="160"/>
      <c r="BD1751" s="160"/>
      <c r="BE1751" s="160"/>
      <c r="BF1751" s="160"/>
      <c r="BG1751" s="160"/>
      <c r="BH1751" s="160"/>
      <c r="BI1751" s="106"/>
      <c r="BJ1751" s="106"/>
      <c r="BK1751" s="106"/>
      <c r="BL1751" s="106"/>
      <c r="BM1751" s="106"/>
      <c r="BN1751" s="106"/>
      <c r="BO1751" s="106"/>
    </row>
    <row r="1752" spans="25:67" hidden="1" x14ac:dyDescent="0.25">
      <c r="Y1752" s="91"/>
      <c r="Z1752" s="91" t="s">
        <v>864</v>
      </c>
      <c r="AA1752" s="91"/>
      <c r="AB1752" s="91"/>
      <c r="AC1752" s="91"/>
      <c r="AD1752" s="91"/>
      <c r="AE1752" s="91"/>
      <c r="AF1752" s="91"/>
      <c r="AG1752" s="91"/>
      <c r="AH1752" s="91"/>
      <c r="AI1752" s="91"/>
      <c r="AJ1752" s="91"/>
      <c r="AK1752" s="91"/>
      <c r="AL1752" s="91"/>
      <c r="AM1752" s="91"/>
      <c r="AN1752" s="91"/>
      <c r="AO1752" s="91"/>
      <c r="AP1752" s="91"/>
      <c r="AQ1752" s="91"/>
      <c r="AR1752" s="91"/>
      <c r="AS1752" s="91"/>
      <c r="AT1752" s="91"/>
      <c r="AU1752" s="91"/>
      <c r="AV1752" s="91"/>
      <c r="AW1752" s="67"/>
      <c r="AX1752" s="160"/>
      <c r="AY1752" s="160"/>
      <c r="AZ1752" s="160"/>
      <c r="BA1752" s="160"/>
      <c r="BB1752" s="160"/>
      <c r="BC1752" s="160"/>
      <c r="BD1752" s="160"/>
      <c r="BE1752" s="160"/>
      <c r="BF1752" s="160"/>
      <c r="BG1752" s="160"/>
      <c r="BH1752" s="160"/>
      <c r="BI1752" s="106"/>
      <c r="BJ1752" s="106"/>
      <c r="BK1752" s="106"/>
      <c r="BL1752" s="106"/>
      <c r="BM1752" s="106"/>
      <c r="BN1752" s="106"/>
      <c r="BO1752" s="106"/>
    </row>
    <row r="1753" spans="25:67" hidden="1" x14ac:dyDescent="0.25">
      <c r="Y1753" s="91"/>
      <c r="Z1753" s="91" t="s">
        <v>865</v>
      </c>
      <c r="AA1753" s="91"/>
      <c r="AB1753" s="91"/>
      <c r="AC1753" s="91"/>
      <c r="AD1753" s="91"/>
      <c r="AE1753" s="91"/>
      <c r="AF1753" s="91"/>
      <c r="AG1753" s="91"/>
      <c r="AH1753" s="91"/>
      <c r="AI1753" s="91"/>
      <c r="AJ1753" s="91"/>
      <c r="AK1753" s="91"/>
      <c r="AL1753" s="91"/>
      <c r="AM1753" s="91"/>
      <c r="AN1753" s="91"/>
      <c r="AO1753" s="91"/>
      <c r="AP1753" s="91"/>
      <c r="AQ1753" s="91"/>
      <c r="AR1753" s="91"/>
      <c r="AS1753" s="91"/>
      <c r="AT1753" s="91"/>
      <c r="AU1753" s="91"/>
      <c r="AV1753" s="91"/>
      <c r="AW1753" s="67"/>
      <c r="AX1753" s="160"/>
      <c r="AY1753" s="160"/>
      <c r="AZ1753" s="160"/>
      <c r="BA1753" s="160"/>
      <c r="BB1753" s="160"/>
      <c r="BC1753" s="160"/>
      <c r="BD1753" s="160"/>
      <c r="BE1753" s="160"/>
      <c r="BF1753" s="160"/>
      <c r="BG1753" s="160"/>
      <c r="BH1753" s="160"/>
      <c r="BI1753" s="106"/>
      <c r="BJ1753" s="106"/>
      <c r="BK1753" s="106"/>
      <c r="BL1753" s="106"/>
      <c r="BM1753" s="106"/>
      <c r="BN1753" s="106"/>
      <c r="BO1753" s="106"/>
    </row>
    <row r="1754" spans="25:67" hidden="1" x14ac:dyDescent="0.25">
      <c r="Y1754" s="91"/>
      <c r="Z1754" s="91" t="s">
        <v>866</v>
      </c>
      <c r="AA1754" s="91"/>
      <c r="AB1754" s="91"/>
      <c r="AC1754" s="91"/>
      <c r="AD1754" s="91"/>
      <c r="AE1754" s="91"/>
      <c r="AF1754" s="91"/>
      <c r="AG1754" s="91"/>
      <c r="AH1754" s="91"/>
      <c r="AI1754" s="91"/>
      <c r="AJ1754" s="91"/>
      <c r="AK1754" s="91"/>
      <c r="AL1754" s="91"/>
      <c r="AM1754" s="91"/>
      <c r="AN1754" s="91"/>
      <c r="AO1754" s="91"/>
      <c r="AP1754" s="91"/>
      <c r="AQ1754" s="91"/>
      <c r="AR1754" s="91"/>
      <c r="AS1754" s="91"/>
      <c r="AT1754" s="91"/>
      <c r="AU1754" s="91"/>
      <c r="AV1754" s="91"/>
      <c r="AW1754" s="67"/>
      <c r="AX1754" s="160"/>
      <c r="AY1754" s="160"/>
      <c r="AZ1754" s="160"/>
      <c r="BA1754" s="160"/>
      <c r="BB1754" s="160"/>
      <c r="BC1754" s="160"/>
      <c r="BD1754" s="160"/>
      <c r="BE1754" s="160"/>
      <c r="BF1754" s="160"/>
      <c r="BG1754" s="160"/>
      <c r="BH1754" s="160"/>
      <c r="BI1754" s="106"/>
      <c r="BJ1754" s="106"/>
      <c r="BK1754" s="106"/>
      <c r="BL1754" s="106"/>
      <c r="BM1754" s="106"/>
      <c r="BN1754" s="106"/>
      <c r="BO1754" s="106"/>
    </row>
    <row r="1755" spans="25:67" ht="15.75" hidden="1" customHeight="1" x14ac:dyDescent="0.25">
      <c r="Y1755" s="91"/>
      <c r="Z1755" s="91" t="s">
        <v>867</v>
      </c>
      <c r="AA1755" s="91"/>
      <c r="AB1755" s="91"/>
      <c r="AC1755" s="91"/>
      <c r="AD1755" s="91"/>
      <c r="AE1755" s="91"/>
      <c r="AF1755" s="91"/>
      <c r="AG1755" s="91"/>
      <c r="AH1755" s="91"/>
      <c r="AI1755" s="91"/>
      <c r="AJ1755" s="91"/>
      <c r="AK1755" s="91"/>
      <c r="AL1755" s="91"/>
      <c r="AM1755" s="91"/>
      <c r="AN1755" s="91"/>
      <c r="AO1755" s="91"/>
      <c r="AP1755" s="91"/>
      <c r="AQ1755" s="91"/>
      <c r="AR1755" s="91"/>
      <c r="AS1755" s="91"/>
      <c r="AT1755" s="91"/>
      <c r="AU1755" s="91"/>
      <c r="AV1755" s="91"/>
      <c r="AW1755" s="67"/>
      <c r="AX1755" s="160"/>
      <c r="AY1755" s="160"/>
      <c r="AZ1755" s="160"/>
      <c r="BA1755" s="160"/>
      <c r="BB1755" s="160"/>
      <c r="BC1755" s="160"/>
      <c r="BD1755" s="160"/>
      <c r="BE1755" s="160"/>
      <c r="BF1755" s="160"/>
      <c r="BG1755" s="160"/>
      <c r="BH1755" s="160"/>
      <c r="BI1755" s="106"/>
      <c r="BJ1755" s="106"/>
      <c r="BK1755" s="106"/>
      <c r="BL1755" s="106"/>
      <c r="BM1755" s="106"/>
      <c r="BN1755" s="106"/>
      <c r="BO1755" s="106"/>
    </row>
    <row r="1756" spans="25:67" ht="15.75" hidden="1" customHeight="1" x14ac:dyDescent="0.25">
      <c r="Y1756" s="91"/>
      <c r="Z1756" s="91" t="s">
        <v>868</v>
      </c>
      <c r="AA1756" s="91"/>
      <c r="AB1756" s="91"/>
      <c r="AC1756" s="91"/>
      <c r="AD1756" s="91"/>
      <c r="AE1756" s="91"/>
      <c r="AF1756" s="91"/>
      <c r="AG1756" s="91"/>
      <c r="AH1756" s="91"/>
      <c r="AI1756" s="91"/>
      <c r="AJ1756" s="91"/>
      <c r="AK1756" s="91"/>
      <c r="AL1756" s="91"/>
      <c r="AM1756" s="91"/>
      <c r="AN1756" s="91"/>
      <c r="AO1756" s="91"/>
      <c r="AP1756" s="91"/>
      <c r="AQ1756" s="91"/>
      <c r="AR1756" s="91"/>
      <c r="AS1756" s="91"/>
      <c r="AT1756" s="91"/>
      <c r="AU1756" s="91"/>
      <c r="AV1756" s="91"/>
      <c r="AW1756" s="67"/>
      <c r="AX1756" s="160"/>
      <c r="AY1756" s="160"/>
      <c r="AZ1756" s="160"/>
      <c r="BA1756" s="160"/>
      <c r="BB1756" s="160"/>
      <c r="BC1756" s="160"/>
      <c r="BD1756" s="160"/>
      <c r="BE1756" s="160"/>
      <c r="BF1756" s="160"/>
      <c r="BG1756" s="160"/>
      <c r="BH1756" s="160"/>
      <c r="BI1756" s="106"/>
      <c r="BJ1756" s="106"/>
      <c r="BK1756" s="106"/>
      <c r="BL1756" s="106"/>
      <c r="BM1756" s="106"/>
      <c r="BN1756" s="106"/>
      <c r="BO1756" s="106"/>
    </row>
    <row r="1757" spans="25:67" ht="15.75" hidden="1" customHeight="1" x14ac:dyDescent="0.35">
      <c r="Y1757" s="91"/>
      <c r="Z1757" s="91" t="s">
        <v>869</v>
      </c>
      <c r="AA1757" s="91"/>
      <c r="AB1757" s="91"/>
      <c r="AC1757" s="91"/>
      <c r="AD1757" s="91"/>
      <c r="AE1757" s="91"/>
      <c r="AF1757" s="91"/>
      <c r="AG1757" s="91"/>
      <c r="AH1757" s="91"/>
      <c r="AI1757" s="91"/>
      <c r="AJ1757" s="91"/>
      <c r="AK1757" s="91"/>
      <c r="AL1757" s="91"/>
      <c r="AM1757" s="91"/>
      <c r="AN1757" s="91"/>
      <c r="AO1757" s="91"/>
      <c r="AP1757" s="91"/>
      <c r="AQ1757" s="91"/>
      <c r="AR1757" s="91"/>
      <c r="AS1757" s="91"/>
      <c r="AT1757" s="91"/>
      <c r="AU1757" s="91"/>
      <c r="AV1757" s="91"/>
      <c r="AW1757" s="67"/>
      <c r="AX1757" s="160"/>
      <c r="AY1757" s="160"/>
      <c r="AZ1757" s="160"/>
      <c r="BA1757" s="160"/>
      <c r="BB1757" s="160"/>
      <c r="BC1757" s="160"/>
      <c r="BD1757" s="160"/>
      <c r="BE1757" s="160"/>
      <c r="BF1757" s="160"/>
      <c r="BG1757" s="160"/>
      <c r="BH1757" s="160"/>
      <c r="BI1757" s="106"/>
      <c r="BJ1757" s="106"/>
      <c r="BK1757" s="106"/>
      <c r="BL1757" s="106"/>
      <c r="BM1757" s="106"/>
      <c r="BN1757" s="106"/>
      <c r="BO1757" s="106"/>
    </row>
    <row r="1758" spans="25:67" ht="15.75" hidden="1" customHeight="1" x14ac:dyDescent="0.25">
      <c r="Y1758" s="91"/>
      <c r="Z1758" s="91" t="s">
        <v>870</v>
      </c>
      <c r="AA1758" s="91"/>
      <c r="AB1758" s="91"/>
      <c r="AC1758" s="91"/>
      <c r="AD1758" s="91"/>
      <c r="AE1758" s="91"/>
      <c r="AF1758" s="91"/>
      <c r="AG1758" s="91"/>
      <c r="AH1758" s="91"/>
      <c r="AI1758" s="91"/>
      <c r="AJ1758" s="91"/>
      <c r="AK1758" s="91"/>
      <c r="AL1758" s="91"/>
      <c r="AM1758" s="91"/>
      <c r="AN1758" s="91"/>
      <c r="AO1758" s="91"/>
      <c r="AP1758" s="91"/>
      <c r="AQ1758" s="91"/>
      <c r="AR1758" s="91"/>
      <c r="AS1758" s="91"/>
      <c r="AT1758" s="91"/>
      <c r="AU1758" s="91"/>
      <c r="AV1758" s="91"/>
      <c r="AW1758" s="67"/>
      <c r="AX1758" s="160"/>
      <c r="AY1758" s="160"/>
      <c r="AZ1758" s="160"/>
      <c r="BA1758" s="160"/>
      <c r="BB1758" s="160"/>
      <c r="BC1758" s="160"/>
      <c r="BD1758" s="160"/>
      <c r="BE1758" s="160"/>
      <c r="BF1758" s="160"/>
      <c r="BG1758" s="160"/>
      <c r="BH1758" s="160"/>
      <c r="BI1758" s="106"/>
      <c r="BJ1758" s="106"/>
      <c r="BK1758" s="106"/>
      <c r="BL1758" s="106"/>
      <c r="BM1758" s="106"/>
      <c r="BN1758" s="106"/>
      <c r="BO1758" s="106"/>
    </row>
    <row r="1759" spans="25:67" ht="15.75" hidden="1" customHeight="1" x14ac:dyDescent="0.25">
      <c r="Y1759" s="91"/>
      <c r="Z1759" s="91" t="s">
        <v>871</v>
      </c>
      <c r="AA1759" s="91"/>
      <c r="AB1759" s="91"/>
      <c r="AC1759" s="91"/>
      <c r="AD1759" s="91"/>
      <c r="AE1759" s="91"/>
      <c r="AF1759" s="91"/>
      <c r="AG1759" s="91"/>
      <c r="AH1759" s="91"/>
      <c r="AI1759" s="91"/>
      <c r="AJ1759" s="91"/>
      <c r="AK1759" s="91"/>
      <c r="AL1759" s="91"/>
      <c r="AM1759" s="91"/>
      <c r="AN1759" s="91"/>
      <c r="AO1759" s="91"/>
      <c r="AP1759" s="91"/>
      <c r="AQ1759" s="91"/>
      <c r="AR1759" s="91"/>
      <c r="AS1759" s="91"/>
      <c r="AT1759" s="91"/>
      <c r="AU1759" s="91"/>
      <c r="AV1759" s="91"/>
      <c r="AW1759" s="67"/>
      <c r="AX1759" s="160"/>
      <c r="AY1759" s="160"/>
      <c r="AZ1759" s="160"/>
      <c r="BA1759" s="160"/>
      <c r="BB1759" s="160"/>
      <c r="BC1759" s="160"/>
      <c r="BD1759" s="160"/>
      <c r="BE1759" s="160"/>
      <c r="BF1759" s="160"/>
      <c r="BG1759" s="160"/>
      <c r="BH1759" s="160"/>
      <c r="BI1759" s="106"/>
      <c r="BJ1759" s="106"/>
      <c r="BK1759" s="106"/>
      <c r="BL1759" s="106"/>
      <c r="BM1759" s="106"/>
      <c r="BN1759" s="106"/>
      <c r="BO1759" s="106"/>
    </row>
    <row r="1760" spans="25:67" ht="15.75" hidden="1" customHeight="1" x14ac:dyDescent="0.25">
      <c r="Y1760" s="91"/>
      <c r="Z1760" s="91" t="s">
        <v>872</v>
      </c>
      <c r="AA1760" s="91"/>
      <c r="AB1760" s="91"/>
      <c r="AC1760" s="91"/>
      <c r="AD1760" s="91"/>
      <c r="AE1760" s="91"/>
      <c r="AF1760" s="91"/>
      <c r="AG1760" s="91"/>
      <c r="AH1760" s="91"/>
      <c r="AI1760" s="91"/>
      <c r="AJ1760" s="91"/>
      <c r="AK1760" s="91"/>
      <c r="AL1760" s="91"/>
      <c r="AM1760" s="91"/>
      <c r="AN1760" s="91"/>
      <c r="AO1760" s="91"/>
      <c r="AP1760" s="91"/>
      <c r="AQ1760" s="91"/>
      <c r="AR1760" s="91"/>
      <c r="AS1760" s="91"/>
      <c r="AT1760" s="91"/>
      <c r="AU1760" s="91"/>
      <c r="AV1760" s="91"/>
      <c r="AW1760" s="67"/>
      <c r="AX1760" s="160"/>
      <c r="AY1760" s="160"/>
      <c r="AZ1760" s="160"/>
      <c r="BA1760" s="160"/>
      <c r="BB1760" s="160"/>
      <c r="BC1760" s="160"/>
      <c r="BD1760" s="160"/>
      <c r="BE1760" s="160"/>
      <c r="BF1760" s="160"/>
      <c r="BG1760" s="160"/>
      <c r="BH1760" s="160"/>
      <c r="BI1760" s="106"/>
      <c r="BJ1760" s="106"/>
      <c r="BK1760" s="106"/>
      <c r="BL1760" s="106"/>
      <c r="BM1760" s="106"/>
      <c r="BN1760" s="106"/>
      <c r="BO1760" s="106"/>
    </row>
    <row r="1761" spans="25:67" ht="15.75" hidden="1" customHeight="1" x14ac:dyDescent="0.25">
      <c r="Y1761" s="91"/>
      <c r="Z1761" s="91" t="s">
        <v>873</v>
      </c>
      <c r="AA1761" s="91"/>
      <c r="AB1761" s="91"/>
      <c r="AC1761" s="91"/>
      <c r="AD1761" s="91"/>
      <c r="AE1761" s="91"/>
      <c r="AF1761" s="91"/>
      <c r="AG1761" s="91"/>
      <c r="AH1761" s="91"/>
      <c r="AI1761" s="91"/>
      <c r="AJ1761" s="91"/>
      <c r="AK1761" s="91"/>
      <c r="AL1761" s="91"/>
      <c r="AM1761" s="91"/>
      <c r="AN1761" s="91"/>
      <c r="AO1761" s="91"/>
      <c r="AP1761" s="91"/>
      <c r="AQ1761" s="91"/>
      <c r="AR1761" s="91"/>
      <c r="AS1761" s="91"/>
      <c r="AT1761" s="91"/>
      <c r="AU1761" s="91"/>
      <c r="AV1761" s="91"/>
      <c r="AW1761" s="67"/>
      <c r="AX1761" s="160"/>
      <c r="AY1761" s="160"/>
      <c r="AZ1761" s="160"/>
      <c r="BA1761" s="160"/>
      <c r="BB1761" s="160"/>
      <c r="BC1761" s="160"/>
      <c r="BD1761" s="160"/>
      <c r="BE1761" s="160"/>
      <c r="BF1761" s="160"/>
      <c r="BG1761" s="160"/>
      <c r="BH1761" s="160"/>
      <c r="BI1761" s="106"/>
      <c r="BJ1761" s="106"/>
      <c r="BK1761" s="106"/>
      <c r="BL1761" s="106"/>
      <c r="BM1761" s="106"/>
      <c r="BN1761" s="106"/>
      <c r="BO1761" s="106"/>
    </row>
    <row r="1762" spans="25:67" ht="15.75" hidden="1" customHeight="1" x14ac:dyDescent="0.25">
      <c r="Y1762" s="91"/>
      <c r="Z1762" s="91" t="s">
        <v>874</v>
      </c>
      <c r="AA1762" s="91"/>
      <c r="AB1762" s="91"/>
      <c r="AC1762" s="91"/>
      <c r="AD1762" s="91"/>
      <c r="AE1762" s="91"/>
      <c r="AF1762" s="91"/>
      <c r="AG1762" s="91"/>
      <c r="AH1762" s="91"/>
      <c r="AI1762" s="91"/>
      <c r="AJ1762" s="91"/>
      <c r="AK1762" s="91"/>
      <c r="AL1762" s="91"/>
      <c r="AM1762" s="91"/>
      <c r="AN1762" s="91"/>
      <c r="AO1762" s="91"/>
      <c r="AP1762" s="91"/>
      <c r="AQ1762" s="91"/>
      <c r="AR1762" s="91"/>
      <c r="AS1762" s="91"/>
      <c r="AT1762" s="91"/>
      <c r="AU1762" s="91"/>
      <c r="AV1762" s="91"/>
      <c r="AW1762" s="67"/>
      <c r="AX1762" s="160"/>
      <c r="AY1762" s="160"/>
      <c r="AZ1762" s="160"/>
      <c r="BA1762" s="160"/>
      <c r="BB1762" s="160"/>
      <c r="BC1762" s="160"/>
      <c r="BD1762" s="160"/>
      <c r="BE1762" s="160"/>
      <c r="BF1762" s="160"/>
      <c r="BG1762" s="160"/>
      <c r="BH1762" s="160"/>
      <c r="BI1762" s="106"/>
      <c r="BJ1762" s="106"/>
      <c r="BK1762" s="106"/>
      <c r="BL1762" s="106"/>
      <c r="BM1762" s="106"/>
      <c r="BN1762" s="106"/>
      <c r="BO1762" s="106"/>
    </row>
    <row r="1763" spans="25:67" ht="15.75" hidden="1" customHeight="1" x14ac:dyDescent="0.25">
      <c r="Y1763" s="91"/>
      <c r="Z1763" s="91" t="s">
        <v>875</v>
      </c>
      <c r="AA1763" s="91"/>
      <c r="AB1763" s="91"/>
      <c r="AC1763" s="91"/>
      <c r="AD1763" s="91"/>
      <c r="AE1763" s="91"/>
      <c r="AF1763" s="91"/>
      <c r="AG1763" s="91"/>
      <c r="AH1763" s="91"/>
      <c r="AI1763" s="91"/>
      <c r="AJ1763" s="91"/>
      <c r="AK1763" s="91"/>
      <c r="AL1763" s="91"/>
      <c r="AM1763" s="91"/>
      <c r="AN1763" s="91"/>
      <c r="AO1763" s="91"/>
      <c r="AP1763" s="91"/>
      <c r="AQ1763" s="91"/>
      <c r="AR1763" s="91"/>
      <c r="AS1763" s="91"/>
      <c r="AT1763" s="91"/>
      <c r="AU1763" s="91"/>
      <c r="AV1763" s="91"/>
      <c r="AW1763" s="67"/>
      <c r="AX1763" s="160"/>
      <c r="AY1763" s="160"/>
      <c r="AZ1763" s="160"/>
      <c r="BA1763" s="160"/>
      <c r="BB1763" s="160"/>
      <c r="BC1763" s="160"/>
      <c r="BD1763" s="160"/>
      <c r="BE1763" s="160"/>
      <c r="BF1763" s="160"/>
      <c r="BG1763" s="160"/>
      <c r="BH1763" s="160"/>
      <c r="BI1763" s="106"/>
      <c r="BJ1763" s="106"/>
      <c r="BK1763" s="106"/>
      <c r="BL1763" s="106"/>
      <c r="BM1763" s="106"/>
      <c r="BN1763" s="106"/>
      <c r="BO1763" s="106"/>
    </row>
    <row r="1764" spans="25:67" ht="15.75" hidden="1" customHeight="1" x14ac:dyDescent="0.35">
      <c r="Y1764" s="91"/>
      <c r="Z1764" s="91" t="s">
        <v>876</v>
      </c>
      <c r="AA1764" s="91"/>
      <c r="AB1764" s="91"/>
      <c r="AC1764" s="91"/>
      <c r="AD1764" s="91"/>
      <c r="AE1764" s="91"/>
      <c r="AF1764" s="91"/>
      <c r="AG1764" s="91"/>
      <c r="AH1764" s="91"/>
      <c r="AI1764" s="91"/>
      <c r="AJ1764" s="91"/>
      <c r="AK1764" s="91"/>
      <c r="AL1764" s="91"/>
      <c r="AM1764" s="91"/>
      <c r="AN1764" s="91"/>
      <c r="AO1764" s="91"/>
      <c r="AP1764" s="91"/>
      <c r="AQ1764" s="91"/>
      <c r="AR1764" s="91"/>
      <c r="AS1764" s="91"/>
      <c r="AT1764" s="91"/>
      <c r="AU1764" s="91"/>
      <c r="AV1764" s="91"/>
      <c r="AW1764" s="67"/>
      <c r="AX1764" s="160"/>
      <c r="AY1764" s="160"/>
      <c r="AZ1764" s="160"/>
      <c r="BA1764" s="160"/>
      <c r="BB1764" s="160"/>
      <c r="BC1764" s="160"/>
      <c r="BD1764" s="160"/>
      <c r="BE1764" s="160"/>
      <c r="BF1764" s="160"/>
      <c r="BG1764" s="160"/>
      <c r="BH1764" s="160"/>
      <c r="BI1764" s="106"/>
      <c r="BJ1764" s="106"/>
      <c r="BK1764" s="106"/>
      <c r="BL1764" s="106"/>
      <c r="BM1764" s="106"/>
      <c r="BN1764" s="106"/>
      <c r="BO1764" s="106"/>
    </row>
    <row r="1765" spans="25:67" ht="15.75" hidden="1" customHeight="1" x14ac:dyDescent="0.25">
      <c r="Y1765" s="91"/>
      <c r="Z1765" s="91" t="s">
        <v>877</v>
      </c>
      <c r="AA1765" s="91"/>
      <c r="AB1765" s="91"/>
      <c r="AC1765" s="91"/>
      <c r="AD1765" s="91"/>
      <c r="AE1765" s="91"/>
      <c r="AF1765" s="91"/>
      <c r="AG1765" s="91"/>
      <c r="AH1765" s="91"/>
      <c r="AI1765" s="91"/>
      <c r="AJ1765" s="91"/>
      <c r="AK1765" s="91"/>
      <c r="AL1765" s="91"/>
      <c r="AM1765" s="91"/>
      <c r="AN1765" s="91"/>
      <c r="AO1765" s="91"/>
      <c r="AP1765" s="91"/>
      <c r="AQ1765" s="91"/>
      <c r="AR1765" s="91"/>
      <c r="AS1765" s="91"/>
      <c r="AT1765" s="91"/>
      <c r="AU1765" s="91"/>
      <c r="AV1765" s="91"/>
      <c r="AW1765" s="67"/>
      <c r="AX1765" s="160"/>
      <c r="AY1765" s="160"/>
      <c r="AZ1765" s="160"/>
      <c r="BA1765" s="160"/>
      <c r="BB1765" s="160"/>
      <c r="BC1765" s="160"/>
      <c r="BD1765" s="160"/>
      <c r="BE1765" s="160"/>
      <c r="BF1765" s="160"/>
      <c r="BG1765" s="160"/>
      <c r="BH1765" s="160"/>
      <c r="BI1765" s="106"/>
      <c r="BJ1765" s="106"/>
      <c r="BK1765" s="106"/>
      <c r="BL1765" s="106"/>
      <c r="BM1765" s="106"/>
      <c r="BN1765" s="106"/>
      <c r="BO1765" s="106"/>
    </row>
    <row r="1766" spans="25:67" ht="15.75" hidden="1" customHeight="1" x14ac:dyDescent="0.25">
      <c r="Y1766" s="91"/>
      <c r="Z1766" s="91" t="s">
        <v>878</v>
      </c>
      <c r="AA1766" s="91"/>
      <c r="AB1766" s="91"/>
      <c r="AC1766" s="91"/>
      <c r="AD1766" s="91"/>
      <c r="AE1766" s="91"/>
      <c r="AF1766" s="91"/>
      <c r="AG1766" s="91"/>
      <c r="AH1766" s="91"/>
      <c r="AI1766" s="91"/>
      <c r="AJ1766" s="91"/>
      <c r="AK1766" s="91"/>
      <c r="AL1766" s="91"/>
      <c r="AM1766" s="91"/>
      <c r="AN1766" s="91"/>
      <c r="AO1766" s="91"/>
      <c r="AP1766" s="91"/>
      <c r="AQ1766" s="91"/>
      <c r="AR1766" s="91"/>
      <c r="AS1766" s="91"/>
      <c r="AT1766" s="91"/>
      <c r="AU1766" s="91"/>
      <c r="AV1766" s="91"/>
      <c r="AW1766" s="67"/>
      <c r="AX1766" s="160"/>
      <c r="AY1766" s="160"/>
      <c r="AZ1766" s="160"/>
      <c r="BA1766" s="160"/>
      <c r="BB1766" s="160"/>
      <c r="BC1766" s="160"/>
      <c r="BD1766" s="160"/>
      <c r="BE1766" s="160"/>
      <c r="BF1766" s="160"/>
      <c r="BG1766" s="160"/>
      <c r="BH1766" s="160"/>
      <c r="BI1766" s="106"/>
      <c r="BJ1766" s="106"/>
      <c r="BK1766" s="106"/>
      <c r="BL1766" s="106"/>
      <c r="BM1766" s="106"/>
      <c r="BN1766" s="106"/>
      <c r="BO1766" s="106"/>
    </row>
    <row r="1767" spans="25:67" ht="15.75" hidden="1" customHeight="1" x14ac:dyDescent="0.25">
      <c r="Y1767" s="91"/>
      <c r="Z1767" s="91" t="s">
        <v>879</v>
      </c>
      <c r="AA1767" s="91"/>
      <c r="AB1767" s="91"/>
      <c r="AC1767" s="91"/>
      <c r="AD1767" s="91"/>
      <c r="AE1767" s="91"/>
      <c r="AF1767" s="91"/>
      <c r="AG1767" s="91"/>
      <c r="AH1767" s="91"/>
      <c r="AI1767" s="91"/>
      <c r="AJ1767" s="91"/>
      <c r="AK1767" s="91"/>
      <c r="AL1767" s="91"/>
      <c r="AM1767" s="91"/>
      <c r="AN1767" s="91"/>
      <c r="AO1767" s="91"/>
      <c r="AP1767" s="91"/>
      <c r="AQ1767" s="91"/>
      <c r="AR1767" s="91"/>
      <c r="AS1767" s="91"/>
      <c r="AT1767" s="91"/>
      <c r="AU1767" s="91"/>
      <c r="AV1767" s="91"/>
      <c r="AW1767" s="67"/>
      <c r="AX1767" s="160"/>
      <c r="AY1767" s="160"/>
      <c r="AZ1767" s="160"/>
      <c r="BA1767" s="160"/>
      <c r="BB1767" s="160"/>
      <c r="BC1767" s="160"/>
      <c r="BD1767" s="160"/>
      <c r="BE1767" s="160"/>
      <c r="BF1767" s="160"/>
      <c r="BG1767" s="160"/>
      <c r="BH1767" s="160"/>
      <c r="BI1767" s="106"/>
      <c r="BJ1767" s="106"/>
      <c r="BK1767" s="106"/>
      <c r="BL1767" s="106"/>
      <c r="BM1767" s="106"/>
      <c r="BN1767" s="106"/>
      <c r="BO1767" s="106"/>
    </row>
    <row r="1768" spans="25:67" ht="15.75" hidden="1" customHeight="1" x14ac:dyDescent="0.25">
      <c r="Y1768" s="91"/>
      <c r="Z1768" s="91" t="s">
        <v>880</v>
      </c>
      <c r="AA1768" s="91"/>
      <c r="AB1768" s="91"/>
      <c r="AC1768" s="91"/>
      <c r="AD1768" s="91"/>
      <c r="AE1768" s="91"/>
      <c r="AF1768" s="91"/>
      <c r="AG1768" s="91"/>
      <c r="AH1768" s="91"/>
      <c r="AI1768" s="91"/>
      <c r="AJ1768" s="91"/>
      <c r="AK1768" s="91"/>
      <c r="AL1768" s="91"/>
      <c r="AM1768" s="91"/>
      <c r="AN1768" s="91"/>
      <c r="AO1768" s="91"/>
      <c r="AP1768" s="91"/>
      <c r="AQ1768" s="91"/>
      <c r="AR1768" s="91"/>
      <c r="AS1768" s="91"/>
      <c r="AT1768" s="91"/>
      <c r="AU1768" s="91"/>
      <c r="AV1768" s="91"/>
      <c r="AW1768" s="67"/>
      <c r="AX1768" s="160"/>
      <c r="AY1768" s="160"/>
      <c r="AZ1768" s="160"/>
      <c r="BA1768" s="160"/>
      <c r="BB1768" s="160"/>
      <c r="BC1768" s="160"/>
      <c r="BD1768" s="160"/>
      <c r="BE1768" s="160"/>
      <c r="BF1768" s="160"/>
      <c r="BG1768" s="160"/>
      <c r="BH1768" s="160"/>
      <c r="BI1768" s="106"/>
      <c r="BJ1768" s="106"/>
      <c r="BK1768" s="106"/>
      <c r="BL1768" s="106"/>
      <c r="BM1768" s="106"/>
      <c r="BN1768" s="106"/>
      <c r="BO1768" s="106"/>
    </row>
    <row r="1769" spans="25:67" ht="15.75" hidden="1" customHeight="1" x14ac:dyDescent="0.25">
      <c r="Y1769" s="91"/>
      <c r="Z1769" s="91" t="s">
        <v>881</v>
      </c>
      <c r="AA1769" s="91"/>
      <c r="AB1769" s="91"/>
      <c r="AC1769" s="91"/>
      <c r="AD1769" s="91"/>
      <c r="AE1769" s="91"/>
      <c r="AF1769" s="91"/>
      <c r="AG1769" s="91"/>
      <c r="AH1769" s="91"/>
      <c r="AI1769" s="91"/>
      <c r="AJ1769" s="91"/>
      <c r="AK1769" s="91"/>
      <c r="AL1769" s="91"/>
      <c r="AM1769" s="91"/>
      <c r="AN1769" s="91"/>
      <c r="AO1769" s="91"/>
      <c r="AP1769" s="91"/>
      <c r="AQ1769" s="91"/>
      <c r="AR1769" s="91"/>
      <c r="AS1769" s="91"/>
      <c r="AT1769" s="91"/>
      <c r="AU1769" s="91"/>
      <c r="AV1769" s="91"/>
      <c r="AW1769" s="67"/>
      <c r="AX1769" s="160"/>
      <c r="AY1769" s="160"/>
      <c r="AZ1769" s="160"/>
      <c r="BA1769" s="160"/>
      <c r="BB1769" s="160"/>
      <c r="BC1769" s="160"/>
      <c r="BD1769" s="160"/>
      <c r="BE1769" s="160"/>
      <c r="BF1769" s="160"/>
      <c r="BG1769" s="160"/>
      <c r="BH1769" s="160"/>
      <c r="BI1769" s="106"/>
      <c r="BJ1769" s="106"/>
      <c r="BK1769" s="106"/>
      <c r="BL1769" s="106"/>
      <c r="BM1769" s="106"/>
      <c r="BN1769" s="106"/>
      <c r="BO1769" s="106"/>
    </row>
    <row r="1770" spans="25:67" ht="15.75" hidden="1" customHeight="1" x14ac:dyDescent="0.25">
      <c r="Y1770" s="91"/>
      <c r="Z1770" s="91" t="s">
        <v>882</v>
      </c>
      <c r="AA1770" s="91"/>
      <c r="AB1770" s="91"/>
      <c r="AC1770" s="91"/>
      <c r="AD1770" s="91"/>
      <c r="AE1770" s="91"/>
      <c r="AF1770" s="91"/>
      <c r="AG1770" s="91"/>
      <c r="AH1770" s="91"/>
      <c r="AI1770" s="91"/>
      <c r="AJ1770" s="91"/>
      <c r="AK1770" s="91"/>
      <c r="AL1770" s="91"/>
      <c r="AM1770" s="91"/>
      <c r="AN1770" s="91"/>
      <c r="AO1770" s="91"/>
      <c r="AP1770" s="91"/>
      <c r="AQ1770" s="91"/>
      <c r="AR1770" s="91"/>
      <c r="AS1770" s="91"/>
      <c r="AT1770" s="91"/>
      <c r="AU1770" s="91"/>
      <c r="AV1770" s="91"/>
      <c r="AW1770" s="67"/>
      <c r="AX1770" s="160"/>
      <c r="AY1770" s="160"/>
      <c r="AZ1770" s="160"/>
      <c r="BA1770" s="160"/>
      <c r="BB1770" s="160"/>
      <c r="BC1770" s="160"/>
      <c r="BD1770" s="160"/>
      <c r="BE1770" s="160"/>
      <c r="BF1770" s="160"/>
      <c r="BG1770" s="160"/>
      <c r="BH1770" s="160"/>
      <c r="BI1770" s="106"/>
      <c r="BJ1770" s="106"/>
      <c r="BK1770" s="106"/>
      <c r="BL1770" s="106"/>
      <c r="BM1770" s="106"/>
      <c r="BN1770" s="106"/>
      <c r="BO1770" s="106"/>
    </row>
    <row r="1771" spans="25:67" ht="15.75" hidden="1" customHeight="1" x14ac:dyDescent="0.25">
      <c r="Y1771" s="91"/>
      <c r="Z1771" s="91" t="s">
        <v>883</v>
      </c>
      <c r="AA1771" s="91"/>
      <c r="AB1771" s="91"/>
      <c r="AC1771" s="91"/>
      <c r="AD1771" s="91"/>
      <c r="AE1771" s="91"/>
      <c r="AF1771" s="91"/>
      <c r="AG1771" s="91"/>
      <c r="AH1771" s="91"/>
      <c r="AI1771" s="91"/>
      <c r="AJ1771" s="91"/>
      <c r="AK1771" s="91"/>
      <c r="AL1771" s="91"/>
      <c r="AM1771" s="91"/>
      <c r="AN1771" s="91"/>
      <c r="AO1771" s="91"/>
      <c r="AP1771" s="91"/>
      <c r="AQ1771" s="91"/>
      <c r="AR1771" s="91"/>
      <c r="AS1771" s="91"/>
      <c r="AT1771" s="91"/>
      <c r="AU1771" s="91"/>
      <c r="AV1771" s="91"/>
      <c r="AW1771" s="67"/>
      <c r="AX1771" s="160"/>
      <c r="AY1771" s="160"/>
      <c r="AZ1771" s="160"/>
      <c r="BA1771" s="160"/>
      <c r="BB1771" s="160"/>
      <c r="BC1771" s="160"/>
      <c r="BD1771" s="160"/>
      <c r="BE1771" s="160"/>
      <c r="BF1771" s="160"/>
      <c r="BG1771" s="160"/>
      <c r="BH1771" s="160"/>
      <c r="BI1771" s="106"/>
      <c r="BJ1771" s="106"/>
      <c r="BK1771" s="106"/>
      <c r="BL1771" s="106"/>
      <c r="BM1771" s="106"/>
      <c r="BN1771" s="106"/>
      <c r="BO1771" s="106"/>
    </row>
    <row r="1772" spans="25:67" ht="15.75" hidden="1" customHeight="1" x14ac:dyDescent="0.25">
      <c r="Y1772" s="91"/>
      <c r="Z1772" s="91" t="s">
        <v>884</v>
      </c>
      <c r="AA1772" s="91"/>
      <c r="AB1772" s="91"/>
      <c r="AC1772" s="91"/>
      <c r="AD1772" s="91"/>
      <c r="AE1772" s="91"/>
      <c r="AF1772" s="91"/>
      <c r="AG1772" s="91"/>
      <c r="AH1772" s="91"/>
      <c r="AI1772" s="91"/>
      <c r="AJ1772" s="91"/>
      <c r="AK1772" s="91"/>
      <c r="AL1772" s="91"/>
      <c r="AM1772" s="91"/>
      <c r="AN1772" s="91"/>
      <c r="AO1772" s="91"/>
      <c r="AP1772" s="91"/>
      <c r="AQ1772" s="91"/>
      <c r="AR1772" s="91"/>
      <c r="AS1772" s="91"/>
      <c r="AT1772" s="91"/>
      <c r="AU1772" s="91"/>
      <c r="AV1772" s="91"/>
      <c r="AW1772" s="67"/>
      <c r="AX1772" s="160"/>
      <c r="AY1772" s="160"/>
      <c r="AZ1772" s="160"/>
      <c r="BA1772" s="160"/>
      <c r="BB1772" s="160"/>
      <c r="BC1772" s="160"/>
      <c r="BD1772" s="160"/>
      <c r="BE1772" s="160"/>
      <c r="BF1772" s="160"/>
      <c r="BG1772" s="160"/>
      <c r="BH1772" s="160"/>
      <c r="BI1772" s="106"/>
      <c r="BJ1772" s="106"/>
      <c r="BK1772" s="106"/>
      <c r="BL1772" s="106"/>
      <c r="BM1772" s="106"/>
      <c r="BN1772" s="106"/>
      <c r="BO1772" s="106"/>
    </row>
    <row r="1773" spans="25:67" ht="15.75" hidden="1" customHeight="1" x14ac:dyDescent="0.25">
      <c r="Y1773" s="91"/>
      <c r="Z1773" s="160" t="s">
        <v>885</v>
      </c>
      <c r="AA1773" s="91"/>
      <c r="AB1773" s="91"/>
      <c r="AC1773" s="91"/>
      <c r="AD1773" s="91"/>
      <c r="AE1773" s="91"/>
      <c r="AF1773" s="91"/>
      <c r="AG1773" s="91"/>
      <c r="AH1773" s="91"/>
      <c r="AI1773" s="91"/>
      <c r="AJ1773" s="91"/>
      <c r="AK1773" s="91"/>
      <c r="AL1773" s="91"/>
      <c r="AM1773" s="91"/>
      <c r="AN1773" s="91"/>
      <c r="AO1773" s="91"/>
      <c r="AP1773" s="91"/>
      <c r="AQ1773" s="91"/>
      <c r="AR1773" s="91"/>
      <c r="AS1773" s="91"/>
      <c r="AT1773" s="91"/>
      <c r="AU1773" s="91"/>
      <c r="AV1773" s="91"/>
      <c r="AW1773" s="67"/>
      <c r="AX1773" s="160"/>
      <c r="AY1773" s="160"/>
      <c r="AZ1773" s="160"/>
      <c r="BA1773" s="160"/>
      <c r="BB1773" s="160"/>
      <c r="BC1773" s="160"/>
      <c r="BD1773" s="160"/>
      <c r="BE1773" s="160"/>
      <c r="BF1773" s="160"/>
      <c r="BG1773" s="160"/>
      <c r="BH1773" s="160"/>
      <c r="BI1773" s="106"/>
      <c r="BJ1773" s="106"/>
      <c r="BK1773" s="106"/>
      <c r="BL1773" s="106"/>
      <c r="BM1773" s="106"/>
      <c r="BN1773" s="106"/>
      <c r="BO1773" s="106"/>
    </row>
    <row r="1774" spans="25:67" hidden="1" x14ac:dyDescent="0.25">
      <c r="Y1774" s="91"/>
      <c r="Z1774" s="160" t="s">
        <v>886</v>
      </c>
      <c r="AA1774" s="91"/>
      <c r="AB1774" s="91"/>
      <c r="AC1774" s="91"/>
      <c r="AD1774" s="91"/>
      <c r="AE1774" s="91"/>
      <c r="AF1774" s="91"/>
      <c r="AG1774" s="91"/>
      <c r="AH1774" s="91"/>
      <c r="AI1774" s="91"/>
      <c r="AJ1774" s="91"/>
      <c r="AK1774" s="91"/>
      <c r="AL1774" s="91"/>
      <c r="AM1774" s="91"/>
      <c r="AN1774" s="91"/>
      <c r="AO1774" s="91"/>
      <c r="AP1774" s="91"/>
      <c r="AQ1774" s="91"/>
      <c r="AR1774" s="91"/>
      <c r="AS1774" s="91"/>
      <c r="AT1774" s="91"/>
      <c r="AU1774" s="91"/>
      <c r="AV1774" s="91"/>
      <c r="AW1774" s="67"/>
      <c r="AX1774" s="160"/>
      <c r="AY1774" s="160"/>
      <c r="AZ1774" s="160"/>
      <c r="BA1774" s="160"/>
      <c r="BB1774" s="160"/>
      <c r="BC1774" s="160"/>
      <c r="BD1774" s="160"/>
      <c r="BE1774" s="160"/>
      <c r="BF1774" s="160"/>
      <c r="BG1774" s="160"/>
      <c r="BH1774" s="160"/>
      <c r="BI1774" s="106"/>
      <c r="BJ1774" s="106"/>
      <c r="BK1774" s="106"/>
      <c r="BL1774" s="106"/>
      <c r="BM1774" s="106"/>
      <c r="BN1774" s="106"/>
      <c r="BO1774" s="106"/>
    </row>
    <row r="1775" spans="25:67" hidden="1" x14ac:dyDescent="0.25">
      <c r="Y1775" s="91"/>
      <c r="Z1775" s="160" t="s">
        <v>887</v>
      </c>
      <c r="AA1775" s="91"/>
      <c r="AB1775" s="91"/>
      <c r="AC1775" s="91"/>
      <c r="AD1775" s="91"/>
      <c r="AE1775" s="91"/>
      <c r="AF1775" s="91"/>
      <c r="AG1775" s="91"/>
      <c r="AH1775" s="91"/>
      <c r="AI1775" s="91"/>
      <c r="AJ1775" s="91"/>
      <c r="AK1775" s="91"/>
      <c r="AL1775" s="91"/>
      <c r="AM1775" s="91"/>
      <c r="AN1775" s="91"/>
      <c r="AO1775" s="91"/>
      <c r="AP1775" s="91"/>
      <c r="AQ1775" s="91"/>
      <c r="AR1775" s="91"/>
      <c r="AS1775" s="91"/>
      <c r="AT1775" s="91"/>
      <c r="AU1775" s="91"/>
      <c r="AV1775" s="91"/>
      <c r="AW1775" s="67"/>
      <c r="AX1775" s="160"/>
      <c r="AY1775" s="160"/>
      <c r="AZ1775" s="160"/>
      <c r="BA1775" s="160"/>
      <c r="BB1775" s="160"/>
      <c r="BC1775" s="160"/>
      <c r="BD1775" s="160"/>
      <c r="BE1775" s="160"/>
      <c r="BF1775" s="160"/>
      <c r="BG1775" s="160"/>
      <c r="BH1775" s="160"/>
      <c r="BI1775" s="106"/>
      <c r="BJ1775" s="106"/>
      <c r="BK1775" s="106"/>
      <c r="BL1775" s="106"/>
      <c r="BM1775" s="106"/>
      <c r="BN1775" s="106"/>
      <c r="BO1775" s="106"/>
    </row>
    <row r="1776" spans="25:67" hidden="1" x14ac:dyDescent="0.25">
      <c r="Y1776" s="91"/>
      <c r="Z1776" s="160" t="s">
        <v>888</v>
      </c>
      <c r="AA1776" s="91"/>
      <c r="AB1776" s="91"/>
      <c r="AC1776" s="91"/>
      <c r="AD1776" s="91"/>
      <c r="AE1776" s="91"/>
      <c r="AF1776" s="91"/>
      <c r="AG1776" s="91"/>
      <c r="AH1776" s="91"/>
      <c r="AI1776" s="91"/>
      <c r="AJ1776" s="91"/>
      <c r="AK1776" s="91"/>
      <c r="AL1776" s="91"/>
      <c r="AM1776" s="91"/>
      <c r="AN1776" s="91"/>
      <c r="AO1776" s="91"/>
      <c r="AP1776" s="91"/>
      <c r="AQ1776" s="91"/>
      <c r="AR1776" s="91"/>
      <c r="AS1776" s="91"/>
      <c r="AT1776" s="91"/>
      <c r="AU1776" s="91"/>
      <c r="AV1776" s="91"/>
      <c r="AW1776" s="67"/>
      <c r="AX1776" s="160"/>
      <c r="AY1776" s="160"/>
      <c r="AZ1776" s="160"/>
      <c r="BA1776" s="160"/>
      <c r="BB1776" s="160"/>
      <c r="BC1776" s="160"/>
      <c r="BD1776" s="160"/>
      <c r="BE1776" s="160"/>
      <c r="BF1776" s="160"/>
      <c r="BG1776" s="160"/>
      <c r="BH1776" s="160"/>
      <c r="BI1776" s="106"/>
      <c r="BJ1776" s="106"/>
      <c r="BK1776" s="106"/>
      <c r="BL1776" s="106"/>
      <c r="BM1776" s="106"/>
      <c r="BN1776" s="106"/>
      <c r="BO1776" s="106"/>
    </row>
    <row r="1777" spans="25:67" hidden="1" x14ac:dyDescent="0.25">
      <c r="Y1777" s="91"/>
      <c r="Z1777" s="160" t="s">
        <v>889</v>
      </c>
      <c r="AA1777" s="91"/>
      <c r="AB1777" s="91"/>
      <c r="AC1777" s="91"/>
      <c r="AD1777" s="91"/>
      <c r="AE1777" s="91"/>
      <c r="AF1777" s="91"/>
      <c r="AG1777" s="91"/>
      <c r="AH1777" s="91"/>
      <c r="AI1777" s="91"/>
      <c r="AJ1777" s="91"/>
      <c r="AK1777" s="91"/>
      <c r="AL1777" s="91"/>
      <c r="AM1777" s="91"/>
      <c r="AN1777" s="91"/>
      <c r="AO1777" s="91"/>
      <c r="AP1777" s="91"/>
      <c r="AQ1777" s="91"/>
      <c r="AR1777" s="91"/>
      <c r="AS1777" s="91"/>
      <c r="AT1777" s="91"/>
      <c r="AU1777" s="91"/>
      <c r="AV1777" s="91"/>
      <c r="AW1777" s="67"/>
      <c r="AX1777" s="160"/>
      <c r="AY1777" s="160"/>
      <c r="AZ1777" s="160"/>
      <c r="BA1777" s="160"/>
      <c r="BB1777" s="160"/>
      <c r="BC1777" s="160"/>
      <c r="BD1777" s="160"/>
      <c r="BE1777" s="160"/>
      <c r="BF1777" s="160"/>
      <c r="BG1777" s="160"/>
      <c r="BH1777" s="160"/>
      <c r="BI1777" s="106"/>
      <c r="BJ1777" s="106"/>
      <c r="BK1777" s="106"/>
      <c r="BL1777" s="106"/>
      <c r="BM1777" s="106"/>
      <c r="BN1777" s="106"/>
      <c r="BO1777" s="106"/>
    </row>
    <row r="1778" spans="25:67" hidden="1" x14ac:dyDescent="0.25">
      <c r="Y1778" s="91"/>
      <c r="Z1778" s="160" t="s">
        <v>890</v>
      </c>
      <c r="AA1778" s="91"/>
      <c r="AB1778" s="91"/>
      <c r="AC1778" s="91"/>
      <c r="AD1778" s="91"/>
      <c r="AE1778" s="91"/>
      <c r="AF1778" s="91"/>
      <c r="AG1778" s="91"/>
      <c r="AH1778" s="91"/>
      <c r="AI1778" s="91"/>
      <c r="AJ1778" s="91"/>
      <c r="AK1778" s="91"/>
      <c r="AL1778" s="91"/>
      <c r="AM1778" s="91"/>
      <c r="AN1778" s="91"/>
      <c r="AO1778" s="91"/>
      <c r="AP1778" s="91"/>
      <c r="AQ1778" s="91"/>
      <c r="AR1778" s="91"/>
      <c r="AS1778" s="91"/>
      <c r="AT1778" s="91"/>
      <c r="AU1778" s="91"/>
      <c r="AV1778" s="91"/>
      <c r="AW1778" s="67"/>
      <c r="AX1778" s="160"/>
      <c r="AY1778" s="160"/>
      <c r="AZ1778" s="160"/>
      <c r="BA1778" s="160"/>
      <c r="BB1778" s="160"/>
      <c r="BC1778" s="160"/>
      <c r="BD1778" s="160"/>
      <c r="BE1778" s="160"/>
      <c r="BF1778" s="160"/>
      <c r="BG1778" s="160"/>
      <c r="BH1778" s="160"/>
      <c r="BI1778" s="106"/>
      <c r="BJ1778" s="106"/>
      <c r="BK1778" s="106"/>
      <c r="BL1778" s="106"/>
      <c r="BM1778" s="106"/>
      <c r="BN1778" s="106"/>
      <c r="BO1778" s="106"/>
    </row>
    <row r="1779" spans="25:67" hidden="1" x14ac:dyDescent="0.25">
      <c r="Y1779" s="91"/>
      <c r="Z1779" s="160" t="s">
        <v>891</v>
      </c>
      <c r="AA1779" s="91"/>
      <c r="AB1779" s="91"/>
      <c r="AC1779" s="91"/>
      <c r="AD1779" s="91"/>
      <c r="AE1779" s="91"/>
      <c r="AF1779" s="91"/>
      <c r="AG1779" s="91"/>
      <c r="AH1779" s="91"/>
      <c r="AI1779" s="91"/>
      <c r="AJ1779" s="91"/>
      <c r="AK1779" s="91"/>
      <c r="AL1779" s="91"/>
      <c r="AM1779" s="91"/>
      <c r="AN1779" s="91"/>
      <c r="AO1779" s="91"/>
      <c r="AP1779" s="91"/>
      <c r="AQ1779" s="91"/>
      <c r="AR1779" s="91"/>
      <c r="AS1779" s="91"/>
      <c r="AT1779" s="91"/>
      <c r="AU1779" s="91"/>
      <c r="AV1779" s="91"/>
      <c r="AW1779" s="67"/>
      <c r="AX1779" s="160"/>
      <c r="AY1779" s="160"/>
      <c r="AZ1779" s="160"/>
      <c r="BA1779" s="160"/>
      <c r="BB1779" s="160"/>
      <c r="BC1779" s="160"/>
      <c r="BD1779" s="160"/>
      <c r="BE1779" s="160"/>
      <c r="BF1779" s="160"/>
      <c r="BG1779" s="160"/>
      <c r="BH1779" s="160"/>
      <c r="BI1779" s="106"/>
      <c r="BJ1779" s="106"/>
      <c r="BK1779" s="106"/>
      <c r="BL1779" s="106"/>
      <c r="BM1779" s="106"/>
      <c r="BN1779" s="106"/>
      <c r="BO1779" s="106"/>
    </row>
    <row r="1780" spans="25:67" hidden="1" x14ac:dyDescent="0.25">
      <c r="Y1780" s="91"/>
      <c r="Z1780" s="160" t="s">
        <v>892</v>
      </c>
      <c r="AA1780" s="91"/>
      <c r="AB1780" s="91"/>
      <c r="AC1780" s="91"/>
      <c r="AD1780" s="91"/>
      <c r="AE1780" s="91"/>
      <c r="AF1780" s="91"/>
      <c r="AG1780" s="91"/>
      <c r="AH1780" s="91"/>
      <c r="AI1780" s="91"/>
      <c r="AJ1780" s="91"/>
      <c r="AK1780" s="91"/>
      <c r="AL1780" s="91"/>
      <c r="AM1780" s="91"/>
      <c r="AN1780" s="91"/>
      <c r="AO1780" s="91"/>
      <c r="AP1780" s="91"/>
      <c r="AQ1780" s="91"/>
      <c r="AR1780" s="91"/>
      <c r="AS1780" s="91"/>
      <c r="AT1780" s="91"/>
      <c r="AU1780" s="91"/>
      <c r="AV1780" s="91"/>
      <c r="AW1780" s="67"/>
      <c r="AX1780" s="160"/>
      <c r="AY1780" s="160"/>
      <c r="AZ1780" s="160"/>
      <c r="BA1780" s="160"/>
      <c r="BB1780" s="160"/>
      <c r="BC1780" s="160"/>
      <c r="BD1780" s="160"/>
      <c r="BE1780" s="160"/>
      <c r="BF1780" s="160"/>
      <c r="BG1780" s="160"/>
      <c r="BH1780" s="160"/>
      <c r="BI1780" s="106"/>
      <c r="BJ1780" s="106"/>
      <c r="BK1780" s="106"/>
      <c r="BL1780" s="106"/>
      <c r="BM1780" s="106"/>
      <c r="BN1780" s="106"/>
      <c r="BO1780" s="106"/>
    </row>
    <row r="1781" spans="25:67" hidden="1" x14ac:dyDescent="0.25">
      <c r="Y1781" s="91"/>
      <c r="Z1781" s="160"/>
      <c r="AA1781" s="91"/>
      <c r="AB1781" s="91"/>
      <c r="AC1781" s="91"/>
      <c r="AD1781" s="91"/>
      <c r="AE1781" s="91"/>
      <c r="AF1781" s="91"/>
      <c r="AG1781" s="91"/>
      <c r="AH1781" s="91"/>
      <c r="AI1781" s="91"/>
      <c r="AJ1781" s="91"/>
      <c r="AK1781" s="91"/>
      <c r="AL1781" s="91"/>
      <c r="AM1781" s="91"/>
      <c r="AN1781" s="91"/>
      <c r="AO1781" s="91"/>
      <c r="AP1781" s="91"/>
      <c r="AQ1781" s="91"/>
      <c r="AR1781" s="91"/>
      <c r="AS1781" s="91"/>
      <c r="AT1781" s="91"/>
      <c r="AU1781" s="91"/>
      <c r="AV1781" s="91"/>
      <c r="AW1781" s="67"/>
      <c r="AX1781" s="160"/>
      <c r="AY1781" s="160"/>
      <c r="AZ1781" s="160"/>
      <c r="BA1781" s="160"/>
      <c r="BB1781" s="160"/>
      <c r="BC1781" s="160"/>
      <c r="BD1781" s="160"/>
      <c r="BE1781" s="160"/>
      <c r="BF1781" s="160"/>
      <c r="BG1781" s="160"/>
      <c r="BH1781" s="160"/>
      <c r="BI1781" s="106"/>
      <c r="BJ1781" s="106"/>
      <c r="BK1781" s="106"/>
      <c r="BL1781" s="106"/>
      <c r="BM1781" s="106"/>
      <c r="BN1781" s="106"/>
      <c r="BO1781" s="106"/>
    </row>
    <row r="1782" spans="25:67" hidden="1" x14ac:dyDescent="0.25">
      <c r="Y1782" s="91"/>
      <c r="Z1782" s="160" t="s">
        <v>893</v>
      </c>
      <c r="AA1782" s="91"/>
      <c r="AB1782" s="91"/>
      <c r="AC1782" s="91"/>
      <c r="AD1782" s="91"/>
      <c r="AE1782" s="91"/>
      <c r="AF1782" s="91"/>
      <c r="AG1782" s="91"/>
      <c r="AH1782" s="91"/>
      <c r="AI1782" s="91"/>
      <c r="AJ1782" s="91"/>
      <c r="AK1782" s="91"/>
      <c r="AL1782" s="91"/>
      <c r="AM1782" s="91"/>
      <c r="AN1782" s="91"/>
      <c r="AO1782" s="91"/>
      <c r="AP1782" s="91"/>
      <c r="AQ1782" s="91"/>
      <c r="AR1782" s="91"/>
      <c r="AS1782" s="91"/>
      <c r="AT1782" s="91"/>
      <c r="AU1782" s="91"/>
      <c r="AV1782" s="91"/>
      <c r="AW1782" s="67"/>
      <c r="AX1782" s="160"/>
      <c r="AY1782" s="160"/>
      <c r="AZ1782" s="160"/>
      <c r="BA1782" s="160"/>
      <c r="BB1782" s="160"/>
      <c r="BC1782" s="160"/>
      <c r="BD1782" s="160"/>
      <c r="BE1782" s="160"/>
      <c r="BF1782" s="160"/>
      <c r="BG1782" s="160"/>
      <c r="BH1782" s="160"/>
      <c r="BI1782" s="106"/>
      <c r="BJ1782" s="106"/>
      <c r="BK1782" s="106"/>
      <c r="BL1782" s="106"/>
      <c r="BM1782" s="106"/>
      <c r="BN1782" s="106"/>
      <c r="BO1782" s="106"/>
    </row>
    <row r="1783" spans="25:67" ht="17.25" hidden="1" x14ac:dyDescent="0.25">
      <c r="Y1783" s="91"/>
      <c r="Z1783" s="160" t="s">
        <v>894</v>
      </c>
      <c r="AA1783" s="91"/>
      <c r="AB1783" s="91"/>
      <c r="AC1783" s="91"/>
      <c r="AD1783" s="91"/>
      <c r="AE1783" s="91"/>
      <c r="AF1783" s="91"/>
      <c r="AG1783" s="91"/>
      <c r="AH1783" s="91"/>
      <c r="AI1783" s="91"/>
      <c r="AJ1783" s="91"/>
      <c r="AK1783" s="91"/>
      <c r="AL1783" s="91"/>
      <c r="AM1783" s="91"/>
      <c r="AN1783" s="91"/>
      <c r="AO1783" s="91"/>
      <c r="AP1783" s="91"/>
      <c r="AQ1783" s="91"/>
      <c r="AR1783" s="91"/>
      <c r="AS1783" s="91"/>
      <c r="AT1783" s="91"/>
      <c r="AU1783" s="91"/>
      <c r="AV1783" s="91"/>
      <c r="AW1783" s="67"/>
      <c r="AX1783" s="160"/>
      <c r="AY1783" s="160"/>
      <c r="AZ1783" s="160"/>
      <c r="BA1783" s="160"/>
      <c r="BB1783" s="160"/>
      <c r="BC1783" s="160"/>
      <c r="BD1783" s="160"/>
      <c r="BE1783" s="160"/>
      <c r="BF1783" s="160"/>
      <c r="BG1783" s="160"/>
      <c r="BH1783" s="160"/>
      <c r="BI1783" s="106"/>
      <c r="BJ1783" s="106"/>
      <c r="BK1783" s="106"/>
      <c r="BL1783" s="106"/>
      <c r="BM1783" s="106"/>
      <c r="BN1783" s="106"/>
      <c r="BO1783" s="106"/>
    </row>
    <row r="1784" spans="25:67" ht="17.25" hidden="1" x14ac:dyDescent="0.25">
      <c r="Y1784" s="91"/>
      <c r="Z1784" s="160" t="s">
        <v>895</v>
      </c>
      <c r="AA1784" s="91"/>
      <c r="AB1784" s="91"/>
      <c r="AC1784" s="91"/>
      <c r="AD1784" s="91"/>
      <c r="AE1784" s="91"/>
      <c r="AF1784" s="91"/>
      <c r="AG1784" s="91"/>
      <c r="AH1784" s="91"/>
      <c r="AI1784" s="91"/>
      <c r="AJ1784" s="91"/>
      <c r="AK1784" s="91"/>
      <c r="AL1784" s="91"/>
      <c r="AM1784" s="91"/>
      <c r="AN1784" s="91"/>
      <c r="AO1784" s="91"/>
      <c r="AP1784" s="91"/>
      <c r="AQ1784" s="91"/>
      <c r="AR1784" s="91"/>
      <c r="AS1784" s="91"/>
      <c r="AT1784" s="91"/>
      <c r="AU1784" s="91"/>
      <c r="AV1784" s="91"/>
      <c r="AW1784" s="67"/>
      <c r="AX1784" s="160"/>
      <c r="AY1784" s="160"/>
      <c r="AZ1784" s="160"/>
      <c r="BA1784" s="160"/>
      <c r="BB1784" s="160"/>
      <c r="BC1784" s="160"/>
      <c r="BD1784" s="160"/>
      <c r="BE1784" s="160"/>
      <c r="BF1784" s="160"/>
      <c r="BG1784" s="160"/>
      <c r="BH1784" s="160"/>
      <c r="BI1784" s="106"/>
      <c r="BJ1784" s="106"/>
      <c r="BK1784" s="106"/>
      <c r="BL1784" s="106"/>
      <c r="BM1784" s="106"/>
      <c r="BN1784" s="106"/>
      <c r="BO1784" s="106"/>
    </row>
    <row r="1785" spans="25:67" ht="18.75" hidden="1" x14ac:dyDescent="0.35">
      <c r="Y1785" s="91"/>
      <c r="Z1785" s="160" t="s">
        <v>896</v>
      </c>
      <c r="AA1785" s="91"/>
      <c r="AB1785" s="91"/>
      <c r="AC1785" s="91"/>
      <c r="AD1785" s="91"/>
      <c r="AE1785" s="91"/>
      <c r="AF1785" s="91"/>
      <c r="AG1785" s="91"/>
      <c r="AH1785" s="91"/>
      <c r="AI1785" s="91"/>
      <c r="AJ1785" s="91"/>
      <c r="AK1785" s="91"/>
      <c r="AL1785" s="91"/>
      <c r="AM1785" s="91"/>
      <c r="AN1785" s="91"/>
      <c r="AO1785" s="91"/>
      <c r="AP1785" s="91"/>
      <c r="AQ1785" s="91"/>
      <c r="AR1785" s="91"/>
      <c r="AS1785" s="91"/>
      <c r="AT1785" s="91"/>
      <c r="AU1785" s="91"/>
      <c r="AV1785" s="91"/>
      <c r="AW1785" s="67"/>
      <c r="AX1785" s="160"/>
      <c r="AY1785" s="160"/>
      <c r="AZ1785" s="160"/>
      <c r="BA1785" s="160"/>
      <c r="BB1785" s="160"/>
      <c r="BC1785" s="160"/>
      <c r="BD1785" s="160"/>
      <c r="BE1785" s="160"/>
      <c r="BF1785" s="160"/>
      <c r="BG1785" s="160"/>
      <c r="BH1785" s="160"/>
      <c r="BI1785" s="106"/>
      <c r="BJ1785" s="106"/>
      <c r="BK1785" s="106"/>
      <c r="BL1785" s="106"/>
      <c r="BM1785" s="106"/>
      <c r="BN1785" s="106"/>
      <c r="BO1785" s="106"/>
    </row>
    <row r="1786" spans="25:67" ht="17.25" hidden="1" x14ac:dyDescent="0.25">
      <c r="Y1786" s="91"/>
      <c r="Z1786" s="160" t="s">
        <v>897</v>
      </c>
      <c r="AA1786" s="91"/>
      <c r="AB1786" s="91"/>
      <c r="AC1786" s="91"/>
      <c r="AD1786" s="91"/>
      <c r="AE1786" s="91"/>
      <c r="AF1786" s="91"/>
      <c r="AG1786" s="91"/>
      <c r="AH1786" s="91"/>
      <c r="AI1786" s="91"/>
      <c r="AJ1786" s="91"/>
      <c r="AK1786" s="91"/>
      <c r="AL1786" s="91"/>
      <c r="AM1786" s="91"/>
      <c r="AN1786" s="91"/>
      <c r="AO1786" s="91"/>
      <c r="AP1786" s="91"/>
      <c r="AQ1786" s="91"/>
      <c r="AR1786" s="91"/>
      <c r="AS1786" s="91"/>
      <c r="AT1786" s="91"/>
      <c r="AU1786" s="91"/>
      <c r="AV1786" s="91"/>
      <c r="AW1786" s="67"/>
      <c r="AX1786" s="160"/>
      <c r="AY1786" s="160"/>
      <c r="AZ1786" s="160"/>
      <c r="BA1786" s="160"/>
      <c r="BB1786" s="160"/>
      <c r="BC1786" s="160"/>
      <c r="BD1786" s="160"/>
      <c r="BE1786" s="160"/>
      <c r="BF1786" s="160"/>
      <c r="BG1786" s="160"/>
      <c r="BH1786" s="160"/>
      <c r="BI1786" s="106"/>
      <c r="BJ1786" s="106"/>
      <c r="BK1786" s="106"/>
      <c r="BL1786" s="106"/>
      <c r="BM1786" s="106"/>
      <c r="BN1786" s="106"/>
      <c r="BO1786" s="106"/>
    </row>
    <row r="1787" spans="25:67" hidden="1" x14ac:dyDescent="0.25">
      <c r="Y1787" s="91"/>
      <c r="Z1787" s="160" t="s">
        <v>898</v>
      </c>
      <c r="AA1787" s="91"/>
      <c r="AB1787" s="91"/>
      <c r="AC1787" s="91"/>
      <c r="AD1787" s="91"/>
      <c r="AE1787" s="91"/>
      <c r="AF1787" s="91"/>
      <c r="AG1787" s="91"/>
      <c r="AH1787" s="91"/>
      <c r="AI1787" s="91"/>
      <c r="AJ1787" s="91"/>
      <c r="AK1787" s="91"/>
      <c r="AL1787" s="91"/>
      <c r="AM1787" s="91"/>
      <c r="AN1787" s="91"/>
      <c r="AO1787" s="91"/>
      <c r="AP1787" s="91"/>
      <c r="AQ1787" s="91"/>
      <c r="AR1787" s="91"/>
      <c r="AS1787" s="91"/>
      <c r="AT1787" s="91"/>
      <c r="AU1787" s="91"/>
      <c r="AV1787" s="91"/>
      <c r="AW1787" s="67"/>
      <c r="AX1787" s="160"/>
      <c r="AY1787" s="160"/>
      <c r="AZ1787" s="160"/>
      <c r="BA1787" s="160"/>
      <c r="BB1787" s="160"/>
      <c r="BC1787" s="160"/>
      <c r="BD1787" s="160"/>
      <c r="BE1787" s="160"/>
      <c r="BF1787" s="160"/>
      <c r="BG1787" s="160"/>
      <c r="BH1787" s="160"/>
      <c r="BI1787" s="106"/>
      <c r="BJ1787" s="106"/>
      <c r="BK1787" s="106"/>
      <c r="BL1787" s="106"/>
      <c r="BM1787" s="106"/>
      <c r="BN1787" s="106"/>
      <c r="BO1787" s="106"/>
    </row>
    <row r="1788" spans="25:67" hidden="1" x14ac:dyDescent="0.25">
      <c r="Y1788" s="91"/>
      <c r="Z1788" s="78" t="s">
        <v>899</v>
      </c>
      <c r="AA1788" s="78"/>
      <c r="AB1788" s="78"/>
      <c r="AC1788" s="78"/>
      <c r="AD1788" s="79"/>
      <c r="AE1788" s="79"/>
      <c r="AF1788" s="79"/>
      <c r="AG1788" s="79"/>
      <c r="AH1788" s="79"/>
      <c r="AI1788" s="79"/>
      <c r="AJ1788" s="79"/>
      <c r="AK1788" s="79"/>
      <c r="AL1788" s="79"/>
      <c r="AM1788" s="79"/>
      <c r="AN1788" s="79"/>
      <c r="AO1788" s="79"/>
      <c r="AP1788" s="79"/>
      <c r="AQ1788" s="79"/>
      <c r="AR1788" s="79"/>
      <c r="AS1788" s="79"/>
      <c r="AT1788" s="79"/>
      <c r="AU1788" s="79"/>
      <c r="AV1788" s="79"/>
      <c r="AW1788" s="80"/>
      <c r="AX1788" s="160"/>
      <c r="AY1788" s="160"/>
      <c r="AZ1788" s="160"/>
      <c r="BA1788" s="160"/>
      <c r="BB1788" s="160"/>
      <c r="BC1788" s="160"/>
      <c r="BD1788" s="160"/>
      <c r="BE1788" s="160"/>
      <c r="BF1788" s="160"/>
      <c r="BG1788" s="160"/>
      <c r="BH1788" s="160"/>
      <c r="BI1788" s="106"/>
      <c r="BJ1788" s="106"/>
      <c r="BK1788" s="106"/>
      <c r="BL1788" s="106"/>
      <c r="BM1788" s="106"/>
      <c r="BN1788" s="106"/>
      <c r="BO1788" s="106"/>
    </row>
    <row r="1789" spans="25:67" hidden="1" x14ac:dyDescent="0.25">
      <c r="Y1789" s="91"/>
      <c r="Z1789" s="78"/>
      <c r="AA1789" s="78"/>
      <c r="AB1789" s="91"/>
      <c r="AC1789" s="91"/>
      <c r="AD1789" s="79"/>
      <c r="AE1789" s="79"/>
      <c r="AF1789" s="79"/>
      <c r="AG1789" s="79"/>
      <c r="AH1789" s="79"/>
      <c r="AI1789" s="79"/>
      <c r="AJ1789" s="79"/>
      <c r="AK1789" s="79"/>
      <c r="AL1789" s="79"/>
      <c r="AM1789" s="79"/>
      <c r="AN1789" s="79"/>
      <c r="AO1789" s="79"/>
      <c r="AP1789" s="79"/>
      <c r="AQ1789" s="79"/>
      <c r="AR1789" s="79"/>
      <c r="AS1789" s="79"/>
      <c r="AT1789" s="79"/>
      <c r="AU1789" s="79"/>
      <c r="AV1789" s="79"/>
      <c r="AW1789" s="80"/>
      <c r="AX1789" s="160"/>
      <c r="AY1789" s="160"/>
      <c r="AZ1789" s="160"/>
      <c r="BA1789" s="160"/>
      <c r="BB1789" s="160"/>
      <c r="BC1789" s="160"/>
      <c r="BD1789" s="160"/>
      <c r="BE1789" s="160"/>
      <c r="BF1789" s="160"/>
      <c r="BG1789" s="160"/>
      <c r="BH1789" s="160"/>
      <c r="BI1789" s="106"/>
      <c r="BJ1789" s="106"/>
      <c r="BK1789" s="106"/>
      <c r="BL1789" s="106"/>
      <c r="BM1789" s="106"/>
      <c r="BN1789" s="106"/>
      <c r="BO1789" s="106"/>
    </row>
    <row r="1790" spans="25:67" hidden="1" x14ac:dyDescent="0.25">
      <c r="Y1790" s="91"/>
      <c r="Z1790" s="71" t="s">
        <v>525</v>
      </c>
      <c r="AA1790" s="91"/>
      <c r="AB1790" s="71" t="s">
        <v>300</v>
      </c>
      <c r="AC1790" s="81">
        <v>0</v>
      </c>
      <c r="AD1790" s="91"/>
      <c r="AE1790" s="74" t="s">
        <v>900</v>
      </c>
      <c r="AF1790" s="74"/>
      <c r="AG1790" s="74" t="s">
        <v>901</v>
      </c>
      <c r="AH1790" s="91"/>
      <c r="AI1790" s="91"/>
      <c r="AJ1790" s="91"/>
      <c r="AK1790" s="91"/>
      <c r="AL1790" s="91"/>
      <c r="AM1790" s="91"/>
      <c r="AN1790" s="91"/>
      <c r="AO1790" s="91"/>
      <c r="AP1790" s="91"/>
      <c r="AQ1790" s="91"/>
      <c r="AR1790" s="91"/>
      <c r="AS1790" s="91"/>
      <c r="AT1790" s="91"/>
      <c r="AU1790" s="91"/>
      <c r="AV1790" s="91"/>
      <c r="AW1790" s="67"/>
      <c r="AX1790" s="160"/>
      <c r="AY1790" s="160"/>
      <c r="AZ1790" s="160"/>
      <c r="BA1790" s="160"/>
      <c r="BB1790" s="160"/>
      <c r="BC1790" s="160"/>
      <c r="BD1790" s="160"/>
      <c r="BE1790" s="160"/>
      <c r="BF1790" s="160"/>
      <c r="BG1790" s="160"/>
      <c r="BH1790" s="160"/>
      <c r="BI1790" s="106"/>
      <c r="BJ1790" s="106"/>
      <c r="BK1790" s="106"/>
      <c r="BL1790" s="106"/>
      <c r="BM1790" s="106"/>
      <c r="BN1790" s="106"/>
      <c r="BO1790" s="106"/>
    </row>
    <row r="1791" spans="25:67" hidden="1" x14ac:dyDescent="0.25">
      <c r="Y1791" s="91"/>
      <c r="Z1791" s="71" t="s">
        <v>902</v>
      </c>
      <c r="AA1791" s="91"/>
      <c r="AB1791" s="71" t="s">
        <v>488</v>
      </c>
      <c r="AC1791" s="71"/>
      <c r="AD1791" s="91"/>
      <c r="AE1791" s="71">
        <v>0</v>
      </c>
      <c r="AF1791" s="71"/>
      <c r="AG1791" s="426">
        <f>IF(OR(ADPT=ADPT02,ADPT=ADPT03),(1),(0))</f>
        <v>0</v>
      </c>
      <c r="AH1791" s="91"/>
      <c r="AI1791" s="91"/>
      <c r="AJ1791" s="91"/>
      <c r="AK1791" s="91"/>
      <c r="AL1791" s="91"/>
      <c r="AM1791" s="91"/>
      <c r="AN1791" s="91"/>
      <c r="AO1791" s="91"/>
      <c r="AP1791" s="91"/>
      <c r="AQ1791" s="91"/>
      <c r="AR1791" s="91"/>
      <c r="AS1791" s="91"/>
      <c r="AT1791" s="91"/>
      <c r="AU1791" s="91"/>
      <c r="AV1791" s="91"/>
      <c r="AW1791" s="67"/>
      <c r="AX1791" s="160"/>
      <c r="AY1791" s="160"/>
      <c r="AZ1791" s="160"/>
      <c r="BA1791" s="160"/>
      <c r="BB1791" s="160"/>
      <c r="BC1791" s="160"/>
      <c r="BD1791" s="160"/>
      <c r="BE1791" s="160"/>
      <c r="BF1791" s="160"/>
      <c r="BG1791" s="160"/>
      <c r="BH1791" s="160"/>
      <c r="BI1791" s="106"/>
      <c r="BJ1791" s="106"/>
      <c r="BK1791" s="106"/>
      <c r="BL1791" s="106"/>
      <c r="BM1791" s="106"/>
      <c r="BN1791" s="106"/>
      <c r="BO1791" s="106"/>
    </row>
    <row r="1792" spans="25:67" hidden="1" x14ac:dyDescent="0.25">
      <c r="Y1792" s="91"/>
      <c r="Z1792" s="71" t="s">
        <v>903</v>
      </c>
      <c r="AA1792" s="91"/>
      <c r="AB1792" s="71" t="s">
        <v>904</v>
      </c>
      <c r="AC1792" s="81">
        <v>0</v>
      </c>
      <c r="AD1792" s="91"/>
      <c r="AE1792" s="71">
        <v>1</v>
      </c>
      <c r="AF1792" s="91"/>
      <c r="AG1792" s="91"/>
      <c r="AH1792" s="91"/>
      <c r="AI1792" s="91"/>
      <c r="AJ1792" s="91"/>
      <c r="AK1792" s="91"/>
      <c r="AL1792" s="91"/>
      <c r="AM1792" s="91"/>
      <c r="AN1792" s="91"/>
      <c r="AO1792" s="91"/>
      <c r="AP1792" s="91"/>
      <c r="AQ1792" s="91"/>
      <c r="AR1792" s="91"/>
      <c r="AS1792" s="91"/>
      <c r="AT1792" s="91"/>
      <c r="AU1792" s="91"/>
      <c r="AV1792" s="91"/>
      <c r="AW1792" s="67"/>
      <c r="AX1792" s="160"/>
      <c r="AY1792" s="160"/>
      <c r="AZ1792" s="160"/>
      <c r="BA1792" s="160"/>
      <c r="BB1792" s="160"/>
      <c r="BC1792" s="160"/>
      <c r="BD1792" s="160"/>
      <c r="BE1792" s="160"/>
      <c r="BF1792" s="160"/>
      <c r="BG1792" s="160"/>
      <c r="BH1792" s="160"/>
      <c r="BI1792" s="106"/>
      <c r="BJ1792" s="106"/>
      <c r="BK1792" s="106"/>
      <c r="BL1792" s="106"/>
      <c r="BM1792" s="106"/>
      <c r="BN1792" s="106"/>
      <c r="BO1792" s="106"/>
    </row>
    <row r="1793" spans="23:67" hidden="1" x14ac:dyDescent="0.25">
      <c r="Y1793" s="91"/>
      <c r="Z1793" s="83" t="s">
        <v>905</v>
      </c>
      <c r="AA1793" s="91"/>
      <c r="AB1793" s="82" t="s">
        <v>906</v>
      </c>
      <c r="AC1793" s="81">
        <v>1</v>
      </c>
      <c r="AD1793" s="91"/>
      <c r="AE1793" s="71">
        <v>2</v>
      </c>
      <c r="AF1793" s="91"/>
      <c r="AG1793" s="91"/>
      <c r="AH1793" s="91"/>
      <c r="AI1793" s="91"/>
      <c r="AJ1793" s="91"/>
      <c r="AK1793" s="91"/>
      <c r="AL1793" s="91"/>
      <c r="AM1793" s="91"/>
      <c r="AN1793" s="91"/>
      <c r="AO1793" s="91"/>
      <c r="AP1793" s="91"/>
      <c r="AQ1793" s="91"/>
      <c r="AR1793" s="91"/>
      <c r="AS1793" s="91"/>
      <c r="AT1793" s="91"/>
      <c r="AU1793" s="91"/>
      <c r="AV1793" s="91"/>
      <c r="AW1793" s="67"/>
      <c r="AX1793" s="160"/>
      <c r="AY1793" s="160"/>
      <c r="AZ1793" s="160"/>
      <c r="BA1793" s="160"/>
      <c r="BB1793" s="160"/>
      <c r="BC1793" s="160"/>
      <c r="BD1793" s="160"/>
      <c r="BE1793" s="160"/>
      <c r="BF1793" s="160"/>
      <c r="BG1793" s="160"/>
      <c r="BH1793" s="160"/>
      <c r="BI1793" s="106"/>
      <c r="BJ1793" s="106"/>
      <c r="BK1793" s="106"/>
      <c r="BL1793" s="106"/>
      <c r="BM1793" s="106"/>
      <c r="BN1793" s="106"/>
      <c r="BO1793" s="106"/>
    </row>
    <row r="1794" spans="23:67" hidden="1" x14ac:dyDescent="0.25">
      <c r="Y1794" s="91"/>
      <c r="Z1794" s="84"/>
      <c r="AA1794" s="91"/>
      <c r="AB1794" s="82" t="s">
        <v>907</v>
      </c>
      <c r="AC1794" s="81">
        <v>2</v>
      </c>
      <c r="AD1794" s="91"/>
      <c r="AE1794" s="91"/>
      <c r="AF1794" s="91"/>
      <c r="AG1794" s="91"/>
      <c r="AH1794" s="91"/>
      <c r="AI1794" s="91"/>
      <c r="AJ1794" s="91"/>
      <c r="AK1794" s="91"/>
      <c r="AL1794" s="91"/>
      <c r="AM1794" s="91"/>
      <c r="AN1794" s="91"/>
      <c r="AO1794" s="91"/>
      <c r="AP1794" s="91"/>
      <c r="AQ1794" s="91"/>
      <c r="AR1794" s="91"/>
      <c r="AS1794" s="91"/>
      <c r="AT1794" s="91"/>
      <c r="AU1794" s="91"/>
      <c r="AV1794" s="91"/>
      <c r="AW1794" s="67"/>
      <c r="AX1794" s="160"/>
      <c r="AY1794" s="160"/>
      <c r="AZ1794" s="160"/>
      <c r="BA1794" s="160"/>
      <c r="BB1794" s="160"/>
      <c r="BC1794" s="160"/>
      <c r="BD1794" s="160"/>
      <c r="BE1794" s="160"/>
      <c r="BF1794" s="160"/>
      <c r="BG1794" s="160"/>
      <c r="BH1794" s="160"/>
      <c r="BI1794" s="106"/>
      <c r="BJ1794" s="106"/>
      <c r="BK1794" s="106"/>
      <c r="BL1794" s="106"/>
      <c r="BM1794" s="106"/>
      <c r="BN1794" s="106"/>
      <c r="BO1794" s="106"/>
    </row>
    <row r="1795" spans="23:67" hidden="1" x14ac:dyDescent="0.25">
      <c r="Y1795" s="91"/>
      <c r="Z1795" s="160"/>
      <c r="AA1795" s="91"/>
      <c r="AB1795" s="82" t="s">
        <v>908</v>
      </c>
      <c r="AC1795" s="81">
        <v>2</v>
      </c>
      <c r="AD1795" s="91"/>
      <c r="AE1795" s="74" t="s">
        <v>909</v>
      </c>
      <c r="AF1795" s="66"/>
      <c r="AG1795" s="91"/>
      <c r="AH1795" s="91" t="s">
        <v>910</v>
      </c>
      <c r="AI1795" s="91" t="s">
        <v>911</v>
      </c>
      <c r="AJ1795" s="91"/>
      <c r="AK1795" s="91"/>
      <c r="AL1795" s="91"/>
      <c r="AM1795" s="91"/>
      <c r="AN1795" s="91"/>
      <c r="AO1795" s="91"/>
      <c r="AP1795" s="91"/>
      <c r="AQ1795" s="91"/>
      <c r="AR1795" s="91"/>
      <c r="AS1795" s="91"/>
      <c r="AT1795" s="91"/>
      <c r="AU1795" s="91"/>
      <c r="AV1795" s="91"/>
      <c r="AW1795" s="67"/>
      <c r="AX1795" s="160"/>
      <c r="AY1795" s="160"/>
      <c r="AZ1795" s="160"/>
      <c r="BA1795" s="160"/>
      <c r="BB1795" s="160"/>
      <c r="BC1795" s="160"/>
      <c r="BD1795" s="160"/>
      <c r="BE1795" s="160"/>
      <c r="BF1795" s="160"/>
      <c r="BG1795" s="160"/>
      <c r="BH1795" s="160"/>
      <c r="BI1795" s="106"/>
      <c r="BJ1795" s="106"/>
      <c r="BK1795" s="106"/>
      <c r="BL1795" s="106"/>
      <c r="BM1795" s="106"/>
      <c r="BN1795" s="106"/>
      <c r="BO1795" s="106"/>
    </row>
    <row r="1796" spans="23:67" hidden="1" x14ac:dyDescent="0.25">
      <c r="Y1796" s="91"/>
      <c r="Z1796" s="160"/>
      <c r="AA1796" s="91"/>
      <c r="AB1796" s="82" t="s">
        <v>908</v>
      </c>
      <c r="AC1796" s="85">
        <v>1</v>
      </c>
      <c r="AD1796" s="91"/>
      <c r="AE1796" s="426">
        <f>IF(AD_Shell_Only=AD_no,(0),(1))</f>
        <v>0</v>
      </c>
      <c r="AF1796" s="533"/>
      <c r="AG1796" s="66" t="s">
        <v>912</v>
      </c>
      <c r="AH1796" s="525">
        <f>IF(AND(Man04_03=AIS_Yes,Man04_01=AIS_Yes),1,0)</f>
        <v>0</v>
      </c>
      <c r="AI1796" s="525">
        <f>IF(Man04_03=AIS_Yes,1,0)</f>
        <v>0</v>
      </c>
      <c r="AJ1796" s="91"/>
      <c r="AK1796" s="91"/>
      <c r="AL1796" s="91"/>
      <c r="AM1796" s="91"/>
      <c r="AN1796" s="91"/>
      <c r="AO1796" s="91"/>
      <c r="AP1796" s="91"/>
      <c r="AQ1796" s="91"/>
      <c r="AR1796" s="91"/>
      <c r="AS1796" s="91"/>
      <c r="AT1796" s="91"/>
      <c r="AU1796" s="91"/>
      <c r="AV1796" s="91"/>
      <c r="AW1796" s="67"/>
      <c r="AX1796" s="160"/>
      <c r="AY1796" s="160"/>
      <c r="AZ1796" s="160"/>
      <c r="BA1796" s="160"/>
      <c r="BB1796" s="160"/>
      <c r="BC1796" s="160"/>
      <c r="BD1796" s="160"/>
      <c r="BE1796" s="160"/>
      <c r="BF1796" s="160"/>
      <c r="BG1796" s="160"/>
      <c r="BH1796" s="160"/>
      <c r="BI1796" s="106"/>
      <c r="BJ1796" s="106"/>
      <c r="BK1796" s="106"/>
      <c r="BL1796" s="106"/>
      <c r="BM1796" s="106"/>
      <c r="BN1796" s="106"/>
      <c r="BO1796" s="106"/>
    </row>
    <row r="1797" spans="23:67" hidden="1" x14ac:dyDescent="0.25">
      <c r="Y1797" s="91"/>
      <c r="Z1797" s="160"/>
      <c r="AA1797" s="91"/>
      <c r="AB1797" s="91"/>
      <c r="AC1797" s="91"/>
      <c r="AD1797" s="91"/>
      <c r="AE1797" s="91"/>
      <c r="AF1797" s="91"/>
      <c r="AG1797" s="91"/>
      <c r="AH1797" s="91"/>
      <c r="AI1797" s="91"/>
      <c r="AJ1797" s="91"/>
      <c r="AK1797" s="91"/>
      <c r="AL1797" s="91"/>
      <c r="AM1797" s="91"/>
      <c r="AN1797" s="91"/>
      <c r="AO1797" s="91"/>
      <c r="AP1797" s="91"/>
      <c r="AQ1797" s="91"/>
      <c r="AR1797" s="91"/>
      <c r="AS1797" s="91"/>
      <c r="AT1797" s="91"/>
      <c r="AU1797" s="91"/>
      <c r="AV1797" s="91"/>
      <c r="AW1797" s="67"/>
      <c r="AX1797" s="160"/>
      <c r="AY1797" s="160"/>
      <c r="AZ1797" s="160"/>
      <c r="BA1797" s="160"/>
      <c r="BB1797" s="160"/>
      <c r="BC1797" s="160"/>
      <c r="BD1797" s="160"/>
      <c r="BE1797" s="160"/>
      <c r="BF1797" s="160"/>
      <c r="BG1797" s="160"/>
      <c r="BH1797" s="160"/>
      <c r="BI1797" s="106"/>
      <c r="BJ1797" s="106"/>
      <c r="BK1797" s="106"/>
      <c r="BL1797" s="106"/>
      <c r="BM1797" s="106"/>
      <c r="BN1797" s="106"/>
      <c r="BO1797" s="106"/>
    </row>
    <row r="1798" spans="23:67" hidden="1" x14ac:dyDescent="0.25">
      <c r="Y1798" s="91"/>
      <c r="Z1798" s="78" t="s">
        <v>913</v>
      </c>
      <c r="AA1798" s="91"/>
      <c r="AB1798" s="526" t="s">
        <v>914</v>
      </c>
      <c r="AC1798" s="91"/>
      <c r="AD1798" s="91"/>
      <c r="AE1798" s="91"/>
      <c r="AF1798" s="91"/>
      <c r="AG1798" s="91"/>
      <c r="AH1798" s="91"/>
      <c r="AI1798" s="91"/>
      <c r="AJ1798" s="91"/>
      <c r="AK1798" s="91"/>
      <c r="AL1798" s="91"/>
      <c r="AM1798" s="91"/>
      <c r="AN1798" s="91"/>
      <c r="AO1798" s="91"/>
      <c r="AP1798" s="91"/>
      <c r="AQ1798" s="91"/>
      <c r="AR1798" s="91"/>
      <c r="AS1798" s="91"/>
      <c r="AT1798" s="91"/>
      <c r="AU1798" s="91"/>
      <c r="AV1798" s="91"/>
      <c r="AW1798" s="67"/>
      <c r="AX1798" s="160"/>
      <c r="AY1798" s="160"/>
      <c r="AZ1798" s="160"/>
      <c r="BA1798" s="160"/>
      <c r="BB1798" s="160"/>
      <c r="BC1798" s="160"/>
      <c r="BD1798" s="160"/>
      <c r="BE1798" s="160"/>
      <c r="BF1798" s="160"/>
      <c r="BG1798" s="160"/>
      <c r="BH1798" s="160"/>
      <c r="BI1798" s="106"/>
      <c r="BJ1798" s="106"/>
      <c r="BK1798" s="106"/>
      <c r="BL1798" s="106"/>
      <c r="BM1798" s="106"/>
      <c r="BN1798" s="106"/>
      <c r="BO1798" s="106"/>
    </row>
    <row r="1799" spans="23:67" hidden="1" x14ac:dyDescent="0.25">
      <c r="Y1799" s="91"/>
      <c r="Z1799" s="160"/>
      <c r="AA1799" s="91"/>
      <c r="AB1799" s="421"/>
      <c r="AC1799" s="91" t="s">
        <v>915</v>
      </c>
      <c r="AD1799" s="91"/>
      <c r="AE1799" s="91"/>
      <c r="AF1799" s="91"/>
      <c r="AG1799" s="91"/>
      <c r="AH1799" s="91"/>
      <c r="AI1799" s="91"/>
      <c r="AJ1799" s="91"/>
      <c r="AK1799" s="91"/>
      <c r="AL1799" s="91"/>
      <c r="AM1799" s="91"/>
      <c r="AN1799" s="91"/>
      <c r="AO1799" s="91"/>
      <c r="AP1799" s="91"/>
      <c r="AQ1799" s="91"/>
      <c r="AR1799" s="91"/>
      <c r="AS1799" s="91"/>
      <c r="AT1799" s="91"/>
      <c r="AU1799" s="91"/>
      <c r="AV1799" s="91"/>
      <c r="AW1799" s="67"/>
      <c r="AX1799" s="160"/>
      <c r="AY1799" s="160"/>
      <c r="AZ1799" s="160"/>
      <c r="BA1799" s="160"/>
      <c r="BB1799" s="160"/>
      <c r="BC1799" s="160"/>
      <c r="BD1799" s="160"/>
      <c r="BE1799" s="160"/>
      <c r="BF1799" s="160"/>
      <c r="BG1799" s="160"/>
      <c r="BH1799" s="160"/>
      <c r="BI1799" s="106"/>
      <c r="BJ1799" s="106"/>
      <c r="BK1799" s="106"/>
      <c r="BL1799" s="106"/>
      <c r="BM1799" s="106"/>
      <c r="BN1799" s="106"/>
      <c r="BO1799" s="106"/>
    </row>
    <row r="1800" spans="23:67" hidden="1" x14ac:dyDescent="0.25">
      <c r="Y1800" s="91"/>
      <c r="Z1800" s="161">
        <f>IF(AND(Hea03_02=AIS_Yes,Hea03_01=AIS_Yes),Hea03_04,0)</f>
        <v>0</v>
      </c>
      <c r="AA1800" s="91"/>
      <c r="AB1800" s="421"/>
      <c r="AC1800" s="91">
        <v>0</v>
      </c>
      <c r="AD1800" s="91"/>
      <c r="AE1800" s="74" t="s">
        <v>916</v>
      </c>
      <c r="AF1800" s="66"/>
      <c r="AG1800" s="91"/>
      <c r="AH1800" s="91"/>
      <c r="AI1800" s="91"/>
      <c r="AJ1800" s="91"/>
      <c r="AK1800" s="91"/>
      <c r="AL1800" s="91"/>
      <c r="AM1800" s="91"/>
      <c r="AN1800" s="91"/>
      <c r="AO1800" s="91"/>
      <c r="AP1800" s="91"/>
      <c r="AQ1800" s="91"/>
      <c r="AR1800" s="91"/>
      <c r="AS1800" s="91"/>
      <c r="AT1800" s="91"/>
      <c r="AU1800" s="91"/>
      <c r="AV1800" s="91"/>
      <c r="AW1800" s="67"/>
      <c r="AX1800" s="160"/>
      <c r="AY1800" s="160"/>
      <c r="AZ1800" s="160"/>
      <c r="BA1800" s="160"/>
      <c r="BB1800" s="160"/>
      <c r="BC1800" s="160"/>
      <c r="BD1800" s="160"/>
      <c r="BE1800" s="160"/>
      <c r="BF1800" s="160"/>
      <c r="BG1800" s="160"/>
      <c r="BH1800" s="160"/>
      <c r="BI1800" s="106"/>
      <c r="BJ1800" s="106"/>
      <c r="BK1800" s="106"/>
      <c r="BL1800" s="106"/>
      <c r="BM1800" s="106"/>
      <c r="BN1800" s="106"/>
      <c r="BO1800" s="106"/>
    </row>
    <row r="1801" spans="23:67" hidden="1" x14ac:dyDescent="0.25">
      <c r="Y1801" s="91"/>
      <c r="Z1801" s="161">
        <f>IF(AND(Hea03_02=AIS_Yes,Hea03_01=AIS_Yes,(OR(Hea03_08=AIS_option05,Hea03_08=AIS_option00))),Hea03_04,IF(AND(Hea03_02=AIS_Yes,Hea03_01=AIS_Yes,Hea03_08=AIS_option01),Hea03_04,IF(AND(Hea03_02=AIS_Yes,Hea03_01=AIS_Yes,Hea03_08=AIS_option02),Hea03_04*0.5,IF(AND(Hea03_02=AIS_Yes,Hea03_01=AIS_Yes,Hea03_08=AIS_option03),Hea03_04,IF(AND(Hea03_02=AIS_Yes,Hea03_01=AIS_Yes,Hea03_08=AIS_option04),0,0)))))</f>
        <v>0</v>
      </c>
      <c r="AA1801" s="91"/>
      <c r="AB1801" s="421"/>
      <c r="AC1801" s="91">
        <v>1</v>
      </c>
      <c r="AD1801" s="91"/>
      <c r="AE1801" s="71">
        <v>0</v>
      </c>
      <c r="AF1801" s="91"/>
      <c r="AG1801" s="91"/>
      <c r="AH1801" s="91"/>
      <c r="AI1801" s="91"/>
      <c r="AJ1801" s="91"/>
      <c r="AK1801" s="91"/>
      <c r="AL1801" s="91"/>
      <c r="AM1801" s="91"/>
      <c r="AN1801" s="91"/>
      <c r="AO1801" s="91"/>
      <c r="AP1801" s="91"/>
      <c r="AQ1801" s="91"/>
      <c r="AR1801" s="91"/>
      <c r="AS1801" s="91"/>
      <c r="AT1801" s="91"/>
      <c r="AU1801" s="91"/>
      <c r="AV1801" s="91"/>
      <c r="AW1801" s="67"/>
      <c r="AX1801" s="160"/>
      <c r="AY1801" s="160"/>
      <c r="AZ1801" s="160"/>
      <c r="BA1801" s="160"/>
      <c r="BB1801" s="160"/>
      <c r="BC1801" s="160"/>
      <c r="BD1801" s="160"/>
      <c r="BE1801" s="160"/>
      <c r="BF1801" s="160"/>
      <c r="BG1801" s="160"/>
      <c r="BH1801" s="160"/>
      <c r="BI1801" s="106"/>
      <c r="BJ1801" s="106"/>
      <c r="BK1801" s="106"/>
      <c r="BL1801" s="106"/>
      <c r="BM1801" s="106"/>
      <c r="BN1801" s="106"/>
      <c r="BO1801" s="106"/>
    </row>
    <row r="1802" spans="23:67" hidden="1" x14ac:dyDescent="0.25">
      <c r="Y1802" s="91"/>
      <c r="Z1802" s="160"/>
      <c r="AA1802" s="91"/>
      <c r="AB1802" s="421"/>
      <c r="AC1802" s="91">
        <v>2</v>
      </c>
      <c r="AD1802" s="91"/>
      <c r="AE1802" s="71">
        <v>1</v>
      </c>
      <c r="AF1802" s="91"/>
      <c r="AG1802" s="91"/>
      <c r="AH1802" s="91"/>
      <c r="AI1802" s="91"/>
      <c r="AJ1802" s="91"/>
      <c r="AK1802" s="91"/>
      <c r="AL1802" s="91"/>
      <c r="AM1802" s="91"/>
      <c r="AN1802" s="91"/>
      <c r="AO1802" s="91"/>
      <c r="AP1802" s="91"/>
      <c r="AQ1802" s="91"/>
      <c r="AR1802" s="91"/>
      <c r="AS1802" s="91"/>
      <c r="AT1802" s="91"/>
      <c r="AU1802" s="91"/>
      <c r="AV1802" s="91"/>
      <c r="AW1802" s="67"/>
      <c r="AX1802" s="160"/>
      <c r="AY1802" s="160"/>
      <c r="AZ1802" s="160"/>
      <c r="BA1802" s="160"/>
      <c r="BB1802" s="160"/>
      <c r="BC1802" s="160"/>
      <c r="BD1802" s="160"/>
      <c r="BE1802" s="160"/>
      <c r="BF1802" s="160"/>
      <c r="BG1802" s="160"/>
      <c r="BH1802" s="160"/>
      <c r="BI1802" s="106"/>
      <c r="BJ1802" s="106"/>
      <c r="BK1802" s="106"/>
      <c r="BL1802" s="106"/>
      <c r="BM1802" s="106"/>
      <c r="BN1802" s="106"/>
      <c r="BO1802" s="106"/>
    </row>
    <row r="1803" spans="23:67" hidden="1" x14ac:dyDescent="0.25">
      <c r="Y1803" s="91"/>
      <c r="Z1803" s="78" t="s">
        <v>917</v>
      </c>
      <c r="AA1803" s="78"/>
      <c r="AB1803" s="422"/>
      <c r="AC1803" s="423">
        <v>3</v>
      </c>
      <c r="AD1803" s="79"/>
      <c r="AE1803" s="71">
        <f>IF(OR(ADBT0=ADBT1,ADBT0=ADBT2,ADBT0=ADBT6,ADBT0=ADBT7,ADBT0=ADBT8,ADBT0=ADBT9,ADBT0=ADBT10,ADBT0=ADBT11,ADBT0=ADBT12),"",2)</f>
        <v>2</v>
      </c>
      <c r="AF1803" s="91"/>
      <c r="AG1803" s="79"/>
      <c r="AH1803" s="79"/>
      <c r="AI1803" s="79"/>
      <c r="AJ1803" s="79"/>
      <c r="AK1803" s="79"/>
      <c r="AL1803" s="79"/>
      <c r="AM1803" s="79"/>
      <c r="AN1803" s="79"/>
      <c r="AO1803" s="79"/>
      <c r="AP1803" s="79"/>
      <c r="AQ1803" s="79"/>
      <c r="AR1803" s="79"/>
      <c r="AS1803" s="79"/>
      <c r="AT1803" s="79"/>
      <c r="AU1803" s="79"/>
      <c r="AV1803" s="79"/>
      <c r="AW1803" s="80"/>
      <c r="AX1803" s="160"/>
      <c r="AY1803" s="160"/>
      <c r="AZ1803" s="160"/>
      <c r="BA1803" s="160"/>
      <c r="BB1803" s="160"/>
      <c r="BC1803" s="160"/>
      <c r="BD1803" s="160"/>
      <c r="BE1803" s="160"/>
      <c r="BF1803" s="160"/>
      <c r="BG1803" s="160"/>
      <c r="BH1803" s="160"/>
      <c r="BI1803" s="106"/>
      <c r="BJ1803" s="106"/>
      <c r="BK1803" s="106"/>
      <c r="BL1803" s="106"/>
      <c r="BM1803" s="106"/>
      <c r="BN1803" s="106"/>
      <c r="BO1803" s="106"/>
    </row>
    <row r="1804" spans="23:67" hidden="1" x14ac:dyDescent="0.25">
      <c r="W1804" s="14"/>
      <c r="Y1804" s="91"/>
      <c r="Z1804" s="91"/>
      <c r="AA1804" s="91"/>
      <c r="AB1804" s="421"/>
      <c r="AC1804" s="69">
        <f>IF(Hea05_02=4,4,"")</f>
        <v>4</v>
      </c>
      <c r="AD1804" s="91"/>
      <c r="AE1804" s="91"/>
      <c r="AF1804" s="91"/>
      <c r="AG1804" s="91"/>
      <c r="AH1804" s="91"/>
      <c r="AI1804" s="91"/>
      <c r="AJ1804" s="91"/>
      <c r="AK1804" s="91"/>
      <c r="AL1804" s="91"/>
      <c r="AM1804" s="91"/>
      <c r="AN1804" s="91"/>
      <c r="AO1804" s="91"/>
      <c r="AP1804" s="91"/>
      <c r="AQ1804" s="91"/>
      <c r="AR1804" s="91"/>
      <c r="AS1804" s="91"/>
      <c r="AT1804" s="91"/>
      <c r="AU1804" s="91"/>
      <c r="AV1804" s="91"/>
      <c r="AW1804" s="67"/>
      <c r="AX1804" s="160"/>
      <c r="AY1804" s="160"/>
      <c r="AZ1804" s="160"/>
      <c r="BA1804" s="160"/>
      <c r="BB1804" s="160"/>
      <c r="BC1804" s="160"/>
      <c r="BD1804" s="160"/>
      <c r="BE1804" s="160"/>
      <c r="BF1804" s="160"/>
      <c r="BG1804" s="160"/>
      <c r="BH1804" s="160"/>
      <c r="BI1804" s="106"/>
      <c r="BJ1804" s="106"/>
      <c r="BK1804" s="106"/>
      <c r="BL1804" s="106"/>
      <c r="BM1804" s="106"/>
      <c r="BN1804" s="106"/>
      <c r="BO1804" s="106"/>
    </row>
    <row r="1805" spans="23:67" hidden="1" x14ac:dyDescent="0.25">
      <c r="W1805" s="14"/>
      <c r="Y1805" s="91"/>
      <c r="Z1805" s="70" t="e">
        <f>IF(OR(ADPT=ADPT02,ADPT=ADPT04),IF(OR(Hea04_06=AIS_option04,Hea04_07=AIS_option04,Hea04_08=AIS_option04),AIS_option04,IF(OR(Hea04_06=AIS_option02,Hea04_07=AIS_option02,Hea04_08=AIS_option02),AIS_option02,IF(AND(OR(Hea04_06=AIS_option01,Hea04_06=AIS_option03,Hea04_06=AIS_option05),OR(Hea04_07=AIS_option01,Hea04_07=AIS_option03,Hea04_07=AIS_option05),OR(Hea04_08=AIS_option01,Hea04_08=AIS_option03,Hea04_08=AIS_option05)),AIS_Yes))),AIS_Yes)</f>
        <v>#NAME?</v>
      </c>
      <c r="AA1805" s="91"/>
      <c r="AB1805" s="421"/>
      <c r="AC1805" s="69"/>
      <c r="AD1805" s="91"/>
      <c r="AE1805" s="91"/>
      <c r="AF1805" s="91"/>
      <c r="AG1805" s="91"/>
      <c r="AH1805" s="91"/>
      <c r="AI1805" s="91"/>
      <c r="AJ1805" s="91"/>
      <c r="AK1805" s="91"/>
      <c r="AL1805" s="91"/>
      <c r="AM1805" s="91"/>
      <c r="AN1805" s="91"/>
      <c r="AO1805" s="91"/>
      <c r="AP1805" s="91"/>
      <c r="AQ1805" s="91"/>
      <c r="AR1805" s="91"/>
      <c r="AS1805" s="91"/>
      <c r="AT1805" s="91"/>
      <c r="AU1805" s="91"/>
      <c r="AV1805" s="91"/>
      <c r="AW1805" s="67"/>
      <c r="AX1805" s="160"/>
      <c r="AY1805" s="160"/>
      <c r="AZ1805" s="160"/>
      <c r="BA1805" s="160"/>
      <c r="BB1805" s="160"/>
      <c r="BC1805" s="160"/>
      <c r="BD1805" s="160"/>
      <c r="BE1805" s="160"/>
      <c r="BF1805" s="160"/>
      <c r="BG1805" s="160"/>
      <c r="BH1805" s="160"/>
      <c r="BI1805" s="106"/>
      <c r="BJ1805" s="106"/>
      <c r="BK1805" s="106"/>
      <c r="BL1805" s="106"/>
      <c r="BM1805" s="106"/>
      <c r="BN1805" s="106"/>
      <c r="BO1805" s="106"/>
    </row>
    <row r="1806" spans="23:67" hidden="1" x14ac:dyDescent="0.25">
      <c r="W1806" s="14"/>
      <c r="Y1806" s="91"/>
      <c r="Z1806" s="91"/>
      <c r="AA1806" s="91"/>
      <c r="AB1806" s="421"/>
      <c r="AC1806" s="91"/>
      <c r="AD1806" s="91"/>
      <c r="AE1806" s="91"/>
      <c r="AF1806" s="91"/>
      <c r="AG1806" s="91"/>
      <c r="AH1806" s="91"/>
      <c r="AI1806" s="91"/>
      <c r="AJ1806" s="91"/>
      <c r="AK1806" s="91"/>
      <c r="AL1806" s="91"/>
      <c r="AM1806" s="91"/>
      <c r="AN1806" s="91"/>
      <c r="AO1806" s="91"/>
      <c r="AP1806" s="91"/>
      <c r="AQ1806" s="91"/>
      <c r="AR1806" s="91"/>
      <c r="AS1806" s="91"/>
      <c r="AT1806" s="91"/>
      <c r="AU1806" s="91"/>
      <c r="AV1806" s="91"/>
      <c r="AW1806" s="67"/>
      <c r="AX1806" s="160"/>
      <c r="AY1806" s="160"/>
      <c r="AZ1806" s="160"/>
      <c r="BA1806" s="160"/>
      <c r="BB1806" s="160"/>
      <c r="BC1806" s="160"/>
      <c r="BD1806" s="160"/>
      <c r="BE1806" s="160"/>
      <c r="BF1806" s="160"/>
      <c r="BG1806" s="160"/>
      <c r="BH1806" s="160"/>
      <c r="BI1806" s="106"/>
      <c r="BJ1806" s="106"/>
      <c r="BK1806" s="106"/>
      <c r="BL1806" s="106"/>
      <c r="BM1806" s="106"/>
      <c r="BN1806" s="106"/>
      <c r="BO1806" s="106"/>
    </row>
    <row r="1807" spans="23:67" hidden="1" x14ac:dyDescent="0.25">
      <c r="Y1807" s="91"/>
      <c r="Z1807" s="78" t="s">
        <v>918</v>
      </c>
      <c r="AA1807" s="78"/>
      <c r="AB1807" s="78"/>
      <c r="AC1807" s="78"/>
      <c r="AD1807" s="79"/>
      <c r="AE1807" s="79"/>
      <c r="AF1807" s="79"/>
      <c r="AG1807" s="79"/>
      <c r="AH1807" s="79"/>
      <c r="AI1807" s="79"/>
      <c r="AJ1807" s="79"/>
      <c r="AK1807" s="79"/>
      <c r="AL1807" s="79"/>
      <c r="AM1807" s="79"/>
      <c r="AN1807" s="79"/>
      <c r="AO1807" s="79"/>
      <c r="AP1807" s="79"/>
      <c r="AQ1807" s="79"/>
      <c r="AR1807" s="79"/>
      <c r="AS1807" s="79"/>
      <c r="AT1807" s="79"/>
      <c r="AU1807" s="79"/>
      <c r="AV1807" s="79"/>
      <c r="AW1807" s="80"/>
      <c r="AX1807" s="80"/>
      <c r="AY1807" s="80"/>
      <c r="AZ1807" s="80"/>
      <c r="BA1807" s="80"/>
      <c r="BB1807" s="80"/>
      <c r="BC1807" s="80"/>
      <c r="BD1807" s="80"/>
      <c r="BE1807" s="80"/>
      <c r="BF1807" s="80"/>
      <c r="BG1807" s="80"/>
      <c r="BH1807" s="80"/>
      <c r="BI1807" s="80"/>
      <c r="BJ1807" s="106"/>
      <c r="BK1807" s="106"/>
      <c r="BL1807" s="106"/>
      <c r="BM1807" s="106"/>
      <c r="BN1807" s="106"/>
      <c r="BO1807" s="106"/>
    </row>
    <row r="1808" spans="23:67" hidden="1" x14ac:dyDescent="0.25">
      <c r="Y1808" s="91"/>
      <c r="Z1808" s="432" t="s">
        <v>919</v>
      </c>
      <c r="AA1808" s="91"/>
      <c r="AB1808" s="91"/>
      <c r="AC1808" s="91"/>
      <c r="AD1808" s="91"/>
      <c r="AE1808" s="91"/>
      <c r="AF1808" s="91"/>
      <c r="AG1808" s="91"/>
      <c r="AH1808" s="91"/>
      <c r="AI1808" s="91"/>
      <c r="AJ1808" s="91"/>
      <c r="AK1808" s="91"/>
      <c r="AL1808" s="91"/>
      <c r="AM1808" s="91"/>
      <c r="AN1808" s="91"/>
      <c r="AO1808" s="91"/>
      <c r="AP1808" s="91"/>
      <c r="AQ1808" s="91"/>
      <c r="AR1808" s="91"/>
      <c r="AS1808" s="91"/>
      <c r="AT1808" s="91"/>
      <c r="AU1808" s="91"/>
      <c r="AV1808" s="826" t="s">
        <v>920</v>
      </c>
      <c r="AW1808" s="826"/>
      <c r="AX1808" s="160">
        <f>IFERROR((SEne01_02-SEne01_01)/SEne01_02*100,0)</f>
        <v>0</v>
      </c>
      <c r="AY1808" s="160"/>
      <c r="AZ1808" s="160"/>
      <c r="BA1808" s="160"/>
      <c r="BB1808" s="160"/>
      <c r="BC1808" s="160"/>
      <c r="BD1808" s="160"/>
      <c r="BE1808" s="160"/>
      <c r="BF1808" s="160"/>
      <c r="BG1808" s="160"/>
      <c r="BH1808" s="160"/>
      <c r="BI1808" s="106"/>
      <c r="BJ1808" s="106"/>
      <c r="BK1808" s="106"/>
      <c r="BL1808" s="106"/>
      <c r="BM1808" s="106"/>
      <c r="BN1808" s="106"/>
      <c r="BO1808" s="106"/>
    </row>
    <row r="1809" spans="24:67" hidden="1" x14ac:dyDescent="0.25">
      <c r="Y1809" s="91"/>
      <c r="Z1809" s="88" t="str">
        <f>IF(AND(OR(ADBT0=ADBT8,ADBT0=ADBT9),AD_MultiRes_option01=AIS_Yes,AD_MultiRes_option02&lt;1),AIS_statement91,IF(AND(OR(ADBT0=ADBT8,ADBT0=ADBT9),AD_MultiRes_option01=AIS_Yes,AD_MultiRes_option02=1),AIS_Statement101,AIS_statement90))</f>
        <v>SBEM only</v>
      </c>
      <c r="AA1809" s="78"/>
      <c r="AB1809" s="91"/>
      <c r="AC1809" s="91"/>
      <c r="AD1809" s="79"/>
      <c r="AE1809" s="79"/>
      <c r="AF1809" s="79"/>
      <c r="AG1809" s="79"/>
      <c r="AH1809" s="79"/>
      <c r="AI1809" s="79"/>
      <c r="AJ1809" s="79" t="s">
        <v>19</v>
      </c>
      <c r="AK1809" s="79"/>
      <c r="AL1809" s="79"/>
      <c r="AM1809" s="79"/>
      <c r="AN1809" s="79"/>
      <c r="AO1809" s="79"/>
      <c r="AP1809" s="79"/>
      <c r="AQ1809" s="79"/>
      <c r="AR1809" s="79"/>
      <c r="AS1809" s="79"/>
      <c r="AT1809" s="79"/>
      <c r="AU1809" s="79"/>
      <c r="AV1809" s="79"/>
      <c r="AW1809" s="80"/>
      <c r="AX1809" s="160"/>
      <c r="AY1809" s="160"/>
      <c r="AZ1809" s="160"/>
      <c r="BA1809" s="160"/>
      <c r="BB1809" s="160"/>
      <c r="BC1809" s="160"/>
      <c r="BD1809" s="160"/>
      <c r="BE1809" s="160"/>
      <c r="BF1809" s="160"/>
      <c r="BG1809" s="160"/>
      <c r="BH1809" s="160"/>
      <c r="BI1809" s="106"/>
      <c r="BJ1809" s="106"/>
      <c r="BK1809" s="106"/>
      <c r="BL1809" s="106"/>
      <c r="BM1809" s="106"/>
      <c r="BN1809" s="106"/>
      <c r="BO1809" s="106"/>
    </row>
    <row r="1810" spans="24:67" hidden="1" x14ac:dyDescent="0.25">
      <c r="Y1810" s="91"/>
      <c r="Z1810" s="65"/>
      <c r="AA1810" s="78"/>
      <c r="AB1810" s="91"/>
      <c r="AC1810" s="91"/>
      <c r="AD1810" s="79"/>
      <c r="AE1810" s="79"/>
      <c r="AF1810" s="79"/>
      <c r="AG1810" s="79"/>
      <c r="AH1810" s="79"/>
      <c r="AI1810" s="79"/>
      <c r="AJ1810" s="79"/>
      <c r="AK1810" s="79"/>
      <c r="AL1810" s="79"/>
      <c r="AM1810" s="79"/>
      <c r="AN1810" s="79"/>
      <c r="AO1810" s="79"/>
      <c r="AP1810" s="79"/>
      <c r="AQ1810" s="79"/>
      <c r="AR1810" s="79"/>
      <c r="AS1810" s="79"/>
      <c r="AT1810" s="79"/>
      <c r="AU1810" s="79"/>
      <c r="AV1810" s="79"/>
      <c r="AW1810" s="816" t="s">
        <v>921</v>
      </c>
      <c r="AX1810" s="816"/>
      <c r="AY1810" s="160"/>
      <c r="AZ1810" s="815" t="s">
        <v>92</v>
      </c>
      <c r="BA1810" s="815"/>
      <c r="BB1810" s="160"/>
      <c r="BC1810" s="160"/>
      <c r="BD1810" s="160"/>
      <c r="BE1810" s="160"/>
      <c r="BF1810" s="160"/>
      <c r="BG1810" s="160"/>
      <c r="BH1810" s="160"/>
      <c r="BI1810" s="106"/>
      <c r="BJ1810" s="106"/>
      <c r="BK1810" s="106"/>
      <c r="BL1810" s="106"/>
      <c r="BM1810" s="106"/>
      <c r="BN1810" s="106"/>
      <c r="BO1810" s="106"/>
    </row>
    <row r="1811" spans="24:67" hidden="1" x14ac:dyDescent="0.25">
      <c r="Y1811" s="91"/>
      <c r="Z1811" s="446" t="s">
        <v>13</v>
      </c>
      <c r="AA1811" s="78"/>
      <c r="AB1811" s="423"/>
      <c r="AC1811" s="445" t="s">
        <v>922</v>
      </c>
      <c r="AD1811" s="79"/>
      <c r="AE1811" s="445" t="s">
        <v>923</v>
      </c>
      <c r="AF1811" s="445"/>
      <c r="AG1811" s="79"/>
      <c r="AH1811" s="79"/>
      <c r="AI1811" s="79"/>
      <c r="AJ1811" s="79"/>
      <c r="AK1811" s="79"/>
      <c r="AL1811" s="445" t="s">
        <v>924</v>
      </c>
      <c r="AM1811" s="79"/>
      <c r="AN1811" s="79"/>
      <c r="AO1811" s="79"/>
      <c r="AP1811" s="79"/>
      <c r="AQ1811" s="79"/>
      <c r="AR1811" s="79"/>
      <c r="AS1811" s="79"/>
      <c r="AT1811" s="79"/>
      <c r="AU1811" s="79"/>
      <c r="AV1811" s="79"/>
      <c r="AW1811" s="632" t="s">
        <v>925</v>
      </c>
      <c r="AX1811" s="631" t="s">
        <v>386</v>
      </c>
      <c r="AY1811" s="160"/>
      <c r="AZ1811" s="632" t="s">
        <v>925</v>
      </c>
      <c r="BA1811" s="631" t="s">
        <v>386</v>
      </c>
      <c r="BB1811" s="160"/>
      <c r="BC1811" s="160"/>
      <c r="BD1811" s="160"/>
      <c r="BE1811" s="160"/>
      <c r="BF1811" s="160"/>
      <c r="BG1811" s="160"/>
      <c r="BH1811" s="160"/>
      <c r="BI1811" s="106"/>
      <c r="BJ1811" s="106"/>
      <c r="BK1811" s="106"/>
      <c r="BL1811" s="106"/>
      <c r="BM1811" s="106"/>
      <c r="BN1811" s="106"/>
      <c r="BO1811" s="106"/>
    </row>
    <row r="1812" spans="24:67" hidden="1" x14ac:dyDescent="0.25">
      <c r="Y1812" s="91"/>
      <c r="Z1812" s="81" t="str">
        <f>Country</f>
        <v>Sweden</v>
      </c>
      <c r="AA1812" s="78"/>
      <c r="AB1812" s="423"/>
      <c r="AC1812" s="432" t="s">
        <v>926</v>
      </c>
      <c r="AD1812" s="91"/>
      <c r="AE1812" s="457" t="s">
        <v>927</v>
      </c>
      <c r="AF1812" s="457"/>
      <c r="AG1812" s="91"/>
      <c r="AH1812" s="91"/>
      <c r="AI1812" s="79"/>
      <c r="AJ1812" s="79"/>
      <c r="AK1812" s="91"/>
      <c r="AL1812" s="432" t="s">
        <v>928</v>
      </c>
      <c r="AM1812" s="91"/>
      <c r="AN1812" s="91"/>
      <c r="AO1812" s="446" t="s">
        <v>929</v>
      </c>
      <c r="AP1812" s="91"/>
      <c r="AQ1812" s="445" t="s">
        <v>930</v>
      </c>
      <c r="AR1812" s="91"/>
      <c r="AS1812" s="91"/>
      <c r="AT1812" s="91"/>
      <c r="AU1812" s="3"/>
      <c r="AV1812" s="91"/>
      <c r="AW1812" s="68">
        <v>0</v>
      </c>
      <c r="AX1812" s="68">
        <v>0</v>
      </c>
      <c r="AY1812" s="160"/>
      <c r="AZ1812" s="68">
        <v>0</v>
      </c>
      <c r="BA1812" s="68">
        <v>0</v>
      </c>
      <c r="BB1812" s="160"/>
      <c r="BC1812" s="160"/>
      <c r="BD1812" s="160"/>
      <c r="BE1812" s="160"/>
      <c r="BF1812" s="160"/>
      <c r="BG1812" s="160"/>
      <c r="BH1812" s="160"/>
      <c r="BI1812" s="106"/>
      <c r="BJ1812" s="106"/>
      <c r="BK1812" s="106"/>
      <c r="BL1812" s="106"/>
      <c r="BM1812" s="106"/>
      <c r="BN1812" s="106"/>
      <c r="BO1812" s="106"/>
    </row>
    <row r="1813" spans="24:67" hidden="1" x14ac:dyDescent="0.25">
      <c r="Y1813" s="91"/>
      <c r="Z1813" s="67"/>
      <c r="AA1813" s="78"/>
      <c r="AB1813" s="91"/>
      <c r="AC1813" s="67" t="s">
        <v>931</v>
      </c>
      <c r="AD1813" s="91"/>
      <c r="AE1813" s="67" t="s">
        <v>932</v>
      </c>
      <c r="AF1813" s="67"/>
      <c r="AG1813" s="91"/>
      <c r="AH1813" s="91"/>
      <c r="AI1813" s="79"/>
      <c r="AJ1813" s="79"/>
      <c r="AK1813" s="91"/>
      <c r="AL1813" s="432"/>
      <c r="AM1813" s="91"/>
      <c r="AN1813" s="91"/>
      <c r="AO1813" s="446"/>
      <c r="AP1813" s="91"/>
      <c r="AQ1813" s="437" t="e">
        <f>IF(AND(AD_MultiRes_option01=AD_Yes,AD_MultiRes_option02&lt;1),MAX(AO1827:AO1828),IF(AND(AD_MultiRes_option01=AD_Yes,AD_MultiRes_option02=1),MAX(AO1821:AO1822),MAX(AO1815:AO1816)))</f>
        <v>#VALUE!</v>
      </c>
      <c r="AR1813" s="91"/>
      <c r="AS1813" s="91"/>
      <c r="AT1813" s="91"/>
      <c r="AU1813" s="91"/>
      <c r="AV1813" s="91"/>
      <c r="AW1813" s="68">
        <v>3</v>
      </c>
      <c r="AX1813" s="68">
        <v>1</v>
      </c>
      <c r="AY1813" s="160"/>
      <c r="AZ1813" s="68">
        <v>3</v>
      </c>
      <c r="BA1813" s="68">
        <v>1</v>
      </c>
      <c r="BB1813" s="160"/>
      <c r="BC1813" s="160"/>
      <c r="BD1813" s="160"/>
      <c r="BE1813" s="160"/>
      <c r="BF1813" s="160"/>
      <c r="BG1813" s="160"/>
      <c r="BH1813" s="160"/>
      <c r="BI1813" s="106"/>
      <c r="BJ1813" s="106"/>
      <c r="BK1813" s="106"/>
      <c r="BL1813" s="106"/>
      <c r="BM1813" s="106"/>
      <c r="BN1813" s="106"/>
      <c r="BO1813" s="106"/>
    </row>
    <row r="1814" spans="24:67" hidden="1" x14ac:dyDescent="0.25">
      <c r="X1814" s="163"/>
      <c r="Y1814" s="91"/>
      <c r="Z1814" s="446" t="s">
        <v>933</v>
      </c>
      <c r="AA1814" s="457" t="s">
        <v>934</v>
      </c>
      <c r="AB1814" s="490"/>
      <c r="AC1814" s="446" t="s">
        <v>935</v>
      </c>
      <c r="AD1814" s="178"/>
      <c r="AE1814" s="67" t="s">
        <v>936</v>
      </c>
      <c r="AF1814" s="67"/>
      <c r="AG1814" s="67" t="s">
        <v>937</v>
      </c>
      <c r="AH1814" s="79"/>
      <c r="AI1814" s="79"/>
      <c r="AJ1814" s="79"/>
      <c r="AK1814" s="79"/>
      <c r="AL1814" s="67" t="s">
        <v>938</v>
      </c>
      <c r="AM1814" s="79"/>
      <c r="AN1814" s="106"/>
      <c r="AO1814" s="67" t="s">
        <v>939</v>
      </c>
      <c r="AP1814" s="91"/>
      <c r="AQ1814" s="91"/>
      <c r="AR1814" s="91"/>
      <c r="AS1814" s="91"/>
      <c r="AT1814" s="91"/>
      <c r="AU1814" s="91"/>
      <c r="AV1814" s="91"/>
      <c r="AW1814" s="68">
        <v>5</v>
      </c>
      <c r="AX1814" s="68">
        <v>2</v>
      </c>
      <c r="AY1814" s="160"/>
      <c r="AZ1814" s="68">
        <v>5</v>
      </c>
      <c r="BA1814" s="68">
        <v>2</v>
      </c>
      <c r="BB1814" s="160"/>
      <c r="BC1814" s="160"/>
      <c r="BD1814" s="160"/>
      <c r="BE1814" s="160"/>
      <c r="BF1814" s="160"/>
      <c r="BG1814" s="160"/>
      <c r="BH1814" s="160"/>
      <c r="BI1814" s="106"/>
      <c r="BJ1814" s="106"/>
      <c r="BK1814" s="106"/>
      <c r="BL1814" s="106"/>
      <c r="BM1814" s="106"/>
      <c r="BN1814" s="106"/>
      <c r="BO1814" s="106"/>
    </row>
    <row r="1815" spans="24:67" hidden="1" x14ac:dyDescent="0.25">
      <c r="Y1815" s="101" t="s">
        <v>940</v>
      </c>
      <c r="Z1815" s="439" t="str">
        <f>IF(Country=England,Z1827,IF(Country=Wales,AA1827,IF(Country=Northern_Ireland,AC1827,IF(Scotland_Bld_Regs_v=Z1569,AB1827,IF(Scotland_Bld_Regs_v=Z1570,AD1827,"User must select country")))))</f>
        <v>User must select country</v>
      </c>
      <c r="AA1815" s="69">
        <f>IFERROR(Ene01_02/Ene01_imp_fact,0)</f>
        <v>0</v>
      </c>
      <c r="AB1815" s="101" t="s">
        <v>940</v>
      </c>
      <c r="AC1815" s="174">
        <f>IF(AND(Country=Scotland,Scotland_Bld_Regs_v="Scotland Section 6 2010"),IF(Not_dem_imp=0,1,(Ene01_03/Not_dem_imp)),IF(Ene01_02=0,1,(Ene01_03/Ene01_02)))</f>
        <v>1</v>
      </c>
      <c r="AD1815" s="66" t="s">
        <v>940</v>
      </c>
      <c r="AE1815" s="452" t="e">
        <f>IF(AND(Country=Scotland,Scotland_Bld_Regs_v=Z1569),IF(AC1815&gt;1,0,IF($AA$1966&lt;$AA$1856,0,$AA$1966)),IF(Ene01_10&gt;1,0,IF(Ene01_10&lt;0,1,1-Ene01_10^Ene01_13)))</f>
        <v>#VALUE!</v>
      </c>
      <c r="AF1815" s="452"/>
      <c r="AG1815" s="439" t="str">
        <f>IF(ADPT=ADPT02,1,IF(Country=England,Z1833,IF(Country=Wales,AA1833,IF(Country=Northern_Ireland,AC1833, IF(Scotland_Bld_Regs_v=Z1569,AB1833, IF(Scotland_Bld_Regs_v=Z1570,AB1837,"User must select country"))))))</f>
        <v>User must select country</v>
      </c>
      <c r="AH1815" s="79"/>
      <c r="AI1815" s="79"/>
      <c r="AJ1815" s="79"/>
      <c r="AK1815" s="66" t="s">
        <v>940</v>
      </c>
      <c r="AL1815" s="459" t="e">
        <f>IF(Ene01_16&gt;1,0,Ene01_16*Ene01_19)</f>
        <v>#VALUE!</v>
      </c>
      <c r="AM1815" s="79"/>
      <c r="AN1815" s="175" t="s">
        <v>941</v>
      </c>
      <c r="AO1815" s="434" t="e">
        <f>IF(Ene01_25&lt;Ene01_29,Y1641,IF(Ene01_74&gt;=Ene01_31,Y1640))</f>
        <v>#VALUE!</v>
      </c>
      <c r="AP1815" s="91"/>
      <c r="AQ1815" s="450" t="s">
        <v>942</v>
      </c>
      <c r="AR1815" s="451"/>
      <c r="AS1815" s="91"/>
      <c r="AT1815" s="91"/>
      <c r="AU1815" s="91"/>
      <c r="AV1815" s="91"/>
      <c r="AW1815" s="68">
        <v>8</v>
      </c>
      <c r="AX1815" s="68">
        <v>3</v>
      </c>
      <c r="AY1815" s="160"/>
      <c r="AZ1815" s="68">
        <v>8</v>
      </c>
      <c r="BA1815" s="68">
        <v>3</v>
      </c>
      <c r="BB1815" s="160"/>
      <c r="BC1815" s="160"/>
      <c r="BD1815" s="160"/>
      <c r="BE1815" s="160"/>
      <c r="BF1815" s="160"/>
      <c r="BG1815" s="160"/>
      <c r="BH1815" s="160"/>
      <c r="BI1815" s="106"/>
      <c r="BJ1815" s="106"/>
      <c r="BK1815" s="106"/>
      <c r="BL1815" s="106"/>
      <c r="BM1815" s="106"/>
      <c r="BN1815" s="106"/>
      <c r="BO1815" s="106"/>
    </row>
    <row r="1816" spans="24:67" ht="18.75" hidden="1" x14ac:dyDescent="0.35">
      <c r="Y1816" s="101" t="s">
        <v>943</v>
      </c>
      <c r="Z1816" s="439" t="str">
        <f>IF(ADPT=ADPT02,0,IF(Country=England,Z1828,IF(Country=Wales,AA1828,IF(Country=Northern_Ireland,AC1828, IF(Scotland_Bld_Regs_v= Z1569,AB1828, IF(Scotland_Bld_Regs_v=Z1570,AD1828,"User must select country"))))))</f>
        <v>User must select country</v>
      </c>
      <c r="AA1816" s="69">
        <f>IFERROR(Ene01_04/Ene01_imp_fact,0)</f>
        <v>0</v>
      </c>
      <c r="AB1816" s="101" t="s">
        <v>943</v>
      </c>
      <c r="AC1816" s="439">
        <f>IF(AND(Country=Scotland,Scotland_Bld_Regs_v="Scotland Section 6 2010"),IF(Not_cons_imp=0,1,(Ene01_05/Not_cons_imp)),IF(Ene01_04=0,1,(Ene01_05/Ene01_04)))</f>
        <v>1</v>
      </c>
      <c r="AD1816" s="66" t="s">
        <v>943</v>
      </c>
      <c r="AE1816" s="452" t="e">
        <f>IF(ADPT=ADPT02,0,IF(AND(Country=Scotland,Scotland_Bld_Regs_v=Z1569),IF(AC1816&gt;1,0,IF($AC$1966&lt;$AA$1856,0,$AC$1966)),IF(Ene01_11&gt;1,0,IF(Ene01_11&lt;0,1,1-Ene01_11^Ene01_14))))</f>
        <v>#VALUE!</v>
      </c>
      <c r="AF1816" s="452"/>
      <c r="AG1816" s="439" t="str">
        <f>IF(ADPT=ADPT02,0,IF(Country=England,Z1834,IF(Country=Wales,AA1834,IF(Country=Northern_Ireland,AC1834,IF(Scotland_Bld_Regs_v=Z1569,AB1834, IF(Scotland_Bld_Regs_v=Z1570,AB1838,"User must select country"))))))</f>
        <v>User must select country</v>
      </c>
      <c r="AH1816" s="79"/>
      <c r="AI1816" s="79"/>
      <c r="AJ1816" s="79"/>
      <c r="AK1816" s="66" t="s">
        <v>943</v>
      </c>
      <c r="AL1816" s="459" t="e">
        <f>IF(Ene01_17&gt;1,0,Ene01_17*Ene01_20)</f>
        <v>#VALUE!</v>
      </c>
      <c r="AM1816" s="63"/>
      <c r="AN1816" s="175" t="s">
        <v>944</v>
      </c>
      <c r="AO1816" s="434" t="b">
        <f>IF(Ene01_74&gt;=Ene01_32,$Y$1639)</f>
        <v>0</v>
      </c>
      <c r="AP1816" s="91"/>
      <c r="AQ1816" s="68" t="s">
        <v>945</v>
      </c>
      <c r="AR1816" s="462" t="e">
        <f>IF(AND(AD_MultiRes_option01=AD_Yes,AD_MultiRes_option02=1), Ene01_64, Ene01_22)</f>
        <v>#VALUE!</v>
      </c>
      <c r="AS1816" s="91"/>
      <c r="AT1816" s="91"/>
      <c r="AU1816" s="91"/>
      <c r="AV1816" s="91"/>
      <c r="AW1816" s="68">
        <v>11</v>
      </c>
      <c r="AX1816" s="68">
        <v>4</v>
      </c>
      <c r="AY1816" s="160"/>
      <c r="AZ1816" s="68">
        <v>11</v>
      </c>
      <c r="BA1816" s="68">
        <v>4</v>
      </c>
      <c r="BB1816" s="160"/>
      <c r="BC1816" s="160"/>
      <c r="BD1816" s="160"/>
      <c r="BE1816" s="160"/>
      <c r="BF1816" s="160"/>
      <c r="BG1816" s="160"/>
      <c r="BH1816" s="160"/>
      <c r="BI1816" s="106"/>
      <c r="BJ1816" s="106"/>
      <c r="BK1816" s="106"/>
      <c r="BL1816" s="106"/>
      <c r="BM1816" s="106"/>
      <c r="BN1816" s="106"/>
      <c r="BO1816" s="106"/>
    </row>
    <row r="1817" spans="24:67" ht="18.75" hidden="1" x14ac:dyDescent="0.35">
      <c r="Y1817" s="101" t="s">
        <v>946</v>
      </c>
      <c r="Z1817" s="439" t="str">
        <f>IF(ADPT=ADPT02,0,IF(Country=England,Z1829,IF(Country=Wales,AA1829,IF(Country=Northern_Ireland,AC1829, IF(Scotland_Bld_Regs_v= "Scotland Section 6 2010",AB1829, IF(Scotland_Bld_Regs_v= "Scotland Section 6 2015",AD1829,"User must select country"))))))</f>
        <v>User must select country</v>
      </c>
      <c r="AA1817" s="78"/>
      <c r="AB1817" s="101" t="s">
        <v>946</v>
      </c>
      <c r="AC1817" s="458">
        <f>IF(Ene01_06=0,1,(Ene01_07/Ene01_06))</f>
        <v>1</v>
      </c>
      <c r="AD1817" s="66" t="s">
        <v>946</v>
      </c>
      <c r="AE1817" s="452" t="e">
        <f>IF(ADPT=ADPT02,0,IF(Ene01_12&gt;1,0,IF(Ene01_12&lt;0,1,1-Ene01_12^Ene01_15)))</f>
        <v>#VALUE!</v>
      </c>
      <c r="AF1817" s="452"/>
      <c r="AG1817" s="439" t="str">
        <f>IF(ADPT=ADPT02,0,IF(Country=England,Z1835,IF(Country=Wales,AA1835,IF(Country=Northern_Ireland,AC1835,IF(Scotland_Bld_Regs_v=Z1569,AB1835, IF(Scotland_Bld_Regs_v=Z1570,AB1839,"User must select country"))))))</f>
        <v>User must select country</v>
      </c>
      <c r="AH1817" s="79"/>
      <c r="AI1817" s="63"/>
      <c r="AJ1817" s="63"/>
      <c r="AK1817" s="66" t="s">
        <v>946</v>
      </c>
      <c r="AL1817" s="459" t="e">
        <f>IF(Ene01_18&gt;1,0,Ene01_18*Ene01_21)</f>
        <v>#VALUE!</v>
      </c>
      <c r="AM1817" s="63"/>
      <c r="AN1817" s="175"/>
      <c r="AO1817" s="434" t="e">
        <f>IF(ADPT=ADPT02,Ene01_74,(IF(AND(Ene01_25&gt;=Ene01_86,Ene01_18=Ene01_84),AA1853,IF(AND(Ene01_25&gt;=Ene01_86,Ene01_18&lt;Ene01_84),AA1852))))</f>
        <v>#VALUE!</v>
      </c>
      <c r="AP1817" s="107" t="s">
        <v>947</v>
      </c>
      <c r="AQ1817" s="68" t="s">
        <v>948</v>
      </c>
      <c r="AR1817" s="456" t="e">
        <f>IF(AND(AD_MultiRes_option01=AD_Yes,AD_MultiRes_option02=1),Ene01_65,Ene01_23)</f>
        <v>#VALUE!</v>
      </c>
      <c r="AS1817" s="91"/>
      <c r="AT1817" s="91"/>
      <c r="AU1817" s="91"/>
      <c r="AV1817" s="91"/>
      <c r="AW1817" s="68">
        <v>16</v>
      </c>
      <c r="AX1817" s="68">
        <v>5</v>
      </c>
      <c r="AY1817" s="160"/>
      <c r="AZ1817" s="68">
        <v>16</v>
      </c>
      <c r="BA1817" s="68">
        <v>5</v>
      </c>
      <c r="BB1817" s="160"/>
      <c r="BC1817" s="160"/>
      <c r="BD1817" s="160"/>
      <c r="BE1817" s="160"/>
      <c r="BF1817" s="160"/>
      <c r="BG1817" s="160"/>
      <c r="BH1817" s="160"/>
      <c r="BI1817" s="106"/>
      <c r="BJ1817" s="106"/>
      <c r="BK1817" s="106"/>
      <c r="BL1817" s="106"/>
      <c r="BM1817" s="106"/>
      <c r="BN1817" s="106"/>
      <c r="BO1817" s="106"/>
    </row>
    <row r="1818" spans="24:67" ht="18.75" hidden="1" x14ac:dyDescent="0.35">
      <c r="Y1818" s="101"/>
      <c r="Z1818" s="430"/>
      <c r="AA1818" s="78"/>
      <c r="AB1818" s="66"/>
      <c r="AC1818" s="454"/>
      <c r="AD1818" s="91"/>
      <c r="AE1818" s="423" t="s">
        <v>949</v>
      </c>
      <c r="AF1818" s="423"/>
      <c r="AG1818" s="91"/>
      <c r="AH1818" s="79"/>
      <c r="AI1818" s="79"/>
      <c r="AJ1818" s="465" t="s">
        <v>950</v>
      </c>
      <c r="AK1818" s="67" t="s">
        <v>951</v>
      </c>
      <c r="AL1818" s="459" t="e">
        <f>SUM(Ene01_22+Ene01_23+Ene01_24)</f>
        <v>#VALUE!</v>
      </c>
      <c r="AM1818" s="63"/>
      <c r="AN1818" s="175"/>
      <c r="AO1818" s="434" t="e">
        <f>IF(OR(Ene01_80=AIS_statement91,Ene01_80=AIS_Statement101),"",IF(OR(Ene01_25&lt;0.9,Ene01_07&gt;0),AIS_No,AIS_Yes))</f>
        <v>#VALUE!</v>
      </c>
      <c r="AP1818" s="107" t="s">
        <v>19</v>
      </c>
      <c r="AQ1818" s="68" t="s">
        <v>952</v>
      </c>
      <c r="AR1818" s="456" t="e">
        <f>IF(AND(AD_MultiRes_option01=AD_Yes,AD_MultiRes_option02=1),Ene01_66,Ene01_24)</f>
        <v>#VALUE!</v>
      </c>
      <c r="AS1818" s="91"/>
      <c r="AT1818" s="91"/>
      <c r="AU1818" s="91"/>
      <c r="AV1818" s="91"/>
      <c r="AW1818" s="68">
        <v>20</v>
      </c>
      <c r="AX1818" s="68">
        <v>6</v>
      </c>
      <c r="AY1818" s="160"/>
      <c r="AZ1818" s="68">
        <v>20</v>
      </c>
      <c r="BA1818" s="68">
        <v>6</v>
      </c>
      <c r="BB1818" s="160"/>
      <c r="BC1818" s="160"/>
      <c r="BD1818" s="160"/>
      <c r="BE1818" s="160"/>
      <c r="BF1818" s="160"/>
      <c r="BG1818" s="160"/>
      <c r="BH1818" s="160"/>
      <c r="BI1818" s="106"/>
      <c r="BJ1818" s="106"/>
      <c r="BK1818" s="106"/>
      <c r="BL1818" s="106"/>
      <c r="BM1818" s="106"/>
      <c r="BN1818" s="106"/>
      <c r="BO1818" s="106"/>
    </row>
    <row r="1819" spans="24:67" ht="18.75" hidden="1" x14ac:dyDescent="0.35">
      <c r="Y1819" s="91"/>
      <c r="Z1819" s="91"/>
      <c r="AA1819" s="78"/>
      <c r="AB1819" s="91"/>
      <c r="AC1819" s="91"/>
      <c r="AD1819" s="91"/>
      <c r="AE1819" s="91" t="s">
        <v>953</v>
      </c>
      <c r="AF1819" s="91"/>
      <c r="AG1819" s="91"/>
      <c r="AH1819" s="79"/>
      <c r="AI1819" s="79"/>
      <c r="AJ1819" s="79"/>
      <c r="AK1819" s="66" t="s">
        <v>954</v>
      </c>
      <c r="AL1819" s="460">
        <f>IF(ISERROR(IF(ADPT=ADPT02,IF(OR(Ene01_38=AIS_option02a,Ene01_38=AIS_option04a),0,VLOOKUP(Ene01_25,Ene01_credits_range,2,TRUE)),VLOOKUP(Ene01_25,Ene01_credits_range,2,TRUE))),0,IF(ADPT=ADPT02,IF(OR(Ene01_38=AIS_option02a,Ene01_38=AIS_option04a),0,VLOOKUP(Ene01_25,Ene01_credits_range,2,TRUE)),VLOOKUP(Ene01_25,Ene01_credits_range,2,TRUE)))</f>
        <v>0</v>
      </c>
      <c r="AM1819" s="63"/>
      <c r="AN1819" s="91"/>
      <c r="AO1819" s="434" t="e">
        <f>IF(Ene01_76="","",IF(Ene01_09&lt;Z1853,0,IF(Ene01_37=AIS_Yes,AD1846,IF(Ene01_37=AIS_No,VLOOKUP(Ene01_36,AC1841:AD1845,2,TRUE),0))))</f>
        <v>#VALUE!</v>
      </c>
      <c r="AP1819" s="91" t="s">
        <v>955</v>
      </c>
      <c r="AQ1819" s="68" t="s">
        <v>956</v>
      </c>
      <c r="AR1819" s="456" t="e">
        <f>IF(AND(AD_MultiRes_option01=AD_Yes,AD_MultiRes_option02=1),Ene01_70,Ene01_25)</f>
        <v>#VALUE!</v>
      </c>
      <c r="AS1819" s="91"/>
      <c r="AT1819" s="91"/>
      <c r="AU1819" s="91"/>
      <c r="AV1819" s="91"/>
      <c r="AW1819" s="68">
        <v>24</v>
      </c>
      <c r="AX1819" s="68">
        <v>7</v>
      </c>
      <c r="AY1819" s="160"/>
      <c r="AZ1819" s="68">
        <v>24</v>
      </c>
      <c r="BA1819" s="68">
        <v>7</v>
      </c>
      <c r="BB1819" s="160"/>
      <c r="BC1819" s="160"/>
      <c r="BD1819" s="160"/>
      <c r="BE1819" s="160"/>
      <c r="BF1819" s="160"/>
      <c r="BG1819" s="160"/>
      <c r="BH1819" s="160"/>
      <c r="BI1819" s="106"/>
      <c r="BJ1819" s="106"/>
      <c r="BK1819" s="106"/>
      <c r="BL1819" s="106"/>
      <c r="BM1819" s="106"/>
      <c r="BN1819" s="106"/>
      <c r="BO1819" s="106"/>
    </row>
    <row r="1820" spans="24:67" hidden="1" x14ac:dyDescent="0.25">
      <c r="Y1820" s="91"/>
      <c r="Z1820" s="446" t="s">
        <v>957</v>
      </c>
      <c r="AA1820" s="491"/>
      <c r="AB1820" s="458">
        <f>IF(AD_Country=Scotland,IF(AD_MultiRes_option02&lt;1,IF(Not_Cons_Imp_SAP=0,1,(Ene01_45/Not_Cons_Imp_SAP)),IF(Not_cons_imp=0,1,(Ene01_03/Not_cons_imp))),IF(AD_MultiRes_option02&lt;1,IF(Ene01_44=0,1,(Ene01_45/Ene01_44)),IF(Ene01_02=0,1,(Ene01_03/Ene01_02))))</f>
        <v>1</v>
      </c>
      <c r="AC1820" s="446" t="s">
        <v>958</v>
      </c>
      <c r="AD1820" s="91"/>
      <c r="AE1820" s="67" t="s">
        <v>959</v>
      </c>
      <c r="AF1820" s="67"/>
      <c r="AG1820" s="67" t="s">
        <v>960</v>
      </c>
      <c r="AH1820" s="79"/>
      <c r="AI1820" s="79"/>
      <c r="AJ1820" s="79"/>
      <c r="AK1820" s="79"/>
      <c r="AL1820" s="435" t="s">
        <v>961</v>
      </c>
      <c r="AM1820" s="63"/>
      <c r="AN1820" s="91"/>
      <c r="AO1820" s="67" t="s">
        <v>962</v>
      </c>
      <c r="AP1820" s="91"/>
      <c r="AQ1820" s="68" t="s">
        <v>386</v>
      </c>
      <c r="AR1820" s="444">
        <f>IF(Ene01_80=AIS_Statement101,IF(Ene01_63&lt;AA1853,Ene01_63,IF(Ene01_63=AA1853,Ene01_90)),IF(Ene01_80=AIS_statement91,IF(Ene01_73&lt;AA1853,Ene01_73,IF(Ene01_73=AA1853,Ene01_88)),IF(Ene01_80=AIS_statement90,IF(Ene01_74&lt;AA1853,Ene01_74,IF(Ene01_74=AA1853,Ene01_87)))))</f>
        <v>0</v>
      </c>
      <c r="AS1820" s="91"/>
      <c r="AT1820" s="91"/>
      <c r="AU1820" s="91"/>
      <c r="AV1820" s="91"/>
      <c r="AW1820" s="68">
        <v>28</v>
      </c>
      <c r="AX1820" s="68">
        <v>8</v>
      </c>
      <c r="AY1820" s="160"/>
      <c r="AZ1820" s="68">
        <v>28</v>
      </c>
      <c r="BA1820" s="68">
        <v>8</v>
      </c>
      <c r="BB1820" s="160"/>
      <c r="BC1820" s="160"/>
      <c r="BD1820" s="160"/>
      <c r="BE1820" s="160"/>
      <c r="BF1820" s="160"/>
      <c r="BG1820" s="160"/>
      <c r="BH1820" s="160"/>
      <c r="BI1820" s="106"/>
      <c r="BJ1820" s="106"/>
      <c r="BK1820" s="106"/>
      <c r="BL1820" s="106"/>
      <c r="BM1820" s="106"/>
      <c r="BN1820" s="106"/>
      <c r="BO1820" s="106"/>
    </row>
    <row r="1821" spans="24:67" hidden="1" x14ac:dyDescent="0.25">
      <c r="Y1821" s="101" t="s">
        <v>940</v>
      </c>
      <c r="Z1821" s="439" t="str">
        <f>IF(Country=England,AE1849,IF(Country=Wales,AG1849,IF(Country=Northern_Ireland,AI1849,IF(Scotland_Bld_Regs_v=$Z$1569,AH1849,IF(Scotland_Bld_Regs_v=$Z$1570,AJ1849,"User must select country")))))</f>
        <v>User must select country</v>
      </c>
      <c r="AA1821" s="69"/>
      <c r="AB1821" s="101" t="s">
        <v>940</v>
      </c>
      <c r="AC1821" s="458">
        <f>IF(Ene01_44=0,1,(Ene01_45/Ene01_44))</f>
        <v>1</v>
      </c>
      <c r="AD1821" s="66" t="s">
        <v>940</v>
      </c>
      <c r="AE1821" s="452" t="e">
        <f>IF(Country=Northern_Ireland,IF(AC1821&gt;1,0,IF($AJ$1966&lt;$AK$1856,0,$AJ$1966)),IF(AC1821&gt;1,0,IF(AC1821&lt;0,1,1-AC1821^Z1821)))</f>
        <v>#VALUE!</v>
      </c>
      <c r="AF1821" s="452"/>
      <c r="AG1821" s="439" t="str">
        <f>IF(ADPT=ADPT02,1,IF(Country=England,AE1833,IF(Country=Wales,AG1833,IF(AND(Country=Scotland,Scotland_Bld_Regs_v=Z1569),AH1833,IF(AND(Country=Scotland,Scotland_Bld_Regs_v=Z1570),AH1837,IF(Country=Northern_Ireland,AI1833,"User must select country"))))))</f>
        <v>User must select country</v>
      </c>
      <c r="AH1821" s="79"/>
      <c r="AI1821" s="79"/>
      <c r="AJ1821" s="79"/>
      <c r="AK1821" s="66" t="s">
        <v>940</v>
      </c>
      <c r="AL1821" s="459" t="e">
        <f>IF(AE1821&gt;1,0,AE1821*AG1821)</f>
        <v>#VALUE!</v>
      </c>
      <c r="AM1821" s="63"/>
      <c r="AN1821" s="175" t="s">
        <v>941</v>
      </c>
      <c r="AO1821" s="434" t="e">
        <f>IF(Ene01_70&lt;Ene01_29,Y1641,IF(Ene01_63&gt;=Ene01_31,Y1640))</f>
        <v>#VALUE!</v>
      </c>
      <c r="AP1821" s="91"/>
      <c r="AQ1821" s="91"/>
      <c r="AR1821" s="69"/>
      <c r="AS1821" s="455"/>
      <c r="AT1821" s="91"/>
      <c r="AU1821" s="91"/>
      <c r="AV1821" s="91"/>
      <c r="AW1821" s="68">
        <v>33</v>
      </c>
      <c r="AX1821" s="68">
        <v>9</v>
      </c>
      <c r="AY1821" s="160"/>
      <c r="AZ1821" s="68">
        <v>33</v>
      </c>
      <c r="BA1821" s="68">
        <v>9</v>
      </c>
      <c r="BB1821" s="160"/>
      <c r="BC1821" s="160"/>
      <c r="BD1821" s="160"/>
      <c r="BE1821" s="160"/>
      <c r="BF1821" s="160"/>
      <c r="BG1821" s="160"/>
      <c r="BH1821" s="160"/>
      <c r="BI1821" s="106"/>
      <c r="BJ1821" s="106"/>
      <c r="BK1821" s="106"/>
      <c r="BL1821" s="106"/>
      <c r="BM1821" s="106"/>
      <c r="BN1821" s="106"/>
      <c r="BO1821" s="106"/>
    </row>
    <row r="1822" spans="24:67" hidden="1" x14ac:dyDescent="0.25">
      <c r="Y1822" s="101" t="s">
        <v>943</v>
      </c>
      <c r="Z1822" s="439" t="str">
        <f>IF(Country=England,AE1850,IF(Country=Wales,AG1850,IF(Country=Northern_Ireland,AI1850,IF(Scotland_Bld_Regs_v=$Z$1569,AH1850,IF(Scotland_Bld_Regs_v=$Z$1570,AJ1850,"User must select country")))))</f>
        <v>User must select country</v>
      </c>
      <c r="AA1822" s="69"/>
      <c r="AB1822" s="101" t="s">
        <v>943</v>
      </c>
      <c r="AC1822" s="458">
        <f>IF(Ene01_46=0,1,(Ene01_47/Ene01_46))</f>
        <v>1</v>
      </c>
      <c r="AD1822" s="66" t="s">
        <v>943</v>
      </c>
      <c r="AE1822" s="452" t="e">
        <f>IF(Country=Northern_Ireland,IF(AC1822&gt;1,0,IF($AL$1966&lt;$AK$1856,0,$AL$1966)),IF(AC1822&gt;1,0,IF(AC1822&lt;0,1,1-AC1822^Z1822)))</f>
        <v>#VALUE!</v>
      </c>
      <c r="AF1822" s="452"/>
      <c r="AG1822" s="439" t="str">
        <f>IF(ADPT=ADPT02,0,IF(Country=England,AE1834,IF(Country=Wales,AG1834,IF(AND(Country=Scotland,Scotland_Bld_Regs_v=Z1569),AH1834,IF(AND(Country=Scotland,Scotland_Bld_Regs_v=Z1570),AH1838,IF(Country=Northern_Ireland,AI1834,"User must select country"))))))</f>
        <v>User must select country</v>
      </c>
      <c r="AH1822" s="69"/>
      <c r="AI1822" s="79"/>
      <c r="AJ1822" s="79"/>
      <c r="AK1822" s="66" t="s">
        <v>943</v>
      </c>
      <c r="AL1822" s="459" t="e">
        <f>IF(AE1822&gt;1,0,AE1822*AG1822)</f>
        <v>#VALUE!</v>
      </c>
      <c r="AM1822" s="79"/>
      <c r="AN1822" s="175" t="s">
        <v>944</v>
      </c>
      <c r="AO1822" s="434" t="b">
        <f>IF(Ene01_63&gt;=Ene01_32,Y1639)</f>
        <v>0</v>
      </c>
      <c r="AP1822" s="91"/>
      <c r="AQ1822" s="548" t="s">
        <v>963</v>
      </c>
      <c r="AR1822" s="91"/>
      <c r="AS1822" s="91"/>
      <c r="AT1822" s="91"/>
      <c r="AU1822" s="91"/>
      <c r="AV1822" s="91"/>
      <c r="AW1822" s="68">
        <v>40</v>
      </c>
      <c r="AX1822" s="68">
        <v>10</v>
      </c>
      <c r="AY1822" s="160"/>
      <c r="AZ1822" s="68">
        <v>40</v>
      </c>
      <c r="BA1822" s="68">
        <v>10</v>
      </c>
      <c r="BB1822" s="160"/>
      <c r="BC1822" s="160"/>
      <c r="BD1822" s="160"/>
      <c r="BE1822" s="160"/>
      <c r="BF1822" s="160"/>
      <c r="BG1822" s="160"/>
      <c r="BH1822" s="160"/>
      <c r="BI1822" s="106"/>
      <c r="BJ1822" s="106"/>
      <c r="BK1822" s="106"/>
      <c r="BL1822" s="106"/>
      <c r="BM1822" s="106"/>
      <c r="BN1822" s="106"/>
      <c r="BO1822" s="106"/>
    </row>
    <row r="1823" spans="24:67" hidden="1" x14ac:dyDescent="0.25">
      <c r="Y1823" s="101" t="s">
        <v>946</v>
      </c>
      <c r="Z1823" s="439" t="str">
        <f>IF(Country=England,AE1851,IF(Country=Wales,AG1851,IF(Country=Northern_Ireland,AI1851,IF(Scotland_Bld_Regs_v=$Z$1569,AH1851,IF(Scotland_Bld_Regs_v=$Z$1570,AJ1851,"User must select country")))))</f>
        <v>User must select country</v>
      </c>
      <c r="AA1823" s="78"/>
      <c r="AB1823" s="101" t="s">
        <v>946</v>
      </c>
      <c r="AC1823" s="458">
        <f>IF(Ene01_48=0,1,(Ene01_49/Ene01_48))</f>
        <v>1</v>
      </c>
      <c r="AD1823" s="66" t="s">
        <v>946</v>
      </c>
      <c r="AE1823" s="452" t="e">
        <f>IF(AC1823&gt;1,0,IF(AC1823&lt;0,1,1-AC1823^Z1823))</f>
        <v>#VALUE!</v>
      </c>
      <c r="AF1823" s="452"/>
      <c r="AG1823" s="439" t="str">
        <f>IF(ADPT=ADPT02,0,IF(Country=England,AE1835,IF(Country=Wales,AG1835,IF(AND(Country=Scotland,Scotland_Bld_Regs_v=Z1569),AH1835,IF(AND(Country=Scotland,Scotland_Bld_Regs_v=Z1570),AH1838,IF(Country=Northern_Ireland,AI1835,"User must select country"))))))</f>
        <v>User must select country</v>
      </c>
      <c r="AH1823" s="69"/>
      <c r="AI1823" s="79"/>
      <c r="AJ1823" s="79"/>
      <c r="AK1823" s="66" t="s">
        <v>946</v>
      </c>
      <c r="AL1823" s="459" t="e">
        <f>IF(AE1823&gt;1,0,AE1823*AG1823)</f>
        <v>#VALUE!</v>
      </c>
      <c r="AM1823" s="79"/>
      <c r="AN1823" s="67"/>
      <c r="AO1823" s="434" t="e">
        <f>IF(ADPT=ADPT02,Ene01_73,(IF(AND(Ene01_70&gt;=Ene01_86,Ene01_18=Ene01_84),AA1853,IF(AND(Ene01_25&gt;=Ene01_86,Ene01_18&lt;Ene01_84),AA1852))))</f>
        <v>#VALUE!</v>
      </c>
      <c r="AP1823" s="107" t="s">
        <v>947</v>
      </c>
      <c r="AQ1823" s="71">
        <f>IF(ADPT=ADPT02, ene10_80,(IF(Ene01_07&gt;Ene01_06,0,ene10_80)))</f>
        <v>0</v>
      </c>
      <c r="AR1823" s="69"/>
      <c r="AS1823" s="455"/>
      <c r="AT1823" s="91"/>
      <c r="AU1823" s="91"/>
      <c r="AV1823" s="91"/>
      <c r="AW1823" s="68">
        <v>50</v>
      </c>
      <c r="AX1823" s="68">
        <v>11</v>
      </c>
      <c r="AY1823" s="160"/>
      <c r="AZ1823" s="68">
        <v>50</v>
      </c>
      <c r="BA1823" s="68">
        <v>11</v>
      </c>
      <c r="BB1823" s="160"/>
      <c r="BC1823" s="160"/>
      <c r="BD1823" s="160"/>
      <c r="BE1823" s="160"/>
      <c r="BF1823" s="160"/>
      <c r="BG1823" s="160"/>
      <c r="BH1823" s="160"/>
      <c r="BI1823" s="106"/>
      <c r="BJ1823" s="106"/>
      <c r="BK1823" s="106"/>
      <c r="BL1823" s="106"/>
      <c r="BM1823" s="106"/>
      <c r="BN1823" s="106"/>
      <c r="BO1823" s="106"/>
    </row>
    <row r="1824" spans="24:67" hidden="1" x14ac:dyDescent="0.25">
      <c r="Y1824" s="101"/>
      <c r="Z1824" s="430"/>
      <c r="AA1824" s="78"/>
      <c r="AB1824" s="66"/>
      <c r="AC1824" s="454"/>
      <c r="AD1824" s="91"/>
      <c r="AE1824" s="178"/>
      <c r="AF1824" s="178"/>
      <c r="AG1824" s="91"/>
      <c r="AH1824" s="79"/>
      <c r="AI1824" s="79"/>
      <c r="AJ1824" s="79"/>
      <c r="AK1824" s="67" t="s">
        <v>951</v>
      </c>
      <c r="AL1824" s="466" t="e">
        <f>SUM(Ene01_64+Ene01_65+Ene01_66)</f>
        <v>#VALUE!</v>
      </c>
      <c r="AM1824" s="79"/>
      <c r="AN1824" s="67"/>
      <c r="AO1824" s="434" t="str">
        <f>IF(OR(Ene01_80=AIS_statement90,Ene01_80=AIS_statement91),"",IF(OR(Ene01_70&lt;0.9,Ene01_07&gt;0),AIS_No,AIS_Yes))</f>
        <v/>
      </c>
      <c r="AP1824" s="107" t="s">
        <v>964</v>
      </c>
      <c r="AQ1824" s="91"/>
      <c r="AR1824" s="69"/>
      <c r="AS1824" s="455"/>
      <c r="AT1824" s="91"/>
      <c r="AU1824" s="91"/>
      <c r="AV1824" s="91"/>
      <c r="AW1824" s="68">
        <v>60</v>
      </c>
      <c r="AX1824" s="68">
        <v>12</v>
      </c>
      <c r="AY1824" s="160"/>
      <c r="AZ1824" s="68">
        <v>60</v>
      </c>
      <c r="BA1824" s="68">
        <v>12</v>
      </c>
      <c r="BB1824" s="160"/>
      <c r="BC1824" s="160"/>
      <c r="BD1824" s="160"/>
      <c r="BE1824" s="160"/>
      <c r="BF1824" s="160"/>
      <c r="BG1824" s="160"/>
      <c r="BH1824" s="160"/>
      <c r="BI1824" s="106"/>
      <c r="BJ1824" s="106"/>
      <c r="BK1824" s="106"/>
      <c r="BL1824" s="106"/>
      <c r="BM1824" s="106"/>
      <c r="BN1824" s="106"/>
      <c r="BO1824" s="106"/>
    </row>
    <row r="1825" spans="25:67" hidden="1" x14ac:dyDescent="0.25">
      <c r="Y1825" s="91"/>
      <c r="Z1825" s="423" t="s">
        <v>965</v>
      </c>
      <c r="AA1825" s="91"/>
      <c r="AB1825" s="91"/>
      <c r="AC1825" s="91"/>
      <c r="AD1825" s="91"/>
      <c r="AE1825" s="178"/>
      <c r="AF1825" s="178"/>
      <c r="AG1825" s="91"/>
      <c r="AH1825" s="79"/>
      <c r="AI1825" s="79"/>
      <c r="AJ1825" s="79"/>
      <c r="AK1825" s="66" t="s">
        <v>966</v>
      </c>
      <c r="AL1825" s="460">
        <f>IF(ISERROR(IF(ADPT=ADPT02,IF(OR(Ene01_38=AIS_option02a,Ene01_38=AIS_option04a),0,VLOOKUP(Ene01_70,Ene01_credits_range,2,TRUE)),VLOOKUP(Ene01_70,Ene01_credits_range,2,TRUE))),0,IF(ADPT=ADPT02,IF(OR(Ene01_38=AIS_option02a,Ene01_38=AIS_option04a),0,VLOOKUP(Ene01_70,Ene01_credits_range,2,TRUE)),VLOOKUP(Ene01_70,Ene01_credits_range,2,TRUE)))</f>
        <v>0</v>
      </c>
      <c r="AM1825" s="79"/>
      <c r="AN1825" s="67"/>
      <c r="AO1825" s="434" t="str">
        <f>IF(Ene01_91="","",IF(Ene01_09&lt;Z1853,0,IF(Ene01_37=AIS_Yes,AD1846,IF(Ene01_37=AIS_No,VLOOKUP(Ene01_36,AC1841:AD1845,2,TRUE),0))))</f>
        <v/>
      </c>
      <c r="AP1825" s="91" t="s">
        <v>955</v>
      </c>
      <c r="AQ1825" s="91"/>
      <c r="AR1825" s="91"/>
      <c r="AS1825" s="91"/>
      <c r="AT1825" s="91"/>
      <c r="AU1825" s="91"/>
      <c r="AV1825" s="91"/>
      <c r="AW1825" s="68">
        <v>80</v>
      </c>
      <c r="AX1825" s="68">
        <v>13</v>
      </c>
      <c r="AY1825" s="160"/>
      <c r="AZ1825" s="68">
        <v>80</v>
      </c>
      <c r="BA1825" s="68">
        <v>13</v>
      </c>
      <c r="BB1825" s="160"/>
      <c r="BC1825" s="160"/>
      <c r="BD1825" s="160"/>
      <c r="BE1825" s="160"/>
      <c r="BF1825" s="160"/>
      <c r="BG1825" s="160"/>
      <c r="BH1825" s="160"/>
      <c r="BI1825" s="106"/>
      <c r="BJ1825" s="106"/>
      <c r="BK1825" s="106"/>
      <c r="BL1825" s="106"/>
      <c r="BM1825" s="106"/>
      <c r="BN1825" s="106"/>
      <c r="BO1825" s="106"/>
    </row>
    <row r="1826" spans="25:67" hidden="1" x14ac:dyDescent="0.25">
      <c r="Y1826" s="91"/>
      <c r="Z1826" s="446" t="s">
        <v>967</v>
      </c>
      <c r="AA1826" s="446" t="s">
        <v>968</v>
      </c>
      <c r="AB1826" s="446" t="s">
        <v>969</v>
      </c>
      <c r="AC1826" s="446" t="s">
        <v>970</v>
      </c>
      <c r="AD1826" s="446" t="s">
        <v>971</v>
      </c>
      <c r="AE1826" s="91"/>
      <c r="AF1826" s="91"/>
      <c r="AG1826" s="474"/>
      <c r="AH1826" s="474"/>
      <c r="AI1826" s="474"/>
      <c r="AJ1826" s="79"/>
      <c r="AK1826" s="91"/>
      <c r="AL1826" s="435" t="s">
        <v>972</v>
      </c>
      <c r="AM1826" s="63"/>
      <c r="AN1826" s="91"/>
      <c r="AO1826" s="67" t="s">
        <v>973</v>
      </c>
      <c r="AP1826" s="91"/>
      <c r="AQ1826" s="91"/>
      <c r="AR1826" s="91"/>
      <c r="AS1826" s="91"/>
      <c r="AT1826" s="91"/>
      <c r="AU1826" s="91"/>
      <c r="AV1826" s="91"/>
      <c r="AW1826" s="68">
        <v>100</v>
      </c>
      <c r="AX1826" s="68">
        <v>14</v>
      </c>
      <c r="AY1826" s="160"/>
      <c r="AZ1826" s="68">
        <v>100</v>
      </c>
      <c r="BA1826" s="68">
        <v>14</v>
      </c>
      <c r="BB1826" s="160"/>
      <c r="BC1826" s="160"/>
      <c r="BD1826" s="160"/>
      <c r="BE1826" s="160"/>
      <c r="BF1826" s="160"/>
      <c r="BG1826" s="160"/>
      <c r="BH1826" s="160"/>
      <c r="BI1826" s="106"/>
      <c r="BJ1826" s="106"/>
      <c r="BK1826" s="106"/>
      <c r="BL1826" s="106"/>
      <c r="BM1826" s="106"/>
      <c r="BN1826" s="106"/>
      <c r="BO1826" s="106"/>
    </row>
    <row r="1827" spans="25:67" hidden="1" x14ac:dyDescent="0.25">
      <c r="Y1827" s="66" t="s">
        <v>940</v>
      </c>
      <c r="Z1827" s="174">
        <v>10.5</v>
      </c>
      <c r="AA1827" s="81">
        <v>9.68</v>
      </c>
      <c r="AB1827" s="81" t="s">
        <v>974</v>
      </c>
      <c r="AC1827" s="81">
        <v>7.19</v>
      </c>
      <c r="AD1827" s="81">
        <v>9.3699999999999992</v>
      </c>
      <c r="AE1827" s="91"/>
      <c r="AF1827" s="91"/>
      <c r="AG1827" s="91"/>
      <c r="AH1827" s="91"/>
      <c r="AI1827" s="91"/>
      <c r="AJ1827" s="79"/>
      <c r="AK1827" s="175" t="s">
        <v>975</v>
      </c>
      <c r="AL1827" s="461">
        <f>(1-AD_MultiRes_option02)*Ene01_74</f>
        <v>0</v>
      </c>
      <c r="AM1827" s="63"/>
      <c r="AN1827" s="175" t="s">
        <v>941</v>
      </c>
      <c r="AO1827" s="434" t="e">
        <f>IF(AL1834&lt;Ene01_29,Y1641,IF(Ene01_73&gt;=Ene01_31,Y1640,Y1641))</f>
        <v>#VALUE!</v>
      </c>
      <c r="AP1827" s="91"/>
      <c r="AQ1827" s="91"/>
      <c r="AR1827" s="91"/>
      <c r="AS1827" s="91"/>
      <c r="AT1827" s="91"/>
      <c r="AU1827" s="91"/>
      <c r="AV1827" s="91"/>
      <c r="AW1827" s="91"/>
      <c r="AX1827" s="91"/>
      <c r="AY1827" s="67"/>
      <c r="AZ1827" s="160"/>
      <c r="BA1827" s="160"/>
      <c r="BB1827" s="160"/>
      <c r="BC1827" s="160"/>
      <c r="BD1827" s="160"/>
      <c r="BE1827" s="160"/>
      <c r="BF1827" s="160"/>
      <c r="BG1827" s="160"/>
      <c r="BH1827" s="160"/>
      <c r="BI1827" s="106"/>
      <c r="BJ1827" s="106"/>
      <c r="BK1827" s="106"/>
      <c r="BL1827" s="106"/>
      <c r="BM1827" s="106"/>
      <c r="BN1827" s="106"/>
      <c r="BO1827" s="106"/>
    </row>
    <row r="1828" spans="25:67" hidden="1" x14ac:dyDescent="0.25">
      <c r="Y1828" s="66" t="s">
        <v>943</v>
      </c>
      <c r="Z1828" s="81">
        <v>7.75</v>
      </c>
      <c r="AA1828" s="81">
        <v>7.89</v>
      </c>
      <c r="AB1828" s="81" t="s">
        <v>974</v>
      </c>
      <c r="AC1828" s="81">
        <v>5.79</v>
      </c>
      <c r="AD1828" s="81">
        <v>5.61</v>
      </c>
      <c r="AE1828" s="91"/>
      <c r="AF1828" s="91"/>
      <c r="AG1828" s="91"/>
      <c r="AH1828" s="79"/>
      <c r="AI1828" s="79"/>
      <c r="AJ1828" s="79"/>
      <c r="AK1828" s="175" t="s">
        <v>976</v>
      </c>
      <c r="AL1828" s="176">
        <f>AD_MultiRes_option02*Ene01_63</f>
        <v>0</v>
      </c>
      <c r="AM1828" s="79"/>
      <c r="AN1828" s="175" t="s">
        <v>944</v>
      </c>
      <c r="AO1828" s="434">
        <f>IF(Ene01_73&gt;=Ene01_32,Y1639,)</f>
        <v>0</v>
      </c>
      <c r="AP1828" s="91"/>
      <c r="AQ1828" s="91"/>
      <c r="AR1828" s="91"/>
      <c r="AS1828" s="91"/>
      <c r="AT1828" s="91"/>
      <c r="AU1828" s="91"/>
      <c r="AV1828" s="91"/>
      <c r="AW1828" s="91"/>
      <c r="AX1828" s="91"/>
      <c r="AY1828" s="67"/>
      <c r="AZ1828" s="160"/>
      <c r="BA1828" s="160"/>
      <c r="BB1828" s="160"/>
      <c r="BC1828" s="160"/>
      <c r="BD1828" s="160"/>
      <c r="BE1828" s="160"/>
      <c r="BF1828" s="160"/>
      <c r="BG1828" s="160"/>
      <c r="BH1828" s="160"/>
      <c r="BI1828" s="106"/>
      <c r="BJ1828" s="106"/>
      <c r="BK1828" s="106"/>
      <c r="BL1828" s="106"/>
      <c r="BM1828" s="106"/>
      <c r="BN1828" s="106"/>
      <c r="BO1828" s="106"/>
    </row>
    <row r="1829" spans="25:67" hidden="1" x14ac:dyDescent="0.25">
      <c r="Y1829" s="66" t="s">
        <v>946</v>
      </c>
      <c r="Z1829" s="81">
        <v>3.77</v>
      </c>
      <c r="AA1829" s="81">
        <v>5.44</v>
      </c>
      <c r="AB1829" s="81">
        <v>2.0099999999999998</v>
      </c>
      <c r="AC1829" s="174">
        <v>2.8</v>
      </c>
      <c r="AD1829" s="81">
        <v>4.47</v>
      </c>
      <c r="AE1829" s="91"/>
      <c r="AF1829" s="91"/>
      <c r="AG1829" s="91"/>
      <c r="AH1829" s="79"/>
      <c r="AI1829" s="79"/>
      <c r="AJ1829" s="79"/>
      <c r="AK1829" s="66" t="s">
        <v>977</v>
      </c>
      <c r="AL1829" s="460">
        <f>ROUNDDOWN(Ene01_60+Ene01_61,0)</f>
        <v>0</v>
      </c>
      <c r="AM1829" s="79"/>
      <c r="AN1829" s="67"/>
      <c r="AO1829" s="434" t="b">
        <f>IF(ADPT=ADPT02,Ene01_73,(IF(AND(Ene01_73=Ene01_85,Ene01_81=Ene01_84),AA1853,IF(AND(Ene01_73=Ene01_85,Ene01_81&lt;Ene01_84),AA1852))))</f>
        <v>0</v>
      </c>
      <c r="AP1829" s="107" t="s">
        <v>947</v>
      </c>
      <c r="AQ1829" s="91"/>
      <c r="AR1829" s="91"/>
      <c r="AS1829" s="91"/>
      <c r="AT1829" s="91"/>
      <c r="AU1829" s="91"/>
      <c r="AV1829" s="91"/>
      <c r="AW1829" s="91"/>
      <c r="AX1829" s="91"/>
      <c r="AY1829" s="67"/>
      <c r="AZ1829" s="160"/>
      <c r="BA1829" s="160"/>
      <c r="BB1829" s="160"/>
      <c r="BC1829" s="160"/>
      <c r="BD1829" s="160"/>
      <c r="BE1829" s="160"/>
      <c r="BF1829" s="160"/>
      <c r="BG1829" s="160"/>
      <c r="BH1829" s="160"/>
      <c r="BI1829" s="106"/>
      <c r="BJ1829" s="106"/>
      <c r="BK1829" s="106"/>
      <c r="BL1829" s="106"/>
      <c r="BM1829" s="106"/>
      <c r="BN1829" s="106"/>
      <c r="BO1829" s="106"/>
    </row>
    <row r="1830" spans="25:67" hidden="1" x14ac:dyDescent="0.25">
      <c r="Y1830" s="91"/>
      <c r="Z1830" s="91"/>
      <c r="AA1830" s="91"/>
      <c r="AB1830" s="91"/>
      <c r="AC1830" s="91"/>
      <c r="AD1830" s="91"/>
      <c r="AE1830" s="91"/>
      <c r="AF1830" s="91"/>
      <c r="AG1830" s="91"/>
      <c r="AH1830" s="79"/>
      <c r="AI1830" s="79"/>
      <c r="AJ1830" s="79"/>
      <c r="AK1830" s="66" t="s">
        <v>978</v>
      </c>
      <c r="AL1830" s="436">
        <f>IF(ISERROR((AD_MultiRes_option02*Ene01_50)+((1-AD_MultiRes_option02)*Ene01_08)),0,(AD_MultiRes_option02*Ene01_50)+((1-AD_MultiRes_option02)*Ene01_08))</f>
        <v>0</v>
      </c>
      <c r="AM1830" s="79"/>
      <c r="AN1830" s="67"/>
      <c r="AO1830" s="434" t="str">
        <f>IF(OR(Ene01_80=AIS_statement90,Ene01_80=AIS_Statement101),"",IF(OR(Ene01_73&lt;Ene01_85,AND(OR(Ene01_07&gt;0,Ene01_49&gt;0))),AIS_No,AIS_Yes))</f>
        <v/>
      </c>
      <c r="AP1830" s="107" t="s">
        <v>964</v>
      </c>
      <c r="AQ1830" s="91"/>
      <c r="AR1830" s="91"/>
      <c r="AS1830" s="91"/>
      <c r="AT1830" s="91"/>
      <c r="AU1830" s="91"/>
      <c r="AV1830" s="91"/>
      <c r="AW1830" s="91"/>
      <c r="AX1830" s="91"/>
      <c r="AY1830" s="67"/>
      <c r="AZ1830" s="160"/>
      <c r="BA1830" s="160"/>
      <c r="BB1830" s="160"/>
      <c r="BC1830" s="160"/>
      <c r="BD1830" s="160"/>
      <c r="BE1830" s="160"/>
      <c r="BF1830" s="160"/>
      <c r="BG1830" s="160"/>
      <c r="BH1830" s="160"/>
      <c r="BI1830" s="106"/>
      <c r="BJ1830" s="106"/>
      <c r="BK1830" s="106"/>
      <c r="BL1830" s="106"/>
      <c r="BM1830" s="106"/>
      <c r="BN1830" s="106"/>
      <c r="BO1830" s="106"/>
    </row>
    <row r="1831" spans="25:67" hidden="1" x14ac:dyDescent="0.25">
      <c r="Y1831" s="91"/>
      <c r="Z1831" s="445" t="s">
        <v>979</v>
      </c>
      <c r="AA1831" s="91"/>
      <c r="AB1831" s="91"/>
      <c r="AC1831" s="91"/>
      <c r="AD1831" s="91"/>
      <c r="AE1831" s="445" t="s">
        <v>980</v>
      </c>
      <c r="AF1831" s="445"/>
      <c r="AG1831" s="91"/>
      <c r="AH1831" s="91"/>
      <c r="AI1831" s="91"/>
      <c r="AJ1831" s="79"/>
      <c r="AK1831" s="79"/>
      <c r="AL1831" s="79"/>
      <c r="AM1831" s="67"/>
      <c r="AN1831" s="67"/>
      <c r="AO1831" s="434" t="str">
        <f>IF(Ene01_77="","",IF(OR(Ene01_09&lt;Z1853,Ene01_54&lt;AV1839),0,IF(Ene01_37=AIS_Yes,AD1846,IF(Ene01_37=AIS_No,VLOOKUP(Ene01_36,AC1841:AD1845,2,TRUE),0))))</f>
        <v/>
      </c>
      <c r="AP1831" s="91" t="s">
        <v>955</v>
      </c>
      <c r="AQ1831" s="91"/>
      <c r="AR1831" s="91"/>
      <c r="AS1831" s="91"/>
      <c r="AT1831" s="91"/>
      <c r="AU1831" s="91"/>
      <c r="AV1831" s="91"/>
      <c r="AW1831" s="91"/>
      <c r="AX1831" s="91"/>
      <c r="AY1831" s="67"/>
      <c r="AZ1831" s="160"/>
      <c r="BA1831" s="160"/>
      <c r="BB1831" s="160"/>
      <c r="BC1831" s="160"/>
      <c r="BD1831" s="160"/>
      <c r="BE1831" s="160"/>
      <c r="BF1831" s="160"/>
      <c r="BG1831" s="160"/>
      <c r="BH1831" s="160"/>
      <c r="BI1831" s="106"/>
      <c r="BJ1831" s="106"/>
      <c r="BK1831" s="106"/>
      <c r="BL1831" s="106"/>
      <c r="BM1831" s="106"/>
      <c r="BN1831" s="106"/>
      <c r="BO1831" s="106"/>
    </row>
    <row r="1832" spans="25:67" hidden="1" x14ac:dyDescent="0.25">
      <c r="Y1832" s="91"/>
      <c r="Z1832" s="446" t="s">
        <v>81</v>
      </c>
      <c r="AA1832" s="446" t="s">
        <v>84</v>
      </c>
      <c r="AB1832" s="446" t="s">
        <v>981</v>
      </c>
      <c r="AC1832" s="446" t="s">
        <v>89</v>
      </c>
      <c r="AD1832" s="91"/>
      <c r="AE1832" s="446" t="s">
        <v>81</v>
      </c>
      <c r="AF1832" s="446"/>
      <c r="AG1832" s="446" t="s">
        <v>84</v>
      </c>
      <c r="AH1832" s="446" t="s">
        <v>981</v>
      </c>
      <c r="AI1832" s="453" t="s">
        <v>982</v>
      </c>
      <c r="AJ1832" s="79"/>
      <c r="AK1832" s="101" t="s">
        <v>983</v>
      </c>
      <c r="AL1832" s="176" t="e">
        <f>(1-AD_MultiRes_option02)*Ene01_25</f>
        <v>#VALUE!</v>
      </c>
      <c r="AM1832" s="67"/>
      <c r="AN1832" s="91"/>
      <c r="AO1832" s="91"/>
      <c r="AP1832" s="91"/>
      <c r="AQ1832" s="91"/>
      <c r="AR1832" s="91"/>
      <c r="AS1832" s="91"/>
      <c r="AT1832" s="91"/>
      <c r="AU1832" s="91"/>
      <c r="AV1832" s="91"/>
      <c r="AW1832" s="91"/>
      <c r="AX1832" s="91"/>
      <c r="AY1832" s="67"/>
      <c r="AZ1832" s="160"/>
      <c r="BA1832" s="160"/>
      <c r="BB1832" s="160"/>
      <c r="BC1832" s="160"/>
      <c r="BD1832" s="160"/>
      <c r="BE1832" s="160"/>
      <c r="BF1832" s="160"/>
      <c r="BG1832" s="160"/>
      <c r="BH1832" s="160"/>
      <c r="BI1832" s="106"/>
      <c r="BJ1832" s="106"/>
      <c r="BK1832" s="106"/>
      <c r="BL1832" s="106"/>
      <c r="BM1832" s="106"/>
      <c r="BN1832" s="106"/>
      <c r="BO1832" s="106"/>
    </row>
    <row r="1833" spans="25:67" hidden="1" x14ac:dyDescent="0.25">
      <c r="Y1833" s="66" t="s">
        <v>940</v>
      </c>
      <c r="Z1833" s="81">
        <v>0.25</v>
      </c>
      <c r="AA1833" s="81">
        <v>0.28000000000000003</v>
      </c>
      <c r="AB1833" s="81">
        <v>0.24</v>
      </c>
      <c r="AC1833" s="81">
        <v>0.27</v>
      </c>
      <c r="AD1833" s="66" t="s">
        <v>940</v>
      </c>
      <c r="AE1833" s="493">
        <v>0.55000000000000004</v>
      </c>
      <c r="AF1833" s="493"/>
      <c r="AG1833" s="493">
        <v>0.4</v>
      </c>
      <c r="AH1833" s="493">
        <v>0.53</v>
      </c>
      <c r="AI1833" s="493">
        <v>0.36</v>
      </c>
      <c r="AJ1833" s="79"/>
      <c r="AK1833" s="101" t="s">
        <v>984</v>
      </c>
      <c r="AL1833" s="176" t="e">
        <f>AD_MultiRes_option02*Ene01_70</f>
        <v>#VALUE!</v>
      </c>
      <c r="AM1833" s="431"/>
      <c r="AN1833" s="91"/>
      <c r="AO1833" s="91"/>
      <c r="AP1833" s="91"/>
      <c r="AQ1833" s="91"/>
      <c r="AR1833" s="91"/>
      <c r="AS1833" s="91"/>
      <c r="AT1833" s="91"/>
      <c r="AU1833" s="91"/>
      <c r="AV1833" s="91"/>
      <c r="AW1833" s="91"/>
      <c r="AX1833" s="91"/>
      <c r="AY1833" s="67"/>
      <c r="AZ1833" s="160"/>
      <c r="BA1833" s="160"/>
      <c r="BB1833" s="160"/>
      <c r="BC1833" s="160"/>
      <c r="BD1833" s="160"/>
      <c r="BE1833" s="160"/>
      <c r="BF1833" s="160"/>
      <c r="BG1833" s="160"/>
      <c r="BH1833" s="160"/>
      <c r="BI1833" s="106"/>
      <c r="BJ1833" s="106"/>
      <c r="BK1833" s="106"/>
      <c r="BL1833" s="106"/>
      <c r="BM1833" s="106"/>
      <c r="BN1833" s="106"/>
      <c r="BO1833" s="106"/>
    </row>
    <row r="1834" spans="25:67" hidden="1" x14ac:dyDescent="0.25">
      <c r="Y1834" s="66" t="s">
        <v>943</v>
      </c>
      <c r="Z1834" s="81">
        <v>0.35</v>
      </c>
      <c r="AA1834" s="81">
        <v>0.37</v>
      </c>
      <c r="AB1834" s="174">
        <v>0.5</v>
      </c>
      <c r="AC1834" s="81">
        <v>0.33</v>
      </c>
      <c r="AD1834" s="66" t="s">
        <v>943</v>
      </c>
      <c r="AE1834" s="493">
        <v>0.38</v>
      </c>
      <c r="AF1834" s="493"/>
      <c r="AG1834" s="493">
        <v>0.5</v>
      </c>
      <c r="AH1834" s="493">
        <v>0.23</v>
      </c>
      <c r="AI1834" s="493">
        <v>0.6</v>
      </c>
      <c r="AJ1834" s="79"/>
      <c r="AK1834" s="101" t="s">
        <v>985</v>
      </c>
      <c r="AL1834" s="492" t="e">
        <f>AL1832+AL1833</f>
        <v>#VALUE!</v>
      </c>
      <c r="AM1834" s="431"/>
      <c r="AN1834" s="91"/>
      <c r="AO1834" s="91"/>
      <c r="AP1834" s="91"/>
      <c r="AQ1834" s="91"/>
      <c r="AR1834" s="91"/>
      <c r="AS1834" s="91"/>
      <c r="AT1834" s="91"/>
      <c r="AU1834" s="91"/>
      <c r="AV1834" s="91"/>
      <c r="AW1834" s="91"/>
      <c r="AX1834" s="91"/>
      <c r="AY1834" s="67"/>
      <c r="AZ1834" s="160"/>
      <c r="BA1834" s="160"/>
      <c r="BB1834" s="160"/>
      <c r="BC1834" s="160"/>
      <c r="BD1834" s="160"/>
      <c r="BE1834" s="160"/>
      <c r="BF1834" s="160"/>
      <c r="BG1834" s="160"/>
      <c r="BH1834" s="160"/>
      <c r="BI1834" s="106"/>
      <c r="BJ1834" s="106"/>
      <c r="BK1834" s="106"/>
      <c r="BL1834" s="106"/>
      <c r="BM1834" s="106"/>
      <c r="BN1834" s="106"/>
      <c r="BO1834" s="106"/>
    </row>
    <row r="1835" spans="25:67" hidden="1" x14ac:dyDescent="0.25">
      <c r="Y1835" s="66" t="s">
        <v>946</v>
      </c>
      <c r="Z1835" s="174">
        <v>0.4</v>
      </c>
      <c r="AA1835" s="81">
        <v>0.35</v>
      </c>
      <c r="AB1835" s="81">
        <v>0.26</v>
      </c>
      <c r="AC1835" s="174">
        <v>0.4</v>
      </c>
      <c r="AD1835" s="66" t="s">
        <v>946</v>
      </c>
      <c r="AE1835" s="493">
        <v>7.0000000000000007E-2</v>
      </c>
      <c r="AF1835" s="493"/>
      <c r="AG1835" s="493">
        <v>0.1</v>
      </c>
      <c r="AH1835" s="493">
        <v>0.24</v>
      </c>
      <c r="AI1835" s="493">
        <v>0.04</v>
      </c>
      <c r="AJ1835" s="79"/>
      <c r="AK1835" s="79"/>
      <c r="AL1835" s="79"/>
      <c r="AM1835" s="67"/>
      <c r="AN1835" s="91"/>
      <c r="AO1835" s="91"/>
      <c r="AP1835" s="91"/>
      <c r="AQ1835" s="91"/>
      <c r="AR1835" s="91"/>
      <c r="AS1835" s="91"/>
      <c r="AT1835" s="91"/>
      <c r="AU1835" s="91"/>
      <c r="AV1835" s="91"/>
      <c r="AW1835" s="91"/>
      <c r="AX1835" s="91"/>
      <c r="AY1835" s="67"/>
      <c r="AZ1835" s="160"/>
      <c r="BA1835" s="160"/>
      <c r="BB1835" s="160"/>
      <c r="BC1835" s="160"/>
      <c r="BD1835" s="160"/>
      <c r="BE1835" s="160"/>
      <c r="BF1835" s="160"/>
      <c r="BG1835" s="160"/>
      <c r="BH1835" s="160"/>
      <c r="BI1835" s="106"/>
      <c r="BJ1835" s="106"/>
      <c r="BK1835" s="106"/>
      <c r="BL1835" s="106"/>
      <c r="BM1835" s="106"/>
      <c r="BN1835" s="106"/>
      <c r="BO1835" s="106"/>
    </row>
    <row r="1836" spans="25:67" hidden="1" x14ac:dyDescent="0.25">
      <c r="Y1836" s="91"/>
      <c r="Z1836" s="91"/>
      <c r="AA1836" s="91"/>
      <c r="AB1836" s="446" t="s">
        <v>986</v>
      </c>
      <c r="AC1836" s="91"/>
      <c r="AD1836" s="91"/>
      <c r="AE1836" s="91"/>
      <c r="AF1836" s="91"/>
      <c r="AG1836" s="91"/>
      <c r="AH1836" s="445" t="s">
        <v>986</v>
      </c>
      <c r="AI1836" s="91"/>
      <c r="AJ1836" s="79"/>
      <c r="AK1836" s="79"/>
      <c r="AL1836" s="79"/>
      <c r="AM1836" s="431"/>
      <c r="AN1836" s="91"/>
      <c r="AO1836" s="91"/>
      <c r="AP1836" s="91"/>
      <c r="AQ1836" s="91"/>
      <c r="AR1836" s="91"/>
      <c r="AS1836" s="91"/>
      <c r="AT1836" s="91"/>
      <c r="AU1836" s="91"/>
      <c r="AV1836" s="91"/>
      <c r="AW1836" s="91"/>
      <c r="AX1836" s="91"/>
      <c r="AY1836" s="67"/>
      <c r="AZ1836" s="160"/>
      <c r="BA1836" s="160"/>
      <c r="BB1836" s="160"/>
      <c r="BC1836" s="160"/>
      <c r="BD1836" s="160"/>
      <c r="BE1836" s="160"/>
      <c r="BF1836" s="160"/>
      <c r="BG1836" s="160"/>
      <c r="BH1836" s="160"/>
      <c r="BI1836" s="106"/>
      <c r="BJ1836" s="106"/>
      <c r="BK1836" s="106"/>
      <c r="BL1836" s="106"/>
      <c r="BM1836" s="106"/>
      <c r="BN1836" s="106"/>
      <c r="BO1836" s="106"/>
    </row>
    <row r="1837" spans="25:67" hidden="1" x14ac:dyDescent="0.25">
      <c r="Y1837" s="91"/>
      <c r="Z1837" s="91"/>
      <c r="AA1837" s="91"/>
      <c r="AB1837" s="81">
        <v>0.22</v>
      </c>
      <c r="AC1837" s="91"/>
      <c r="AD1837" s="67"/>
      <c r="AE1837" s="67"/>
      <c r="AF1837" s="67"/>
      <c r="AG1837" s="67"/>
      <c r="AH1837" s="493">
        <v>0.66</v>
      </c>
      <c r="AI1837" s="79"/>
      <c r="AJ1837" s="79"/>
      <c r="AK1837" s="79"/>
      <c r="AL1837" s="79"/>
      <c r="AM1837" s="431"/>
      <c r="AN1837" s="91"/>
      <c r="AO1837" s="91"/>
      <c r="AP1837" s="91"/>
      <c r="AQ1837" s="91"/>
      <c r="AR1837" s="91"/>
      <c r="AS1837" s="91"/>
      <c r="AT1837" s="91"/>
      <c r="AU1837" s="91"/>
      <c r="AV1837" s="91"/>
      <c r="AW1837" s="91"/>
      <c r="AX1837" s="91"/>
      <c r="AY1837" s="67"/>
      <c r="AZ1837" s="160"/>
      <c r="BA1837" s="160"/>
      <c r="BB1837" s="160"/>
      <c r="BC1837" s="160"/>
      <c r="BD1837" s="160"/>
      <c r="BE1837" s="160"/>
      <c r="BF1837" s="160"/>
      <c r="BG1837" s="160"/>
      <c r="BH1837" s="160"/>
      <c r="BI1837" s="106"/>
      <c r="BJ1837" s="106"/>
      <c r="BK1837" s="106"/>
      <c r="BL1837" s="106"/>
      <c r="BM1837" s="106"/>
      <c r="BN1837" s="106"/>
      <c r="BO1837" s="106"/>
    </row>
    <row r="1838" spans="25:67" hidden="1" x14ac:dyDescent="0.25">
      <c r="Y1838" s="91"/>
      <c r="Z1838" s="91"/>
      <c r="AA1838" s="91"/>
      <c r="AB1838" s="81">
        <v>0.41</v>
      </c>
      <c r="AC1838" s="91"/>
      <c r="AD1838" s="67"/>
      <c r="AE1838" s="91"/>
      <c r="AF1838" s="91"/>
      <c r="AG1838" s="67"/>
      <c r="AH1838" s="493">
        <v>0.17</v>
      </c>
      <c r="AI1838" s="79"/>
      <c r="AJ1838" s="79"/>
      <c r="AK1838" s="79"/>
      <c r="AL1838" s="79"/>
      <c r="AM1838" s="67"/>
      <c r="AN1838" s="91"/>
      <c r="AO1838" s="91"/>
      <c r="AP1838" s="91"/>
      <c r="AQ1838" s="91"/>
      <c r="AR1838" s="91"/>
      <c r="AS1838" s="91"/>
      <c r="AT1838" s="91"/>
      <c r="AU1838" s="91"/>
      <c r="AV1838" s="91"/>
      <c r="AW1838" s="91"/>
      <c r="AX1838" s="91"/>
      <c r="AY1838" s="67"/>
      <c r="AZ1838" s="160"/>
      <c r="BA1838" s="160"/>
      <c r="BB1838" s="160"/>
      <c r="BC1838" s="160"/>
      <c r="BD1838" s="160"/>
      <c r="BE1838" s="160"/>
      <c r="BF1838" s="160"/>
      <c r="BG1838" s="160"/>
      <c r="BH1838" s="160"/>
      <c r="BI1838" s="106"/>
      <c r="BJ1838" s="106"/>
      <c r="BK1838" s="106"/>
      <c r="BL1838" s="106"/>
      <c r="BM1838" s="106"/>
      <c r="BN1838" s="106"/>
      <c r="BO1838" s="106"/>
    </row>
    <row r="1839" spans="25:67" hidden="1" x14ac:dyDescent="0.25">
      <c r="Y1839" s="91"/>
      <c r="Z1839" s="91"/>
      <c r="AA1839" s="91"/>
      <c r="AB1839" s="81">
        <v>0.37</v>
      </c>
      <c r="AC1839" s="91"/>
      <c r="AD1839" s="67"/>
      <c r="AE1839" s="66"/>
      <c r="AF1839" s="66"/>
      <c r="AG1839" s="67"/>
      <c r="AH1839" s="493">
        <v>0.17</v>
      </c>
      <c r="AI1839" s="79"/>
      <c r="AJ1839" s="79"/>
      <c r="AK1839" s="79"/>
      <c r="AL1839" s="79"/>
      <c r="AM1839" s="67"/>
      <c r="AN1839" s="91"/>
      <c r="AO1839" s="91"/>
      <c r="AP1839" s="91"/>
      <c r="AQ1839" s="91"/>
      <c r="AR1839" s="91"/>
      <c r="AS1839" s="91"/>
      <c r="AT1839" s="91"/>
      <c r="AU1839" s="91"/>
      <c r="AV1839" s="430"/>
      <c r="AW1839" s="64"/>
      <c r="AX1839" s="91"/>
      <c r="AY1839" s="67"/>
      <c r="AZ1839" s="160"/>
      <c r="BA1839" s="160"/>
      <c r="BB1839" s="160"/>
      <c r="BC1839" s="160"/>
      <c r="BD1839" s="160"/>
      <c r="BE1839" s="160"/>
      <c r="BF1839" s="160"/>
      <c r="BG1839" s="160"/>
      <c r="BH1839" s="160"/>
      <c r="BI1839" s="106"/>
      <c r="BJ1839" s="106"/>
      <c r="BK1839" s="106"/>
      <c r="BL1839" s="106"/>
      <c r="BM1839" s="106"/>
      <c r="BN1839" s="106"/>
      <c r="BO1839" s="106"/>
    </row>
    <row r="1840" spans="25:67" ht="18" hidden="1" x14ac:dyDescent="0.25">
      <c r="Y1840" s="91"/>
      <c r="Z1840" s="449" t="s">
        <v>987</v>
      </c>
      <c r="AA1840" s="449" t="s">
        <v>386</v>
      </c>
      <c r="AB1840" s="91"/>
      <c r="AC1840" s="446" t="s">
        <v>988</v>
      </c>
      <c r="AD1840" s="446" t="s">
        <v>989</v>
      </c>
      <c r="AE1840" s="91"/>
      <c r="AF1840" s="91"/>
      <c r="AG1840" s="453" t="s">
        <v>990</v>
      </c>
      <c r="AH1840" s="91"/>
      <c r="AI1840" s="91"/>
      <c r="AJ1840" s="91"/>
      <c r="AK1840" s="91"/>
      <c r="AL1840" s="91"/>
      <c r="AM1840" s="91"/>
      <c r="AN1840" s="91"/>
      <c r="AO1840" s="91"/>
      <c r="AP1840" s="91"/>
      <c r="AQ1840" s="91"/>
      <c r="AR1840" s="91"/>
      <c r="AS1840" s="91"/>
      <c r="AT1840" s="91"/>
      <c r="AU1840" s="91"/>
      <c r="AV1840" s="91"/>
      <c r="AW1840" s="67"/>
      <c r="AX1840" s="160"/>
      <c r="AY1840" s="160"/>
      <c r="AZ1840" s="160"/>
      <c r="BA1840" s="160"/>
      <c r="BB1840" s="160"/>
      <c r="BC1840" s="160"/>
      <c r="BD1840" s="160"/>
      <c r="BE1840" s="160"/>
      <c r="BF1840" s="160"/>
      <c r="BG1840" s="160"/>
      <c r="BH1840" s="160"/>
      <c r="BI1840" s="106"/>
      <c r="BJ1840" s="106"/>
      <c r="BK1840" s="106"/>
      <c r="BL1840" s="106"/>
      <c r="BM1840" s="106"/>
      <c r="BN1840" s="106"/>
      <c r="BO1840" s="106"/>
    </row>
    <row r="1841" spans="25:67" hidden="1" x14ac:dyDescent="0.25">
      <c r="Y1841" s="91"/>
      <c r="Z1841" s="463">
        <v>0</v>
      </c>
      <c r="AA1841" s="85">
        <v>0</v>
      </c>
      <c r="AB1841" s="91"/>
      <c r="AC1841" s="447">
        <v>0</v>
      </c>
      <c r="AD1841" s="81">
        <v>0</v>
      </c>
      <c r="AE1841" s="91"/>
      <c r="AF1841" s="91"/>
      <c r="AG1841" s="445"/>
      <c r="AH1841" s="446" t="s">
        <v>991</v>
      </c>
      <c r="AI1841" s="453" t="s">
        <v>992</v>
      </c>
      <c r="AJ1841" s="446" t="s">
        <v>386</v>
      </c>
      <c r="AK1841" s="91"/>
      <c r="AL1841" s="91"/>
      <c r="AM1841" s="91"/>
      <c r="AN1841" s="91"/>
      <c r="AO1841" s="91"/>
      <c r="AP1841" s="91"/>
      <c r="AQ1841" s="91"/>
      <c r="AR1841" s="91"/>
      <c r="AS1841" s="91"/>
      <c r="AT1841" s="91"/>
      <c r="AU1841" s="91"/>
      <c r="AV1841" s="91"/>
      <c r="AW1841" s="67"/>
      <c r="AX1841" s="160"/>
      <c r="AY1841" s="160"/>
      <c r="AZ1841" s="160"/>
      <c r="BA1841" s="160"/>
      <c r="BB1841" s="160"/>
      <c r="BC1841" s="160"/>
      <c r="BD1841" s="160"/>
      <c r="BE1841" s="160"/>
      <c r="BF1841" s="160"/>
      <c r="BG1841" s="160"/>
      <c r="BH1841" s="160"/>
      <c r="BI1841" s="106"/>
      <c r="BJ1841" s="106"/>
      <c r="BK1841" s="106"/>
      <c r="BL1841" s="106"/>
      <c r="BM1841" s="106"/>
      <c r="BN1841" s="106"/>
      <c r="BO1841" s="106"/>
    </row>
    <row r="1842" spans="25:67" hidden="1" x14ac:dyDescent="0.25">
      <c r="Y1842" s="91"/>
      <c r="Z1842" s="452">
        <v>7.4999999999999997E-2</v>
      </c>
      <c r="AA1842" s="85">
        <v>1</v>
      </c>
      <c r="AB1842" s="91"/>
      <c r="AC1842" s="86">
        <v>0.1</v>
      </c>
      <c r="AD1842" s="85">
        <v>1</v>
      </c>
      <c r="AE1842" s="91"/>
      <c r="AF1842" s="91"/>
      <c r="AG1842" s="74" t="s">
        <v>993</v>
      </c>
      <c r="AH1842" s="456">
        <v>0.375</v>
      </c>
      <c r="AI1842" s="447" t="s">
        <v>229</v>
      </c>
      <c r="AJ1842" s="81">
        <v>5</v>
      </c>
      <c r="AK1842" s="91"/>
      <c r="AL1842" s="91"/>
      <c r="AM1842" s="91"/>
      <c r="AN1842" s="91"/>
      <c r="AO1842" s="91"/>
      <c r="AP1842" s="91"/>
      <c r="AQ1842" s="91"/>
      <c r="AR1842" s="91"/>
      <c r="AS1842" s="91"/>
      <c r="AT1842" s="91"/>
      <c r="AU1842" s="91"/>
      <c r="AV1842" s="91"/>
      <c r="AW1842" s="67"/>
      <c r="AX1842" s="160"/>
      <c r="AY1842" s="160"/>
      <c r="AZ1842" s="160"/>
      <c r="BA1842" s="160"/>
      <c r="BB1842" s="160"/>
      <c r="BC1842" s="160"/>
      <c r="BD1842" s="160"/>
      <c r="BE1842" s="160"/>
      <c r="BF1842" s="160"/>
      <c r="BG1842" s="160"/>
      <c r="BH1842" s="160"/>
      <c r="BI1842" s="106"/>
      <c r="BJ1842" s="106"/>
      <c r="BK1842" s="106"/>
      <c r="BL1842" s="106"/>
      <c r="BM1842" s="106"/>
      <c r="BN1842" s="106"/>
      <c r="BO1842" s="106"/>
    </row>
    <row r="1843" spans="25:67" hidden="1" x14ac:dyDescent="0.25">
      <c r="Y1843" s="91"/>
      <c r="Z1843" s="439">
        <v>0.15</v>
      </c>
      <c r="AA1843" s="85">
        <v>2</v>
      </c>
      <c r="AB1843" s="91"/>
      <c r="AC1843" s="86">
        <v>0.2</v>
      </c>
      <c r="AD1843" s="85">
        <v>2</v>
      </c>
      <c r="AE1843" s="91"/>
      <c r="AF1843" s="91"/>
      <c r="AG1843" s="74" t="s">
        <v>994</v>
      </c>
      <c r="AH1843" s="174">
        <v>0.6</v>
      </c>
      <c r="AI1843" s="448" t="s">
        <v>229</v>
      </c>
      <c r="AJ1843" s="81">
        <v>8</v>
      </c>
      <c r="AK1843" s="91"/>
      <c r="AL1843" s="91"/>
      <c r="AM1843" s="91"/>
      <c r="AN1843" s="91"/>
      <c r="AO1843" s="91"/>
      <c r="AP1843" s="91"/>
      <c r="AQ1843" s="91"/>
      <c r="AR1843" s="91"/>
      <c r="AS1843" s="91"/>
      <c r="AT1843" s="91"/>
      <c r="AU1843" s="91"/>
      <c r="AV1843" s="91"/>
      <c r="AW1843" s="67"/>
      <c r="AX1843" s="160"/>
      <c r="AY1843" s="160"/>
      <c r="AZ1843" s="160"/>
      <c r="BA1843" s="160"/>
      <c r="BB1843" s="160"/>
      <c r="BC1843" s="160"/>
      <c r="BD1843" s="160"/>
      <c r="BE1843" s="160"/>
      <c r="BF1843" s="160"/>
      <c r="BG1843" s="160"/>
      <c r="BH1843" s="160"/>
      <c r="BI1843" s="106"/>
      <c r="BJ1843" s="106"/>
      <c r="BK1843" s="106"/>
      <c r="BL1843" s="106"/>
      <c r="BM1843" s="106"/>
      <c r="BN1843" s="106"/>
      <c r="BO1843" s="106"/>
    </row>
    <row r="1844" spans="25:67" hidden="1" x14ac:dyDescent="0.25">
      <c r="Y1844" s="91"/>
      <c r="Z1844" s="452">
        <v>0.22500000000000001</v>
      </c>
      <c r="AA1844" s="85">
        <v>3</v>
      </c>
      <c r="AB1844" s="91"/>
      <c r="AC1844" s="86">
        <v>0.5</v>
      </c>
      <c r="AD1844" s="85">
        <v>3</v>
      </c>
      <c r="AE1844" s="91"/>
      <c r="AF1844" s="91"/>
      <c r="AG1844" s="74" t="s">
        <v>995</v>
      </c>
      <c r="AH1844" s="174">
        <v>0.9</v>
      </c>
      <c r="AI1844" s="447">
        <v>1</v>
      </c>
      <c r="AJ1844" s="81">
        <v>12</v>
      </c>
      <c r="AK1844" s="91"/>
      <c r="AL1844" s="91"/>
      <c r="AM1844" s="91"/>
      <c r="AN1844" s="91"/>
      <c r="AO1844" s="91"/>
      <c r="AP1844" s="91"/>
      <c r="AQ1844" s="91"/>
      <c r="AR1844" s="91"/>
      <c r="AS1844" s="91"/>
      <c r="AT1844" s="91"/>
      <c r="AU1844" s="91"/>
      <c r="AV1844" s="91"/>
      <c r="AW1844" s="67"/>
      <c r="AX1844" s="160"/>
      <c r="AY1844" s="160"/>
      <c r="AZ1844" s="160"/>
      <c r="BA1844" s="160"/>
      <c r="BB1844" s="160"/>
      <c r="BC1844" s="160"/>
      <c r="BD1844" s="160"/>
      <c r="BE1844" s="160"/>
      <c r="BF1844" s="160"/>
      <c r="BG1844" s="160"/>
      <c r="BH1844" s="160"/>
      <c r="BI1844" s="106"/>
      <c r="BJ1844" s="106"/>
      <c r="BK1844" s="106"/>
      <c r="BL1844" s="106"/>
      <c r="BM1844" s="106"/>
      <c r="BN1844" s="106"/>
      <c r="BO1844" s="106"/>
    </row>
    <row r="1845" spans="25:67" hidden="1" x14ac:dyDescent="0.25">
      <c r="Y1845" s="91"/>
      <c r="Z1845" s="439">
        <v>0.3</v>
      </c>
      <c r="AA1845" s="85">
        <v>4</v>
      </c>
      <c r="AB1845" s="91"/>
      <c r="AC1845" s="86">
        <v>0.8</v>
      </c>
      <c r="AD1845" s="85">
        <v>4</v>
      </c>
      <c r="AE1845" s="91"/>
      <c r="AF1845" s="91"/>
      <c r="AG1845" s="91"/>
      <c r="AH1845" s="91"/>
      <c r="AI1845" s="91"/>
      <c r="AJ1845" s="91"/>
      <c r="AK1845" s="91"/>
      <c r="AL1845" s="91"/>
      <c r="AM1845" s="91"/>
      <c r="AN1845" s="91"/>
      <c r="AO1845" s="91"/>
      <c r="AP1845" s="91"/>
      <c r="AQ1845" s="91"/>
      <c r="AR1845" s="91"/>
      <c r="AS1845" s="91"/>
      <c r="AT1845" s="91"/>
      <c r="AU1845" s="91"/>
      <c r="AV1845" s="91"/>
      <c r="AW1845" s="67"/>
      <c r="AX1845" s="160"/>
      <c r="AY1845" s="160"/>
      <c r="AZ1845" s="160"/>
      <c r="BA1845" s="160"/>
      <c r="BB1845" s="160"/>
      <c r="BC1845" s="160"/>
      <c r="BD1845" s="160"/>
      <c r="BE1845" s="160"/>
      <c r="BF1845" s="160"/>
      <c r="BG1845" s="160"/>
      <c r="BH1845" s="160"/>
      <c r="BI1845" s="106"/>
      <c r="BJ1845" s="106"/>
      <c r="BK1845" s="106"/>
      <c r="BL1845" s="106"/>
      <c r="BM1845" s="106"/>
      <c r="BN1845" s="106"/>
      <c r="BO1845" s="106"/>
    </row>
    <row r="1846" spans="25:67" hidden="1" x14ac:dyDescent="0.25">
      <c r="Y1846" s="91"/>
      <c r="Z1846" s="452">
        <v>0.375</v>
      </c>
      <c r="AA1846" s="85">
        <v>5</v>
      </c>
      <c r="AB1846" s="91"/>
      <c r="AC1846" s="74" t="s">
        <v>996</v>
      </c>
      <c r="AD1846" s="81">
        <v>5</v>
      </c>
      <c r="AE1846" s="91"/>
      <c r="AF1846" s="91"/>
      <c r="AG1846" s="91"/>
      <c r="AH1846" s="91"/>
      <c r="AI1846" s="91"/>
      <c r="AJ1846" s="91"/>
      <c r="AK1846" s="91"/>
      <c r="AL1846" s="91"/>
      <c r="AM1846" s="91"/>
      <c r="AN1846" s="91"/>
      <c r="AO1846" s="91"/>
      <c r="AP1846" s="91"/>
      <c r="AQ1846" s="91"/>
      <c r="AR1846" s="91"/>
      <c r="AS1846" s="91"/>
      <c r="AT1846" s="91"/>
      <c r="AU1846" s="91"/>
      <c r="AV1846" s="91"/>
      <c r="AW1846" s="67"/>
      <c r="AX1846" s="160"/>
      <c r="AY1846" s="160"/>
      <c r="AZ1846" s="160"/>
      <c r="BA1846" s="160"/>
      <c r="BB1846" s="160"/>
      <c r="BC1846" s="160"/>
      <c r="BD1846" s="160"/>
      <c r="BE1846" s="160"/>
      <c r="BF1846" s="160"/>
      <c r="BG1846" s="160"/>
      <c r="BH1846" s="160"/>
      <c r="BI1846" s="106"/>
      <c r="BJ1846" s="106"/>
      <c r="BK1846" s="106"/>
      <c r="BL1846" s="106"/>
      <c r="BM1846" s="106"/>
      <c r="BN1846" s="106"/>
      <c r="BO1846" s="106"/>
    </row>
    <row r="1847" spans="25:67" hidden="1" x14ac:dyDescent="0.25">
      <c r="Y1847" s="91"/>
      <c r="Z1847" s="439">
        <v>0.45</v>
      </c>
      <c r="AA1847" s="85">
        <v>6</v>
      </c>
      <c r="AB1847" s="91"/>
      <c r="AC1847" s="91"/>
      <c r="AD1847" s="91"/>
      <c r="AE1847" s="445" t="s">
        <v>997</v>
      </c>
      <c r="AF1847" s="445"/>
      <c r="AG1847" s="91"/>
      <c r="AH1847" s="91"/>
      <c r="AI1847" s="91"/>
      <c r="AJ1847" s="91"/>
      <c r="AK1847" s="91"/>
      <c r="AL1847" s="91"/>
      <c r="AM1847" s="91"/>
      <c r="AN1847" s="91"/>
      <c r="AO1847" s="91"/>
      <c r="AP1847" s="91"/>
      <c r="AQ1847" s="91"/>
      <c r="AR1847" s="91"/>
      <c r="AS1847" s="91"/>
      <c r="AT1847" s="91"/>
      <c r="AU1847" s="91"/>
      <c r="AV1847" s="91"/>
      <c r="AW1847" s="67"/>
      <c r="AX1847" s="160"/>
      <c r="AY1847" s="160"/>
      <c r="AZ1847" s="160"/>
      <c r="BA1847" s="160"/>
      <c r="BB1847" s="160"/>
      <c r="BC1847" s="160"/>
      <c r="BD1847" s="160"/>
      <c r="BE1847" s="160"/>
      <c r="BF1847" s="160"/>
      <c r="BG1847" s="160"/>
      <c r="BH1847" s="160"/>
      <c r="BI1847" s="106"/>
      <c r="BJ1847" s="106"/>
      <c r="BK1847" s="106"/>
      <c r="BL1847" s="106"/>
      <c r="BM1847" s="106"/>
      <c r="BN1847" s="106"/>
      <c r="BO1847" s="106"/>
    </row>
    <row r="1848" spans="25:67" hidden="1" x14ac:dyDescent="0.25">
      <c r="Y1848" s="91"/>
      <c r="Z1848" s="452">
        <v>0.52500000000000002</v>
      </c>
      <c r="AA1848" s="85">
        <v>7</v>
      </c>
      <c r="AB1848" s="91"/>
      <c r="AC1848" s="91"/>
      <c r="AD1848" s="91"/>
      <c r="AE1848" s="446" t="s">
        <v>998</v>
      </c>
      <c r="AF1848" s="446"/>
      <c r="AG1848" s="446" t="s">
        <v>999</v>
      </c>
      <c r="AH1848" s="453" t="s">
        <v>969</v>
      </c>
      <c r="AI1848" s="453" t="s">
        <v>1000</v>
      </c>
      <c r="AJ1848" s="446" t="s">
        <v>971</v>
      </c>
      <c r="AK1848" s="446"/>
      <c r="AL1848" s="91"/>
      <c r="AM1848" s="91"/>
      <c r="AN1848" s="91"/>
      <c r="AO1848" s="91"/>
      <c r="AP1848" s="91"/>
      <c r="AQ1848" s="91"/>
      <c r="AR1848" s="91"/>
      <c r="AS1848" s="91"/>
      <c r="AT1848" s="91"/>
      <c r="AU1848" s="91"/>
      <c r="AV1848" s="91"/>
      <c r="AW1848" s="67"/>
      <c r="AX1848" s="160"/>
      <c r="AY1848" s="160"/>
      <c r="AZ1848" s="160"/>
      <c r="BA1848" s="160"/>
      <c r="BB1848" s="160"/>
      <c r="BC1848" s="160"/>
      <c r="BD1848" s="160"/>
      <c r="BE1848" s="160"/>
      <c r="BF1848" s="160"/>
      <c r="BG1848" s="160"/>
      <c r="BH1848" s="160"/>
      <c r="BI1848" s="106"/>
      <c r="BJ1848" s="106"/>
      <c r="BK1848" s="106"/>
      <c r="BL1848" s="106"/>
      <c r="BM1848" s="106"/>
      <c r="BN1848" s="106"/>
      <c r="BO1848" s="106"/>
    </row>
    <row r="1849" spans="25:67" hidden="1" x14ac:dyDescent="0.25">
      <c r="Y1849" s="91"/>
      <c r="Z1849" s="439">
        <v>0.6</v>
      </c>
      <c r="AA1849" s="85">
        <v>8</v>
      </c>
      <c r="AB1849" s="91"/>
      <c r="AC1849" s="91"/>
      <c r="AD1849" s="66" t="s">
        <v>940</v>
      </c>
      <c r="AE1849" s="81">
        <v>7.54</v>
      </c>
      <c r="AF1849" s="81"/>
      <c r="AG1849" s="81">
        <v>32.29</v>
      </c>
      <c r="AH1849" s="81">
        <v>2.75</v>
      </c>
      <c r="AI1849" s="81" t="s">
        <v>974</v>
      </c>
      <c r="AJ1849" s="81">
        <v>3.69</v>
      </c>
      <c r="AK1849" s="91"/>
      <c r="AL1849" s="91"/>
      <c r="AM1849" s="91"/>
      <c r="AN1849" s="91"/>
      <c r="AO1849" s="91"/>
      <c r="AP1849" s="91"/>
      <c r="AQ1849" s="91"/>
      <c r="AR1849" s="91"/>
      <c r="AS1849" s="91"/>
      <c r="AT1849" s="91"/>
      <c r="AU1849" s="91"/>
      <c r="AV1849" s="91"/>
      <c r="AW1849" s="67"/>
      <c r="AX1849" s="160"/>
      <c r="AY1849" s="160"/>
      <c r="AZ1849" s="160"/>
      <c r="BA1849" s="160"/>
      <c r="BB1849" s="160"/>
      <c r="BC1849" s="160"/>
      <c r="BD1849" s="160"/>
      <c r="BE1849" s="160"/>
      <c r="BF1849" s="160"/>
      <c r="BG1849" s="160"/>
      <c r="BH1849" s="160"/>
      <c r="BI1849" s="106"/>
      <c r="BJ1849" s="106"/>
      <c r="BK1849" s="106"/>
      <c r="BL1849" s="106"/>
      <c r="BM1849" s="106"/>
      <c r="BN1849" s="106"/>
      <c r="BO1849" s="106"/>
    </row>
    <row r="1850" spans="25:67" hidden="1" x14ac:dyDescent="0.25">
      <c r="Y1850" s="91"/>
      <c r="Z1850" s="452">
        <v>0.67500000000000004</v>
      </c>
      <c r="AA1850" s="85">
        <v>9</v>
      </c>
      <c r="AB1850" s="91"/>
      <c r="AC1850" s="78"/>
      <c r="AD1850" s="101" t="s">
        <v>943</v>
      </c>
      <c r="AE1850" s="88">
        <v>21.57</v>
      </c>
      <c r="AF1850" s="88"/>
      <c r="AG1850" s="81">
        <v>21.57</v>
      </c>
      <c r="AH1850" s="81">
        <v>8.01</v>
      </c>
      <c r="AI1850" s="81" t="s">
        <v>974</v>
      </c>
      <c r="AJ1850" s="81">
        <v>9.9700000000000006</v>
      </c>
      <c r="AK1850" s="91"/>
      <c r="AL1850" s="91"/>
      <c r="AM1850" s="91"/>
      <c r="AN1850" s="91"/>
      <c r="AO1850" s="91"/>
      <c r="AP1850" s="91"/>
      <c r="AQ1850" s="91"/>
      <c r="AR1850" s="91"/>
      <c r="AS1850" s="91"/>
      <c r="AT1850" s="91"/>
      <c r="AU1850" s="91"/>
      <c r="AV1850" s="91"/>
      <c r="AW1850" s="67"/>
      <c r="AX1850" s="160"/>
      <c r="AY1850" s="160"/>
      <c r="AZ1850" s="160"/>
      <c r="BA1850" s="160"/>
      <c r="BB1850" s="160"/>
      <c r="BC1850" s="160"/>
      <c r="BD1850" s="160"/>
      <c r="BE1850" s="160"/>
      <c r="BF1850" s="160"/>
      <c r="BG1850" s="160"/>
      <c r="BH1850" s="160"/>
      <c r="BI1850" s="106"/>
      <c r="BJ1850" s="106"/>
      <c r="BK1850" s="106"/>
      <c r="BL1850" s="106"/>
      <c r="BM1850" s="106"/>
      <c r="BN1850" s="106"/>
      <c r="BO1850" s="106"/>
    </row>
    <row r="1851" spans="25:67" hidden="1" x14ac:dyDescent="0.25">
      <c r="Y1851" s="91"/>
      <c r="Z1851" s="439">
        <v>0.75</v>
      </c>
      <c r="AA1851" s="85">
        <v>10</v>
      </c>
      <c r="AB1851" s="91"/>
      <c r="AC1851" s="79"/>
      <c r="AD1851" s="101" t="s">
        <v>946</v>
      </c>
      <c r="AE1851" s="88">
        <v>3.64</v>
      </c>
      <c r="AF1851" s="88"/>
      <c r="AG1851" s="81">
        <v>3.64</v>
      </c>
      <c r="AH1851" s="81">
        <v>4.55</v>
      </c>
      <c r="AI1851" s="81">
        <v>2.2599999999999998</v>
      </c>
      <c r="AJ1851" s="81">
        <v>5.39</v>
      </c>
      <c r="AK1851" s="91"/>
      <c r="AL1851" s="91"/>
      <c r="AM1851" s="91"/>
      <c r="AN1851" s="91"/>
      <c r="AO1851" s="91"/>
      <c r="AP1851" s="91"/>
      <c r="AQ1851" s="91"/>
      <c r="AR1851" s="91"/>
      <c r="AS1851" s="91"/>
      <c r="AT1851" s="91"/>
      <c r="AU1851" s="91"/>
      <c r="AV1851" s="91"/>
      <c r="AW1851" s="67"/>
      <c r="AX1851" s="160"/>
      <c r="AY1851" s="160"/>
      <c r="AZ1851" s="160"/>
      <c r="BA1851" s="160"/>
      <c r="BB1851" s="160"/>
      <c r="BC1851" s="160"/>
      <c r="BD1851" s="160"/>
      <c r="BE1851" s="160"/>
      <c r="BF1851" s="160"/>
      <c r="BG1851" s="160"/>
      <c r="BH1851" s="160"/>
      <c r="BI1851" s="106"/>
      <c r="BJ1851" s="106"/>
      <c r="BK1851" s="106"/>
      <c r="BL1851" s="106"/>
      <c r="BM1851" s="106"/>
      <c r="BN1851" s="106"/>
      <c r="BO1851" s="106"/>
    </row>
    <row r="1852" spans="25:67" hidden="1" x14ac:dyDescent="0.25">
      <c r="Y1852" s="91"/>
      <c r="Z1852" s="452">
        <v>0.82499999999999996</v>
      </c>
      <c r="AA1852" s="85">
        <v>11</v>
      </c>
      <c r="AB1852" s="91"/>
      <c r="AC1852" s="79"/>
      <c r="AD1852" s="79"/>
      <c r="AE1852" s="79"/>
      <c r="AF1852" s="79"/>
      <c r="AG1852" s="91"/>
      <c r="AH1852" s="67"/>
      <c r="AI1852" s="67"/>
      <c r="AJ1852" s="67"/>
      <c r="AK1852" s="91"/>
      <c r="AL1852" s="91"/>
      <c r="AM1852" s="91"/>
      <c r="AN1852" s="91"/>
      <c r="AO1852" s="91"/>
      <c r="AP1852" s="91"/>
      <c r="AQ1852" s="91"/>
      <c r="AR1852" s="91"/>
      <c r="AS1852" s="91"/>
      <c r="AT1852" s="91"/>
      <c r="AU1852" s="91"/>
      <c r="AV1852" s="91"/>
      <c r="AW1852" s="67"/>
      <c r="AX1852" s="160"/>
      <c r="AY1852" s="160"/>
      <c r="AZ1852" s="160"/>
      <c r="BA1852" s="160"/>
      <c r="BB1852" s="160"/>
      <c r="BC1852" s="160"/>
      <c r="BD1852" s="160"/>
      <c r="BE1852" s="160"/>
      <c r="BF1852" s="160"/>
      <c r="BG1852" s="160"/>
      <c r="BH1852" s="160"/>
      <c r="BI1852" s="106"/>
      <c r="BJ1852" s="106"/>
      <c r="BK1852" s="106"/>
      <c r="BL1852" s="106"/>
      <c r="BM1852" s="106"/>
      <c r="BN1852" s="106"/>
      <c r="BO1852" s="106"/>
    </row>
    <row r="1853" spans="25:67" hidden="1" x14ac:dyDescent="0.25">
      <c r="Y1853" s="91"/>
      <c r="Z1853" s="439">
        <v>0.9</v>
      </c>
      <c r="AA1853" s="85">
        <v>12</v>
      </c>
      <c r="AB1853" s="91"/>
      <c r="AC1853" s="79"/>
      <c r="AD1853" s="63"/>
      <c r="AE1853" s="63"/>
      <c r="AF1853" s="63"/>
      <c r="AG1853" s="91"/>
      <c r="AH1853" s="160"/>
      <c r="AI1853" s="67"/>
      <c r="AJ1853" s="67"/>
      <c r="AK1853" s="91"/>
      <c r="AL1853" s="91"/>
      <c r="AM1853" s="91"/>
      <c r="AN1853" s="91"/>
      <c r="AO1853" s="91"/>
      <c r="AP1853" s="91"/>
      <c r="AQ1853" s="91"/>
      <c r="AR1853" s="91"/>
      <c r="AS1853" s="91"/>
      <c r="AT1853" s="91"/>
      <c r="AU1853" s="91"/>
      <c r="AV1853" s="91"/>
      <c r="AW1853" s="91"/>
      <c r="AX1853" s="91"/>
      <c r="AY1853" s="91"/>
      <c r="AZ1853" s="91"/>
      <c r="BA1853" s="91"/>
      <c r="BB1853" s="91"/>
      <c r="BC1853" s="91"/>
      <c r="BD1853" s="91"/>
      <c r="BE1853" s="91"/>
      <c r="BF1853" s="91"/>
      <c r="BG1853" s="91"/>
      <c r="BH1853" s="91"/>
      <c r="BI1853" s="91"/>
      <c r="BJ1853" s="91"/>
      <c r="BK1853" s="91"/>
      <c r="BL1853" s="91"/>
      <c r="BM1853" s="91"/>
      <c r="BN1853" s="91"/>
      <c r="BO1853" s="91"/>
    </row>
    <row r="1854" spans="25:67" hidden="1" x14ac:dyDescent="0.25">
      <c r="Y1854" s="91"/>
      <c r="Z1854" s="91"/>
      <c r="AA1854" s="91"/>
      <c r="AB1854" s="91"/>
      <c r="AC1854" s="91"/>
      <c r="AD1854" s="91"/>
      <c r="AE1854" s="91"/>
      <c r="AF1854" s="91"/>
      <c r="AG1854" s="91"/>
      <c r="AH1854" s="160"/>
      <c r="AI1854" s="423" t="s">
        <v>1001</v>
      </c>
      <c r="AJ1854" s="69"/>
      <c r="AK1854" s="69"/>
      <c r="AL1854" s="69"/>
      <c r="AM1854" s="91"/>
      <c r="AN1854" s="91"/>
      <c r="AO1854" s="91"/>
      <c r="AP1854" s="91"/>
      <c r="AQ1854" s="91"/>
      <c r="AR1854" s="91"/>
      <c r="AS1854" s="91"/>
      <c r="AT1854" s="91"/>
      <c r="AU1854" s="91"/>
      <c r="AV1854" s="91"/>
      <c r="AW1854" s="91"/>
      <c r="AX1854" s="91"/>
      <c r="AY1854" s="91"/>
      <c r="AZ1854" s="91"/>
      <c r="BA1854" s="91"/>
      <c r="BB1854" s="91"/>
      <c r="BC1854" s="91"/>
      <c r="BD1854" s="91"/>
      <c r="BE1854" s="91"/>
      <c r="BF1854" s="91"/>
      <c r="BG1854" s="91"/>
      <c r="BH1854" s="91"/>
      <c r="BI1854" s="91"/>
      <c r="BJ1854" s="91"/>
      <c r="BK1854" s="91"/>
      <c r="BL1854" s="91"/>
      <c r="BM1854" s="91"/>
      <c r="BN1854" s="91"/>
      <c r="BO1854" s="91"/>
    </row>
    <row r="1855" spans="25:67" hidden="1" x14ac:dyDescent="0.25">
      <c r="Y1855" s="91"/>
      <c r="Z1855" s="423" t="s">
        <v>1002</v>
      </c>
      <c r="AA1855" s="91"/>
      <c r="AB1855" s="91"/>
      <c r="AC1855" s="91"/>
      <c r="AD1855" s="91"/>
      <c r="AE1855" s="91"/>
      <c r="AF1855" s="91"/>
      <c r="AG1855" s="91"/>
      <c r="AH1855" s="160"/>
      <c r="AI1855" s="69"/>
      <c r="AJ1855" s="69"/>
      <c r="AK1855" s="69"/>
      <c r="AL1855" s="69"/>
      <c r="AM1855" s="91"/>
      <c r="AN1855" s="91"/>
      <c r="AO1855" s="91"/>
      <c r="AP1855" s="91"/>
      <c r="AQ1855" s="91"/>
      <c r="AR1855" s="91"/>
      <c r="AS1855" s="91"/>
      <c r="AT1855" s="91"/>
      <c r="AU1855" s="91"/>
      <c r="AV1855" s="91"/>
      <c r="AW1855" s="91"/>
      <c r="AX1855" s="91"/>
      <c r="AY1855" s="91"/>
      <c r="AZ1855" s="91"/>
      <c r="BA1855" s="91"/>
      <c r="BB1855" s="91"/>
      <c r="BC1855" s="91"/>
      <c r="BD1855" s="91"/>
      <c r="BE1855" s="91"/>
      <c r="BF1855" s="91"/>
      <c r="BG1855" s="91"/>
      <c r="BH1855" s="91"/>
      <c r="BI1855" s="91"/>
      <c r="BJ1855" s="91"/>
      <c r="BK1855" s="91"/>
      <c r="BL1855" s="91"/>
      <c r="BM1855" s="91"/>
      <c r="BN1855" s="91"/>
      <c r="BO1855" s="91"/>
    </row>
    <row r="1856" spans="25:67" hidden="1" x14ac:dyDescent="0.25">
      <c r="Y1856" s="91"/>
      <c r="Z1856" s="63"/>
      <c r="AA1856" s="81">
        <v>0.02</v>
      </c>
      <c r="AB1856" s="91"/>
      <c r="AC1856" s="91"/>
      <c r="AD1856" s="91"/>
      <c r="AE1856" s="91"/>
      <c r="AF1856" s="91"/>
      <c r="AG1856" s="91"/>
      <c r="AH1856" s="160"/>
      <c r="AI1856" s="69"/>
      <c r="AJ1856" s="69"/>
      <c r="AK1856" s="68">
        <v>0.02</v>
      </c>
      <c r="AL1856" s="65"/>
      <c r="AM1856" s="91"/>
      <c r="AN1856" s="91"/>
      <c r="AO1856" s="91"/>
      <c r="AP1856" s="91"/>
      <c r="AQ1856" s="91"/>
      <c r="AR1856" s="91"/>
      <c r="AS1856" s="91"/>
      <c r="AT1856" s="91"/>
      <c r="AU1856" s="91"/>
      <c r="AV1856" s="91"/>
      <c r="AW1856" s="91"/>
      <c r="AX1856" s="91"/>
      <c r="AY1856" s="91"/>
      <c r="AZ1856" s="91"/>
      <c r="BA1856" s="91"/>
      <c r="BB1856" s="91"/>
      <c r="BC1856" s="91"/>
      <c r="BD1856" s="91"/>
      <c r="BE1856" s="91"/>
      <c r="BF1856" s="91"/>
      <c r="BG1856" s="91"/>
      <c r="BH1856" s="91"/>
      <c r="BI1856" s="91"/>
      <c r="BJ1856" s="91"/>
      <c r="BK1856" s="91"/>
      <c r="BL1856" s="91"/>
      <c r="BM1856" s="91"/>
      <c r="BN1856" s="91"/>
      <c r="BO1856" s="91"/>
    </row>
    <row r="1857" spans="25:67" hidden="1" x14ac:dyDescent="0.25">
      <c r="Y1857" s="91"/>
      <c r="Z1857" s="63"/>
      <c r="AA1857" s="91"/>
      <c r="AB1857" s="91"/>
      <c r="AC1857" s="91"/>
      <c r="AD1857" s="91"/>
      <c r="AE1857" s="91"/>
      <c r="AF1857" s="91"/>
      <c r="AG1857" s="91"/>
      <c r="AH1857" s="160"/>
      <c r="AI1857" s="69"/>
      <c r="AJ1857" s="69"/>
      <c r="AK1857" s="69"/>
      <c r="AL1857" s="69"/>
      <c r="AM1857" s="91"/>
      <c r="AN1857" s="91"/>
      <c r="AO1857" s="91"/>
      <c r="AP1857" s="91"/>
      <c r="AQ1857" s="91"/>
      <c r="AR1857" s="91"/>
      <c r="AS1857" s="91"/>
      <c r="AT1857" s="91"/>
      <c r="AU1857" s="91"/>
      <c r="AV1857" s="91"/>
      <c r="AW1857" s="91"/>
      <c r="AX1857" s="91"/>
      <c r="AY1857" s="91"/>
      <c r="AZ1857" s="91"/>
      <c r="BA1857" s="91"/>
      <c r="BB1857" s="91"/>
      <c r="BC1857" s="91"/>
      <c r="BD1857" s="91"/>
      <c r="BE1857" s="91"/>
      <c r="BF1857" s="91"/>
      <c r="BG1857" s="91"/>
      <c r="BH1857" s="91"/>
      <c r="BI1857" s="91"/>
      <c r="BJ1857" s="91"/>
      <c r="BK1857" s="91"/>
      <c r="BL1857" s="91"/>
      <c r="BM1857" s="91"/>
      <c r="BN1857" s="91"/>
      <c r="BO1857" s="91"/>
    </row>
    <row r="1858" spans="25:67" hidden="1" x14ac:dyDescent="0.25">
      <c r="Y1858" s="91"/>
      <c r="Z1858" s="443" t="s">
        <v>1003</v>
      </c>
      <c r="AA1858" s="442"/>
      <c r="AB1858" s="441" t="s">
        <v>1004</v>
      </c>
      <c r="AC1858" s="442"/>
      <c r="AD1858" s="441" t="s">
        <v>1005</v>
      </c>
      <c r="AE1858" s="442"/>
      <c r="AF1858" s="91"/>
      <c r="AG1858" s="91"/>
      <c r="AH1858" s="160"/>
      <c r="AI1858" s="68" t="s">
        <v>1006</v>
      </c>
      <c r="AJ1858" s="68"/>
      <c r="AK1858" s="68" t="s">
        <v>1007</v>
      </c>
      <c r="AL1858" s="88"/>
      <c r="AM1858" s="91" t="s">
        <v>1008</v>
      </c>
      <c r="AN1858" s="91"/>
      <c r="AO1858" s="91"/>
      <c r="AP1858" s="91"/>
      <c r="AQ1858" s="91"/>
      <c r="AR1858" s="91"/>
      <c r="AS1858" s="91"/>
      <c r="AT1858" s="91"/>
      <c r="AU1858" s="91"/>
      <c r="AV1858" s="91"/>
      <c r="AW1858" s="91"/>
      <c r="AX1858" s="91"/>
      <c r="AY1858" s="91"/>
      <c r="AZ1858" s="91"/>
      <c r="BA1858" s="91"/>
      <c r="BB1858" s="91"/>
      <c r="BC1858" s="91"/>
      <c r="BD1858" s="91"/>
      <c r="BE1858" s="91"/>
      <c r="BF1858" s="91"/>
      <c r="BG1858" s="91"/>
      <c r="BH1858" s="91"/>
      <c r="BI1858" s="91"/>
      <c r="BJ1858" s="91"/>
      <c r="BK1858" s="91"/>
      <c r="BL1858" s="91"/>
      <c r="BM1858" s="91"/>
      <c r="BN1858" s="91"/>
      <c r="BO1858" s="91"/>
    </row>
    <row r="1859" spans="25:67" hidden="1" x14ac:dyDescent="0.25">
      <c r="Y1859" s="91"/>
      <c r="Z1859" s="88" t="s">
        <v>1009</v>
      </c>
      <c r="AA1859" s="81" t="s">
        <v>1010</v>
      </c>
      <c r="AB1859" s="81" t="s">
        <v>1009</v>
      </c>
      <c r="AC1859" s="81" t="s">
        <v>1010</v>
      </c>
      <c r="AD1859" s="81" t="s">
        <v>1009</v>
      </c>
      <c r="AE1859" s="81" t="s">
        <v>1010</v>
      </c>
      <c r="AF1859" s="67"/>
      <c r="AG1859" s="69" t="s">
        <v>1011</v>
      </c>
      <c r="AH1859" s="160"/>
      <c r="AI1859" s="531" t="s">
        <v>1009</v>
      </c>
      <c r="AJ1859" s="531" t="s">
        <v>1010</v>
      </c>
      <c r="AK1859" s="531" t="s">
        <v>1009</v>
      </c>
      <c r="AL1859" s="531" t="s">
        <v>1010</v>
      </c>
      <c r="AM1859" s="69" t="s">
        <v>1011</v>
      </c>
      <c r="AN1859" s="91"/>
      <c r="AO1859" s="91"/>
      <c r="AP1859" s="91"/>
      <c r="AQ1859" s="91"/>
      <c r="AR1859" s="91"/>
      <c r="AS1859" s="91"/>
      <c r="AT1859" s="91"/>
      <c r="AU1859" s="91"/>
      <c r="AV1859" s="91"/>
      <c r="AW1859" s="91"/>
      <c r="AX1859" s="91"/>
      <c r="AY1859" s="91"/>
      <c r="AZ1859" s="91"/>
      <c r="BA1859" s="91"/>
      <c r="BB1859" s="91"/>
      <c r="BC1859" s="91"/>
      <c r="BD1859" s="91"/>
      <c r="BE1859" s="91"/>
      <c r="BF1859" s="91"/>
      <c r="BG1859" s="91"/>
      <c r="BH1859" s="91"/>
      <c r="BI1859" s="91"/>
      <c r="BJ1859" s="91"/>
      <c r="BK1859" s="91"/>
      <c r="BL1859" s="91"/>
      <c r="BM1859" s="91"/>
      <c r="BN1859" s="91"/>
      <c r="BO1859" s="91"/>
    </row>
    <row r="1860" spans="25:67" hidden="1" x14ac:dyDescent="0.25">
      <c r="Y1860" s="91"/>
      <c r="Z1860" s="81">
        <v>0</v>
      </c>
      <c r="AA1860" s="81">
        <v>1</v>
      </c>
      <c r="AB1860" s="81">
        <v>0</v>
      </c>
      <c r="AC1860" s="81">
        <v>1</v>
      </c>
      <c r="AD1860" s="81">
        <v>0</v>
      </c>
      <c r="AE1860" s="81">
        <v>1</v>
      </c>
      <c r="AF1860" s="67"/>
      <c r="AG1860" s="69">
        <f t="shared" ref="AG1860:AG1891" si="2">ROW(1860:1860)</f>
        <v>1860</v>
      </c>
      <c r="AH1860" s="160"/>
      <c r="AI1860" s="542">
        <v>0</v>
      </c>
      <c r="AJ1860" s="541">
        <v>1</v>
      </c>
      <c r="AK1860" s="543">
        <v>0</v>
      </c>
      <c r="AL1860" s="541">
        <v>1</v>
      </c>
      <c r="AM1860" s="69">
        <f t="shared" ref="AM1860:AM1891" si="3">ROW(1860:1860)</f>
        <v>1860</v>
      </c>
      <c r="AN1860" s="91"/>
      <c r="AO1860" s="91"/>
      <c r="AP1860" s="91"/>
      <c r="AQ1860" s="91"/>
      <c r="AR1860" s="91"/>
      <c r="AS1860" s="91"/>
      <c r="AT1860" s="91"/>
      <c r="AU1860" s="91"/>
      <c r="AV1860" s="91"/>
      <c r="AW1860" s="91"/>
      <c r="AX1860" s="91"/>
      <c r="AY1860" s="91"/>
      <c r="AZ1860" s="91"/>
      <c r="BA1860" s="91"/>
      <c r="BB1860" s="91"/>
      <c r="BC1860" s="91"/>
      <c r="BD1860" s="91"/>
      <c r="BE1860" s="91"/>
      <c r="BF1860" s="91"/>
      <c r="BG1860" s="91"/>
      <c r="BH1860" s="91"/>
      <c r="BI1860" s="91"/>
      <c r="BJ1860" s="91"/>
      <c r="BK1860" s="91"/>
      <c r="BL1860" s="91"/>
      <c r="BM1860" s="91"/>
      <c r="BN1860" s="91"/>
      <c r="BO1860" s="91"/>
    </row>
    <row r="1861" spans="25:67" hidden="1" x14ac:dyDescent="0.25">
      <c r="Y1861" s="91"/>
      <c r="Z1861" s="81">
        <v>0.01</v>
      </c>
      <c r="AA1861" s="81">
        <v>0.99997408566240398</v>
      </c>
      <c r="AB1861" s="81">
        <v>0.01</v>
      </c>
      <c r="AC1861" s="81">
        <v>0.99888652447516713</v>
      </c>
      <c r="AD1861" s="81">
        <v>0.01</v>
      </c>
      <c r="AE1861" s="81">
        <v>0.99990591367735282</v>
      </c>
      <c r="AF1861" s="67"/>
      <c r="AG1861" s="69">
        <f t="shared" si="2"/>
        <v>1861</v>
      </c>
      <c r="AH1861" s="160"/>
      <c r="AI1861" s="542">
        <v>0.01</v>
      </c>
      <c r="AJ1861" s="541">
        <v>0.99988163030390287</v>
      </c>
      <c r="AK1861" s="543">
        <v>0.01</v>
      </c>
      <c r="AL1861" s="541">
        <v>0.99996511310168512</v>
      </c>
      <c r="AM1861" s="69">
        <f t="shared" si="3"/>
        <v>1861</v>
      </c>
      <c r="AN1861" s="91"/>
      <c r="AO1861" s="91"/>
      <c r="AP1861" s="91"/>
      <c r="AQ1861" s="91"/>
      <c r="AR1861" s="91"/>
      <c r="AS1861" s="91"/>
      <c r="AT1861" s="91"/>
      <c r="AU1861" s="91"/>
      <c r="AV1861" s="91"/>
      <c r="AW1861" s="91"/>
      <c r="AX1861" s="91"/>
      <c r="AY1861" s="91"/>
      <c r="AZ1861" s="91"/>
      <c r="BA1861" s="91"/>
      <c r="BB1861" s="91"/>
      <c r="BC1861" s="91"/>
      <c r="BD1861" s="91"/>
      <c r="BE1861" s="91"/>
      <c r="BF1861" s="91"/>
      <c r="BG1861" s="91"/>
      <c r="BH1861" s="91"/>
      <c r="BI1861" s="91"/>
      <c r="BJ1861" s="91"/>
      <c r="BK1861" s="91"/>
      <c r="BL1861" s="91"/>
      <c r="BM1861" s="91"/>
      <c r="BN1861" s="91"/>
      <c r="BO1861" s="91"/>
    </row>
    <row r="1862" spans="25:67" hidden="1" x14ac:dyDescent="0.25">
      <c r="Y1862" s="91"/>
      <c r="Z1862" s="81">
        <v>0.02</v>
      </c>
      <c r="AA1862" s="81">
        <v>0.99987298029134641</v>
      </c>
      <c r="AB1862" s="81">
        <v>0.02</v>
      </c>
      <c r="AC1862" s="81">
        <v>0.99690115733261009</v>
      </c>
      <c r="AD1862" s="81">
        <v>0.02</v>
      </c>
      <c r="AE1862" s="81">
        <v>0.99962018584554546</v>
      </c>
      <c r="AF1862" s="67"/>
      <c r="AG1862" s="69">
        <f t="shared" si="2"/>
        <v>1862</v>
      </c>
      <c r="AH1862" s="160"/>
      <c r="AI1862" s="542">
        <v>0.02</v>
      </c>
      <c r="AJ1862" s="541">
        <v>0.9995383883877742</v>
      </c>
      <c r="AK1862" s="543">
        <v>0.02</v>
      </c>
      <c r="AL1862" s="541">
        <v>0.99983648465134978</v>
      </c>
      <c r="AM1862" s="69">
        <f t="shared" si="3"/>
        <v>1862</v>
      </c>
      <c r="AN1862" s="91"/>
      <c r="AO1862" s="91"/>
      <c r="AP1862" s="91"/>
      <c r="AQ1862" s="91"/>
      <c r="AR1862" s="91"/>
      <c r="AS1862" s="91"/>
      <c r="AT1862" s="91"/>
      <c r="AU1862" s="91"/>
      <c r="AV1862" s="91"/>
      <c r="AW1862" s="91"/>
      <c r="AX1862" s="91"/>
      <c r="AY1862" s="91"/>
      <c r="AZ1862" s="91"/>
      <c r="BA1862" s="91"/>
      <c r="BB1862" s="91"/>
      <c r="BC1862" s="91"/>
      <c r="BD1862" s="91"/>
      <c r="BE1862" s="91"/>
      <c r="BF1862" s="91"/>
      <c r="BG1862" s="91"/>
      <c r="BH1862" s="91"/>
      <c r="BI1862" s="91"/>
      <c r="BJ1862" s="91"/>
      <c r="BK1862" s="91"/>
      <c r="BL1862" s="91"/>
      <c r="BM1862" s="91"/>
      <c r="BN1862" s="91"/>
      <c r="BO1862" s="91"/>
    </row>
    <row r="1863" spans="25:67" hidden="1" x14ac:dyDescent="0.25">
      <c r="Y1863" s="91"/>
      <c r="Z1863" s="81">
        <v>0.03</v>
      </c>
      <c r="AA1863" s="81">
        <v>0.99967812380379051</v>
      </c>
      <c r="AB1863" s="81">
        <v>0.03</v>
      </c>
      <c r="AC1863" s="81">
        <v>0.99436068458221072</v>
      </c>
      <c r="AD1863" s="81">
        <v>0.03</v>
      </c>
      <c r="AE1863" s="81">
        <v>0.99914081924611653</v>
      </c>
      <c r="AF1863" s="67"/>
      <c r="AG1863" s="69">
        <f t="shared" si="2"/>
        <v>1863</v>
      </c>
      <c r="AH1863" s="160"/>
      <c r="AI1863" s="542">
        <v>0.03</v>
      </c>
      <c r="AJ1863" s="541">
        <v>0.99897668171424903</v>
      </c>
      <c r="AK1863" s="543">
        <v>0.03</v>
      </c>
      <c r="AL1863" s="541">
        <v>0.99959634752166737</v>
      </c>
      <c r="AM1863" s="69">
        <f t="shared" si="3"/>
        <v>1863</v>
      </c>
      <c r="AN1863" s="91"/>
      <c r="AO1863" s="91"/>
      <c r="AP1863" s="91"/>
      <c r="AQ1863" s="91"/>
      <c r="AR1863" s="91"/>
      <c r="AS1863" s="91"/>
      <c r="AT1863" s="91"/>
      <c r="AU1863" s="91"/>
      <c r="AV1863" s="91"/>
      <c r="AW1863" s="91"/>
      <c r="AX1863" s="91"/>
      <c r="AY1863" s="91"/>
      <c r="AZ1863" s="91"/>
      <c r="BA1863" s="91"/>
      <c r="BB1863" s="91"/>
      <c r="BC1863" s="91"/>
      <c r="BD1863" s="91"/>
      <c r="BE1863" s="91"/>
      <c r="BF1863" s="91"/>
      <c r="BG1863" s="91"/>
      <c r="BH1863" s="91"/>
      <c r="BI1863" s="91"/>
      <c r="BJ1863" s="91"/>
      <c r="BK1863" s="91"/>
      <c r="BL1863" s="91"/>
      <c r="BM1863" s="91"/>
      <c r="BN1863" s="91"/>
      <c r="BO1863" s="91"/>
    </row>
    <row r="1864" spans="25:67" hidden="1" x14ac:dyDescent="0.25">
      <c r="Y1864" s="91"/>
      <c r="Z1864" s="81">
        <v>0.04</v>
      </c>
      <c r="AA1864" s="81">
        <v>0.9993774100408046</v>
      </c>
      <c r="AB1864" s="81">
        <v>0.04</v>
      </c>
      <c r="AC1864" s="81">
        <v>0.99137580875100217</v>
      </c>
      <c r="AD1864" s="81">
        <v>0.04</v>
      </c>
      <c r="AE1864" s="81">
        <v>0.9984667400333519</v>
      </c>
      <c r="AF1864" s="67"/>
      <c r="AG1864" s="69">
        <f t="shared" si="2"/>
        <v>1864</v>
      </c>
      <c r="AH1864" s="160"/>
      <c r="AI1864" s="542">
        <v>0.04</v>
      </c>
      <c r="AJ1864" s="541">
        <v>0.99819983249456923</v>
      </c>
      <c r="AK1864" s="543">
        <v>0.04</v>
      </c>
      <c r="AL1864" s="541">
        <v>0.99923360142243389</v>
      </c>
      <c r="AM1864" s="69">
        <f t="shared" si="3"/>
        <v>1864</v>
      </c>
      <c r="AN1864" s="91"/>
      <c r="AO1864" s="91"/>
      <c r="AP1864" s="91"/>
      <c r="AQ1864" s="91"/>
      <c r="AR1864" s="91"/>
      <c r="AS1864" s="91"/>
      <c r="AT1864" s="91"/>
      <c r="AU1864" s="91"/>
      <c r="AV1864" s="91"/>
      <c r="AW1864" s="91"/>
      <c r="AX1864" s="91"/>
      <c r="AY1864" s="91"/>
      <c r="AZ1864" s="91"/>
      <c r="BA1864" s="91"/>
      <c r="BB1864" s="91"/>
      <c r="BC1864" s="91"/>
      <c r="BD1864" s="91"/>
      <c r="BE1864" s="91"/>
      <c r="BF1864" s="91"/>
      <c r="BG1864" s="91"/>
      <c r="BH1864" s="91"/>
      <c r="BI1864" s="91"/>
      <c r="BJ1864" s="91"/>
      <c r="BK1864" s="91"/>
      <c r="BL1864" s="91"/>
      <c r="BM1864" s="91"/>
      <c r="BN1864" s="91"/>
      <c r="BO1864" s="91"/>
    </row>
    <row r="1865" spans="25:67" hidden="1" x14ac:dyDescent="0.25">
      <c r="Y1865" s="91"/>
      <c r="Z1865" s="81">
        <v>0.05</v>
      </c>
      <c r="AA1865" s="81">
        <v>0.99896142215007477</v>
      </c>
      <c r="AB1865" s="81">
        <v>0.05</v>
      </c>
      <c r="AC1865" s="81">
        <v>0.9880099364241951</v>
      </c>
      <c r="AD1865" s="81">
        <v>0.05</v>
      </c>
      <c r="AE1865" s="81">
        <v>0.99759719461653662</v>
      </c>
      <c r="AF1865" s="67"/>
      <c r="AG1865" s="69">
        <f t="shared" si="2"/>
        <v>1865</v>
      </c>
      <c r="AH1865" s="160"/>
      <c r="AI1865" s="542">
        <v>0.05</v>
      </c>
      <c r="AJ1865" s="541">
        <v>0.99721012931443054</v>
      </c>
      <c r="AK1865" s="543">
        <v>0.05</v>
      </c>
      <c r="AL1865" s="541">
        <v>0.99873981294418113</v>
      </c>
      <c r="AM1865" s="69">
        <f t="shared" si="3"/>
        <v>1865</v>
      </c>
      <c r="AN1865" s="91"/>
      <c r="AO1865" s="91"/>
      <c r="AP1865" s="91"/>
      <c r="AQ1865" s="91"/>
      <c r="AR1865" s="91"/>
      <c r="AS1865" s="91"/>
      <c r="AT1865" s="91"/>
      <c r="AU1865" s="91"/>
      <c r="AV1865" s="91"/>
      <c r="AW1865" s="91"/>
      <c r="AX1865" s="91"/>
      <c r="AY1865" s="91"/>
      <c r="AZ1865" s="91"/>
      <c r="BA1865" s="91"/>
      <c r="BB1865" s="91"/>
      <c r="BC1865" s="91"/>
      <c r="BD1865" s="91"/>
      <c r="BE1865" s="91"/>
      <c r="BF1865" s="91"/>
      <c r="BG1865" s="91"/>
      <c r="BH1865" s="91"/>
      <c r="BI1865" s="91"/>
      <c r="BJ1865" s="91"/>
      <c r="BK1865" s="91"/>
      <c r="BL1865" s="91"/>
      <c r="BM1865" s="91"/>
      <c r="BN1865" s="91"/>
      <c r="BO1865" s="91"/>
    </row>
    <row r="1866" spans="25:67" hidden="1" x14ac:dyDescent="0.25">
      <c r="Y1866" s="91"/>
      <c r="Z1866" s="81">
        <v>6.0000000000000005E-2</v>
      </c>
      <c r="AA1866" s="81">
        <v>0.99842231658387348</v>
      </c>
      <c r="AB1866" s="81">
        <v>6.0000000000000005E-2</v>
      </c>
      <c r="AC1866" s="81">
        <v>0.98430558118092504</v>
      </c>
      <c r="AD1866" s="81">
        <v>6.0000000000000005E-2</v>
      </c>
      <c r="AE1866" s="81">
        <v>0.99653159989275331</v>
      </c>
      <c r="AF1866" s="67"/>
      <c r="AG1866" s="69">
        <f t="shared" si="2"/>
        <v>1866</v>
      </c>
      <c r="AH1866" s="160"/>
      <c r="AI1866" s="542">
        <v>0.06</v>
      </c>
      <c r="AJ1866" s="541">
        <v>0.9960093197897697</v>
      </c>
      <c r="AK1866" s="543">
        <v>0.06</v>
      </c>
      <c r="AL1866" s="541">
        <v>0.99810807555511483</v>
      </c>
      <c r="AM1866" s="69">
        <f t="shared" si="3"/>
        <v>1866</v>
      </c>
      <c r="AN1866" s="91"/>
      <c r="AO1866" s="91"/>
      <c r="AP1866" s="91"/>
      <c r="AQ1866" s="91"/>
      <c r="AR1866" s="91"/>
      <c r="AS1866" s="91"/>
      <c r="AT1866" s="91"/>
      <c r="AU1866" s="91"/>
      <c r="AV1866" s="91"/>
      <c r="AW1866" s="91"/>
      <c r="AX1866" s="91"/>
      <c r="AY1866" s="91"/>
      <c r="AZ1866" s="91"/>
      <c r="BA1866" s="91"/>
      <c r="BB1866" s="91"/>
      <c r="BC1866" s="91"/>
      <c r="BD1866" s="91"/>
      <c r="BE1866" s="91"/>
      <c r="BF1866" s="91"/>
      <c r="BG1866" s="91"/>
      <c r="BH1866" s="91"/>
      <c r="BI1866" s="91"/>
      <c r="BJ1866" s="91"/>
      <c r="BK1866" s="91"/>
      <c r="BL1866" s="91"/>
      <c r="BM1866" s="91"/>
      <c r="BN1866" s="91"/>
      <c r="BO1866" s="91"/>
    </row>
    <row r="1867" spans="25:67" hidden="1" x14ac:dyDescent="0.25">
      <c r="Y1867" s="91"/>
      <c r="Z1867" s="81">
        <v>7.0000000000000007E-2</v>
      </c>
      <c r="AA1867" s="81">
        <v>0.99775330435698939</v>
      </c>
      <c r="AB1867" s="81">
        <v>7.0000000000000007E-2</v>
      </c>
      <c r="AC1867" s="81">
        <v>0.98029380110936515</v>
      </c>
      <c r="AD1867" s="81">
        <v>7.0000000000000007E-2</v>
      </c>
      <c r="AE1867" s="81">
        <v>0.99526947950568867</v>
      </c>
      <c r="AF1867" s="67"/>
      <c r="AG1867" s="69">
        <f t="shared" si="2"/>
        <v>1867</v>
      </c>
      <c r="AH1867" s="160"/>
      <c r="AI1867" s="542">
        <v>7.0000000000000007E-2</v>
      </c>
      <c r="AJ1867" s="541">
        <v>0.99459881693419239</v>
      </c>
      <c r="AK1867" s="543">
        <v>7.0000000000000007E-2</v>
      </c>
      <c r="AL1867" s="541">
        <v>0.99733249027586546</v>
      </c>
      <c r="AM1867" s="69">
        <f t="shared" si="3"/>
        <v>1867</v>
      </c>
      <c r="AN1867" s="91"/>
      <c r="AO1867" s="91"/>
      <c r="AP1867" s="91"/>
      <c r="AQ1867" s="91"/>
      <c r="AR1867" s="91"/>
      <c r="AS1867" s="91"/>
      <c r="AT1867" s="91"/>
      <c r="AU1867" s="91"/>
      <c r="AV1867" s="91"/>
      <c r="AW1867" s="91"/>
      <c r="AX1867" s="91"/>
      <c r="AY1867" s="91"/>
      <c r="AZ1867" s="91"/>
      <c r="BA1867" s="91"/>
      <c r="BB1867" s="91"/>
      <c r="BC1867" s="91"/>
      <c r="BD1867" s="91"/>
      <c r="BE1867" s="91"/>
      <c r="BF1867" s="91"/>
      <c r="BG1867" s="91"/>
      <c r="BH1867" s="91"/>
      <c r="BI1867" s="91"/>
      <c r="BJ1867" s="91"/>
      <c r="BK1867" s="91"/>
      <c r="BL1867" s="91"/>
      <c r="BM1867" s="91"/>
      <c r="BN1867" s="91"/>
      <c r="BO1867" s="91"/>
    </row>
    <row r="1868" spans="25:67" hidden="1" x14ac:dyDescent="0.25">
      <c r="Y1868" s="91"/>
      <c r="Z1868" s="81">
        <v>0.08</v>
      </c>
      <c r="AA1868" s="81">
        <v>0.99694836131022879</v>
      </c>
      <c r="AB1868" s="81">
        <v>0.08</v>
      </c>
      <c r="AC1868" s="81">
        <v>0.97599856375995508</v>
      </c>
      <c r="AD1868" s="81">
        <v>0.08</v>
      </c>
      <c r="AE1868" s="81">
        <v>0.99381043044932915</v>
      </c>
      <c r="AF1868" s="67"/>
      <c r="AG1868" s="69">
        <f t="shared" si="2"/>
        <v>1868</v>
      </c>
      <c r="AH1868" s="160"/>
      <c r="AI1868" s="542">
        <v>0.08</v>
      </c>
      <c r="AJ1868" s="541">
        <v>0.99297980604954161</v>
      </c>
      <c r="AK1868" s="543">
        <v>0.08</v>
      </c>
      <c r="AL1868" s="541">
        <v>0.99640787984403845</v>
      </c>
      <c r="AM1868" s="69">
        <f t="shared" si="3"/>
        <v>1868</v>
      </c>
      <c r="AN1868" s="91"/>
      <c r="AO1868" s="91"/>
      <c r="AP1868" s="91"/>
      <c r="AQ1868" s="91"/>
      <c r="AR1868" s="91"/>
      <c r="AS1868" s="91"/>
      <c r="AT1868" s="91"/>
      <c r="AU1868" s="91"/>
      <c r="AV1868" s="91"/>
      <c r="AW1868" s="91"/>
      <c r="AX1868" s="91"/>
      <c r="AY1868" s="91"/>
      <c r="AZ1868" s="91"/>
      <c r="BA1868" s="91"/>
      <c r="BB1868" s="91"/>
      <c r="BC1868" s="91"/>
      <c r="BD1868" s="91"/>
      <c r="BE1868" s="91"/>
      <c r="BF1868" s="91"/>
      <c r="BG1868" s="91"/>
      <c r="BH1868" s="91"/>
      <c r="BI1868" s="91"/>
      <c r="BJ1868" s="91"/>
      <c r="BK1868" s="91"/>
      <c r="BL1868" s="91"/>
      <c r="BM1868" s="91"/>
      <c r="BN1868" s="91"/>
      <c r="BO1868" s="91"/>
    </row>
    <row r="1869" spans="25:67" hidden="1" x14ac:dyDescent="0.25">
      <c r="Y1869" s="91"/>
      <c r="Z1869" s="81">
        <v>0.09</v>
      </c>
      <c r="AA1869" s="81">
        <v>0.99600204769646883</v>
      </c>
      <c r="AB1869" s="81">
        <v>0.09</v>
      </c>
      <c r="AC1869" s="81">
        <v>0.97143908629146458</v>
      </c>
      <c r="AD1869" s="81">
        <v>0.09</v>
      </c>
      <c r="AE1869" s="81">
        <v>0.99215410330562048</v>
      </c>
      <c r="AF1869" s="67"/>
      <c r="AG1869" s="69">
        <f t="shared" si="2"/>
        <v>1869</v>
      </c>
      <c r="AH1869" s="160"/>
      <c r="AI1869" s="542">
        <v>0.09</v>
      </c>
      <c r="AJ1869" s="541">
        <v>0.99115330740485019</v>
      </c>
      <c r="AK1869" s="543">
        <v>0.09</v>
      </c>
      <c r="AL1869" s="541">
        <v>0.99532961280209975</v>
      </c>
      <c r="AM1869" s="69">
        <f t="shared" si="3"/>
        <v>1869</v>
      </c>
      <c r="AN1869" s="91"/>
      <c r="AO1869" s="91"/>
      <c r="AP1869" s="91"/>
      <c r="AQ1869" s="91"/>
      <c r="AR1869" s="91"/>
      <c r="AS1869" s="91"/>
      <c r="AT1869" s="91"/>
      <c r="AU1869" s="91"/>
      <c r="AV1869" s="91"/>
      <c r="AW1869" s="91"/>
      <c r="AX1869" s="91"/>
      <c r="AY1869" s="91"/>
      <c r="AZ1869" s="91"/>
      <c r="BA1869" s="91"/>
      <c r="BB1869" s="91"/>
      <c r="BC1869" s="91"/>
      <c r="BD1869" s="91"/>
      <c r="BE1869" s="91"/>
      <c r="BF1869" s="91"/>
      <c r="BG1869" s="91"/>
      <c r="BH1869" s="91"/>
      <c r="BI1869" s="91"/>
      <c r="BJ1869" s="91"/>
      <c r="BK1869" s="91"/>
      <c r="BL1869" s="91"/>
      <c r="BM1869" s="91"/>
      <c r="BN1869" s="91"/>
      <c r="BO1869" s="91"/>
    </row>
    <row r="1870" spans="25:67" hidden="1" x14ac:dyDescent="0.25">
      <c r="Y1870" s="91"/>
      <c r="Z1870" s="81">
        <v>9.9999999999999992E-2</v>
      </c>
      <c r="AA1870" s="81">
        <v>0.99490938730642631</v>
      </c>
      <c r="AB1870" s="81">
        <v>9.9999999999999992E-2</v>
      </c>
      <c r="AC1870" s="81">
        <v>0.96663121930856899</v>
      </c>
      <c r="AD1870" s="81">
        <v>9.9999999999999992E-2</v>
      </c>
      <c r="AE1870" s="81">
        <v>0.99030018955612231</v>
      </c>
      <c r="AF1870" s="67"/>
      <c r="AG1870" s="69">
        <f t="shared" si="2"/>
        <v>1870</v>
      </c>
      <c r="AH1870" s="160"/>
      <c r="AI1870" s="542">
        <v>0.1</v>
      </c>
      <c r="AJ1870" s="541">
        <v>0.98912021617415613</v>
      </c>
      <c r="AK1870" s="543">
        <v>0.1</v>
      </c>
      <c r="AL1870" s="541">
        <v>0.99409348678873521</v>
      </c>
      <c r="AM1870" s="69">
        <f t="shared" si="3"/>
        <v>1870</v>
      </c>
      <c r="AN1870" s="91"/>
      <c r="AO1870" s="91"/>
      <c r="AP1870" s="91"/>
      <c r="AQ1870" s="91"/>
      <c r="AR1870" s="91"/>
      <c r="AS1870" s="91"/>
      <c r="AT1870" s="91"/>
      <c r="AU1870" s="91"/>
      <c r="AV1870" s="91"/>
      <c r="AW1870" s="91"/>
      <c r="AX1870" s="91"/>
      <c r="AY1870" s="91"/>
      <c r="AZ1870" s="91"/>
      <c r="BA1870" s="91"/>
      <c r="BB1870" s="91"/>
      <c r="BC1870" s="91"/>
      <c r="BD1870" s="91"/>
      <c r="BE1870" s="91"/>
      <c r="BF1870" s="91"/>
      <c r="BG1870" s="91"/>
      <c r="BH1870" s="91"/>
      <c r="BI1870" s="91"/>
      <c r="BJ1870" s="91"/>
      <c r="BK1870" s="91"/>
      <c r="BL1870" s="91"/>
      <c r="BM1870" s="91"/>
      <c r="BN1870" s="91"/>
      <c r="BO1870" s="91"/>
    </row>
    <row r="1871" spans="25:67" hidden="1" x14ac:dyDescent="0.25">
      <c r="Y1871" s="91"/>
      <c r="Z1871" s="81">
        <v>0.10999999999999999</v>
      </c>
      <c r="AA1871" s="81">
        <v>0.99366578207177225</v>
      </c>
      <c r="AB1871" s="81">
        <v>0.10999999999999999</v>
      </c>
      <c r="AC1871" s="81">
        <v>0.96158832495707114</v>
      </c>
      <c r="AD1871" s="81">
        <v>0.10999999999999999</v>
      </c>
      <c r="AE1871" s="81">
        <v>0.98824841294073684</v>
      </c>
      <c r="AF1871" s="67"/>
      <c r="AG1871" s="69">
        <f t="shared" si="2"/>
        <v>1871</v>
      </c>
      <c r="AH1871" s="160"/>
      <c r="AI1871" s="542">
        <v>0.11</v>
      </c>
      <c r="AJ1871" s="541">
        <v>0.98688132945821305</v>
      </c>
      <c r="AK1871" s="543">
        <v>0.11</v>
      </c>
      <c r="AL1871" s="541">
        <v>0.99269564677855304</v>
      </c>
      <c r="AM1871" s="69">
        <f t="shared" si="3"/>
        <v>1871</v>
      </c>
      <c r="AN1871" s="91"/>
      <c r="AO1871" s="91"/>
      <c r="AP1871" s="91"/>
      <c r="AQ1871" s="91"/>
      <c r="AR1871" s="91"/>
      <c r="AS1871" s="91"/>
      <c r="AT1871" s="91"/>
      <c r="AU1871" s="91"/>
      <c r="AV1871" s="91"/>
      <c r="AW1871" s="91"/>
      <c r="AX1871" s="91"/>
      <c r="AY1871" s="91"/>
      <c r="AZ1871" s="91"/>
      <c r="BA1871" s="91"/>
      <c r="BB1871" s="91"/>
      <c r="BC1871" s="91"/>
      <c r="BD1871" s="91"/>
      <c r="BE1871" s="91"/>
      <c r="BF1871" s="91"/>
      <c r="BG1871" s="91"/>
      <c r="BH1871" s="91"/>
      <c r="BI1871" s="91"/>
      <c r="BJ1871" s="91"/>
      <c r="BK1871" s="91"/>
      <c r="BL1871" s="91"/>
      <c r="BM1871" s="91"/>
      <c r="BN1871" s="91"/>
      <c r="BO1871" s="91"/>
    </row>
    <row r="1872" spans="25:67" hidden="1" x14ac:dyDescent="0.25">
      <c r="Y1872" s="91"/>
      <c r="Z1872" s="81">
        <v>0.11999999999999998</v>
      </c>
      <c r="AA1872" s="81">
        <v>0.99226694924684555</v>
      </c>
      <c r="AB1872" s="81">
        <v>0.11999999999999998</v>
      </c>
      <c r="AC1872" s="81">
        <v>0.95632186465549895</v>
      </c>
      <c r="AD1872" s="81">
        <v>0.11999999999999998</v>
      </c>
      <c r="AE1872" s="81">
        <v>0.98599852330307092</v>
      </c>
      <c r="AF1872" s="67"/>
      <c r="AG1872" s="69">
        <f t="shared" si="2"/>
        <v>1872</v>
      </c>
      <c r="AH1872" s="160"/>
      <c r="AI1872" s="542">
        <v>0.12</v>
      </c>
      <c r="AJ1872" s="541">
        <v>0.98443736541985383</v>
      </c>
      <c r="AK1872" s="543">
        <v>0.12</v>
      </c>
      <c r="AL1872" s="541">
        <v>0.99113252538436281</v>
      </c>
      <c r="AM1872" s="69">
        <f t="shared" si="3"/>
        <v>1872</v>
      </c>
      <c r="AN1872" s="91"/>
      <c r="AO1872" s="91"/>
      <c r="AP1872" s="91"/>
      <c r="AQ1872" s="91"/>
      <c r="AR1872" s="91"/>
      <c r="AS1872" s="91"/>
      <c r="AT1872" s="91"/>
      <c r="AU1872" s="91"/>
      <c r="AV1872" s="91"/>
      <c r="AW1872" s="91"/>
      <c r="AX1872" s="91"/>
      <c r="AY1872" s="91"/>
      <c r="AZ1872" s="91"/>
      <c r="BA1872" s="91"/>
      <c r="BB1872" s="91"/>
      <c r="BC1872" s="91"/>
      <c r="BD1872" s="91"/>
      <c r="BE1872" s="91"/>
      <c r="BF1872" s="91"/>
      <c r="BG1872" s="91"/>
      <c r="BH1872" s="91"/>
      <c r="BI1872" s="91"/>
      <c r="BJ1872" s="91"/>
      <c r="BK1872" s="91"/>
      <c r="BL1872" s="91"/>
      <c r="BM1872" s="91"/>
      <c r="BN1872" s="91"/>
      <c r="BO1872" s="91"/>
    </row>
    <row r="1873" spans="25:67" hidden="1" x14ac:dyDescent="0.25">
      <c r="Y1873" s="91"/>
      <c r="Z1873" s="81">
        <v>0.12999999999999998</v>
      </c>
      <c r="AA1873" s="81">
        <v>0.99070887370504335</v>
      </c>
      <c r="AB1873" s="81">
        <v>0.12999999999999998</v>
      </c>
      <c r="AC1873" s="81">
        <v>0.95084180932435558</v>
      </c>
      <c r="AD1873" s="81">
        <v>0.12999999999999998</v>
      </c>
      <c r="AE1873" s="81">
        <v>0.98355029204954159</v>
      </c>
      <c r="AF1873" s="67"/>
      <c r="AG1873" s="69">
        <f t="shared" si="2"/>
        <v>1873</v>
      </c>
      <c r="AH1873" s="160"/>
      <c r="AI1873" s="542">
        <v>0.13</v>
      </c>
      <c r="AJ1873" s="541">
        <v>0.98178897732964676</v>
      </c>
      <c r="AK1873" s="543">
        <v>0.13</v>
      </c>
      <c r="AL1873" s="541">
        <v>0.98940079782350498</v>
      </c>
      <c r="AM1873" s="69">
        <f t="shared" si="3"/>
        <v>1873</v>
      </c>
      <c r="AN1873" s="91"/>
      <c r="AO1873" s="91"/>
      <c r="AP1873" s="91"/>
      <c r="AQ1873" s="91"/>
      <c r="AR1873" s="91"/>
      <c r="AS1873" s="91"/>
      <c r="AT1873" s="91"/>
      <c r="AU1873" s="91"/>
      <c r="AV1873" s="91"/>
      <c r="AW1873" s="91"/>
      <c r="AX1873" s="91"/>
      <c r="AY1873" s="91"/>
      <c r="AZ1873" s="91"/>
      <c r="BA1873" s="91"/>
      <c r="BB1873" s="91"/>
      <c r="BC1873" s="91"/>
      <c r="BD1873" s="91"/>
      <c r="BE1873" s="91"/>
      <c r="BF1873" s="91"/>
      <c r="BG1873" s="91"/>
      <c r="BH1873" s="91"/>
      <c r="BI1873" s="91"/>
      <c r="BJ1873" s="91"/>
      <c r="BK1873" s="91"/>
      <c r="BL1873" s="91"/>
      <c r="BM1873" s="91"/>
      <c r="BN1873" s="91"/>
      <c r="BO1873" s="91"/>
    </row>
    <row r="1874" spans="25:67" hidden="1" x14ac:dyDescent="0.25">
      <c r="Y1874" s="91"/>
      <c r="Z1874" s="81">
        <v>0.13999999999999999</v>
      </c>
      <c r="AA1874" s="81">
        <v>0.98898777076775735</v>
      </c>
      <c r="AB1874" s="81">
        <v>0.13999999999999999</v>
      </c>
      <c r="AC1874" s="81">
        <v>0.94515693558370706</v>
      </c>
      <c r="AD1874" s="81">
        <v>0.13999999999999999</v>
      </c>
      <c r="AE1874" s="81">
        <v>0.98090350870216514</v>
      </c>
      <c r="AF1874" s="67"/>
      <c r="AG1874" s="69">
        <f t="shared" si="2"/>
        <v>1874</v>
      </c>
      <c r="AH1874" s="160"/>
      <c r="AI1874" s="542">
        <v>0.14000000000000001</v>
      </c>
      <c r="AJ1874" s="541">
        <v>0.97893676417916065</v>
      </c>
      <c r="AK1874" s="543">
        <v>0.14000000000000001</v>
      </c>
      <c r="AL1874" s="541">
        <v>0.9874973470374685</v>
      </c>
      <c r="AM1874" s="69">
        <f t="shared" si="3"/>
        <v>1874</v>
      </c>
      <c r="AN1874" s="91"/>
      <c r="AO1874" s="91"/>
      <c r="AP1874" s="91"/>
      <c r="AQ1874" s="91"/>
      <c r="AR1874" s="91"/>
      <c r="AS1874" s="91"/>
      <c r="AT1874" s="91"/>
      <c r="AU1874" s="91"/>
      <c r="AV1874" s="91"/>
      <c r="AW1874" s="91"/>
      <c r="AX1874" s="91"/>
      <c r="AY1874" s="91"/>
      <c r="AZ1874" s="91"/>
      <c r="BA1874" s="91"/>
      <c r="BB1874" s="91"/>
      <c r="BC1874" s="91"/>
      <c r="BD1874" s="91"/>
      <c r="BE1874" s="91"/>
      <c r="BF1874" s="91"/>
      <c r="BG1874" s="91"/>
      <c r="BH1874" s="91"/>
      <c r="BI1874" s="91"/>
      <c r="BJ1874" s="91"/>
      <c r="BK1874" s="91"/>
      <c r="BL1874" s="91"/>
      <c r="BM1874" s="91"/>
      <c r="BN1874" s="91"/>
      <c r="BO1874" s="91"/>
    </row>
    <row r="1875" spans="25:67" hidden="1" x14ac:dyDescent="0.25">
      <c r="Y1875" s="91"/>
      <c r="Z1875" s="81">
        <v>0.15</v>
      </c>
      <c r="AA1875" s="81">
        <v>0.98710005661679168</v>
      </c>
      <c r="AB1875" s="81">
        <v>0.15</v>
      </c>
      <c r="AC1875" s="81">
        <v>0.93927504567874276</v>
      </c>
      <c r="AD1875" s="81">
        <v>0.15</v>
      </c>
      <c r="AE1875" s="81">
        <v>0.97805797821920193</v>
      </c>
      <c r="AF1875" s="67"/>
      <c r="AG1875" s="69">
        <f t="shared" si="2"/>
        <v>1875</v>
      </c>
      <c r="AH1875" s="160"/>
      <c r="AI1875" s="542">
        <v>0.15</v>
      </c>
      <c r="AJ1875" s="541">
        <v>0.97588127889521659</v>
      </c>
      <c r="AK1875" s="543">
        <v>0.15</v>
      </c>
      <c r="AL1875" s="541">
        <v>0.9854192360795917</v>
      </c>
      <c r="AM1875" s="69">
        <f t="shared" si="3"/>
        <v>1875</v>
      </c>
      <c r="AN1875" s="91"/>
      <c r="AO1875" s="91"/>
      <c r="AP1875" s="91"/>
      <c r="AQ1875" s="91"/>
      <c r="AR1875" s="91"/>
      <c r="AS1875" s="91"/>
      <c r="AT1875" s="91"/>
      <c r="AU1875" s="91"/>
      <c r="AV1875" s="91"/>
      <c r="AW1875" s="91"/>
      <c r="AX1875" s="91"/>
      <c r="AY1875" s="91"/>
      <c r="AZ1875" s="91"/>
      <c r="BA1875" s="91"/>
      <c r="BB1875" s="91"/>
      <c r="BC1875" s="91"/>
      <c r="BD1875" s="91"/>
      <c r="BE1875" s="91"/>
      <c r="BF1875" s="91"/>
      <c r="BG1875" s="91"/>
      <c r="BH1875" s="91"/>
      <c r="BI1875" s="91"/>
      <c r="BJ1875" s="91"/>
      <c r="BK1875" s="91"/>
      <c r="BL1875" s="91"/>
      <c r="BM1875" s="91"/>
      <c r="BN1875" s="91"/>
      <c r="BO1875" s="91"/>
    </row>
    <row r="1876" spans="25:67" hidden="1" x14ac:dyDescent="0.25">
      <c r="Y1876" s="91"/>
      <c r="Z1876" s="81">
        <v>0.16</v>
      </c>
      <c r="AA1876" s="81">
        <v>0.98504232431736538</v>
      </c>
      <c r="AB1876" s="81">
        <v>0.16</v>
      </c>
      <c r="AC1876" s="81">
        <v>0.93320313465313243</v>
      </c>
      <c r="AD1876" s="81">
        <v>0.16</v>
      </c>
      <c r="AE1876" s="81">
        <v>0.97501351887094267</v>
      </c>
      <c r="AF1876" s="67"/>
      <c r="AG1876" s="69">
        <f t="shared" si="2"/>
        <v>1876</v>
      </c>
      <c r="AH1876" s="160"/>
      <c r="AI1876" s="542">
        <v>0.16</v>
      </c>
      <c r="AJ1876" s="541">
        <v>0.97262303482682955</v>
      </c>
      <c r="AK1876" s="543">
        <v>0.16</v>
      </c>
      <c r="AL1876" s="541">
        <v>0.98316368585150249</v>
      </c>
      <c r="AM1876" s="69">
        <f t="shared" si="3"/>
        <v>1876</v>
      </c>
      <c r="AN1876" s="91"/>
      <c r="AO1876" s="91"/>
      <c r="AP1876" s="91"/>
      <c r="AQ1876" s="91"/>
      <c r="AR1876" s="91"/>
      <c r="AS1876" s="91"/>
      <c r="AT1876" s="91"/>
      <c r="AU1876" s="91"/>
      <c r="AV1876" s="91"/>
      <c r="AW1876" s="91"/>
      <c r="AX1876" s="91"/>
      <c r="AY1876" s="91"/>
      <c r="AZ1876" s="91"/>
      <c r="BA1876" s="91"/>
      <c r="BB1876" s="91"/>
      <c r="BC1876" s="91"/>
      <c r="BD1876" s="91"/>
      <c r="BE1876" s="91"/>
      <c r="BF1876" s="91"/>
      <c r="BG1876" s="91"/>
      <c r="BH1876" s="91"/>
      <c r="BI1876" s="91"/>
      <c r="BJ1876" s="91"/>
      <c r="BK1876" s="91"/>
      <c r="BL1876" s="91"/>
      <c r="BM1876" s="91"/>
      <c r="BN1876" s="91"/>
      <c r="BO1876" s="91"/>
    </row>
    <row r="1877" spans="25:67" hidden="1" x14ac:dyDescent="0.25">
      <c r="Y1877" s="91"/>
      <c r="Z1877" s="81">
        <v>0.17</v>
      </c>
      <c r="AA1877" s="81">
        <v>0.98281132408851102</v>
      </c>
      <c r="AB1877" s="81">
        <v>0.17</v>
      </c>
      <c r="AC1877" s="81">
        <v>0.92694751999212932</v>
      </c>
      <c r="AD1877" s="81">
        <v>0.17</v>
      </c>
      <c r="AE1877" s="81">
        <v>0.97176996052691145</v>
      </c>
      <c r="AF1877" s="67"/>
      <c r="AG1877" s="69">
        <f t="shared" si="2"/>
        <v>1877</v>
      </c>
      <c r="AH1877" s="160"/>
      <c r="AI1877" s="542">
        <v>0.17</v>
      </c>
      <c r="AJ1877" s="541">
        <v>0.96916251095687334</v>
      </c>
      <c r="AK1877" s="543">
        <v>0.17</v>
      </c>
      <c r="AL1877" s="541">
        <v>0.9807280568689376</v>
      </c>
      <c r="AM1877" s="69">
        <f t="shared" si="3"/>
        <v>1877</v>
      </c>
      <c r="AN1877" s="91"/>
      <c r="AO1877" s="91"/>
      <c r="AP1877" s="91"/>
      <c r="AQ1877" s="91"/>
      <c r="AR1877" s="91"/>
      <c r="AS1877" s="91"/>
      <c r="AT1877" s="91"/>
      <c r="AU1877" s="91"/>
      <c r="AV1877" s="91"/>
      <c r="AW1877" s="91"/>
      <c r="AX1877" s="91"/>
      <c r="AY1877" s="91"/>
      <c r="AZ1877" s="91"/>
      <c r="BA1877" s="91"/>
      <c r="BB1877" s="91"/>
      <c r="BC1877" s="91"/>
      <c r="BD1877" s="91"/>
      <c r="BE1877" s="91"/>
      <c r="BF1877" s="91"/>
      <c r="BG1877" s="91"/>
      <c r="BH1877" s="91"/>
      <c r="BI1877" s="91"/>
      <c r="BJ1877" s="91"/>
      <c r="BK1877" s="91"/>
      <c r="BL1877" s="91"/>
      <c r="BM1877" s="91"/>
      <c r="BN1877" s="91"/>
      <c r="BO1877" s="91"/>
    </row>
    <row r="1878" spans="25:67" hidden="1" x14ac:dyDescent="0.25">
      <c r="Y1878" s="91"/>
      <c r="Z1878" s="81">
        <v>0.18</v>
      </c>
      <c r="AA1878" s="81">
        <v>0.98040394685278287</v>
      </c>
      <c r="AB1878" s="81">
        <v>0.18000000000000002</v>
      </c>
      <c r="AC1878" s="81">
        <v>0.92051394391184249</v>
      </c>
      <c r="AD1878" s="81">
        <v>0.18000000000000002</v>
      </c>
      <c r="AE1878" s="81">
        <v>0.96832714325450908</v>
      </c>
      <c r="AF1878" s="67"/>
      <c r="AG1878" s="69">
        <f t="shared" si="2"/>
        <v>1878</v>
      </c>
      <c r="AH1878" s="160"/>
      <c r="AI1878" s="542">
        <v>0.18</v>
      </c>
      <c r="AJ1878" s="541">
        <v>0.96550015615176144</v>
      </c>
      <c r="AK1878" s="543">
        <v>0.18</v>
      </c>
      <c r="AL1878" s="541">
        <v>0.97810983412443209</v>
      </c>
      <c r="AM1878" s="69">
        <f t="shared" si="3"/>
        <v>1878</v>
      </c>
      <c r="AN1878" s="91"/>
      <c r="AO1878" s="91"/>
      <c r="AP1878" s="91"/>
      <c r="AQ1878" s="91"/>
      <c r="AR1878" s="91"/>
      <c r="AS1878" s="91"/>
      <c r="AT1878" s="91"/>
      <c r="AU1878" s="91"/>
      <c r="AV1878" s="91"/>
      <c r="AW1878" s="91"/>
      <c r="AX1878" s="91"/>
      <c r="AY1878" s="91"/>
      <c r="AZ1878" s="91"/>
      <c r="BA1878" s="91"/>
      <c r="BB1878" s="91"/>
      <c r="BC1878" s="91"/>
      <c r="BD1878" s="91"/>
      <c r="BE1878" s="91"/>
      <c r="BF1878" s="91"/>
      <c r="BG1878" s="91"/>
      <c r="BH1878" s="91"/>
      <c r="BI1878" s="91"/>
      <c r="BJ1878" s="91"/>
      <c r="BK1878" s="91"/>
      <c r="BL1878" s="91"/>
      <c r="BM1878" s="91"/>
      <c r="BN1878" s="91"/>
      <c r="BO1878" s="91"/>
    </row>
    <row r="1879" spans="25:67" hidden="1" x14ac:dyDescent="0.25">
      <c r="Y1879" s="91"/>
      <c r="Z1879" s="81">
        <v>0.19000000000000003</v>
      </c>
      <c r="AA1879" s="81">
        <v>0.97781721036137759</v>
      </c>
      <c r="AB1879" s="81">
        <v>0.19000000000000003</v>
      </c>
      <c r="AC1879" s="81">
        <v>0.91390765529017615</v>
      </c>
      <c r="AD1879" s="81">
        <v>0.19000000000000003</v>
      </c>
      <c r="AE1879" s="81">
        <v>0.96468491615778451</v>
      </c>
      <c r="AF1879" s="67"/>
      <c r="AG1879" s="69">
        <f t="shared" si="2"/>
        <v>1879</v>
      </c>
      <c r="AH1879" s="160"/>
      <c r="AI1879" s="542">
        <v>0.19</v>
      </c>
      <c r="AJ1879" s="541">
        <v>0.96163639267183831</v>
      </c>
      <c r="AK1879" s="543">
        <v>0.19</v>
      </c>
      <c r="AL1879" s="541">
        <v>0.97530661437184574</v>
      </c>
      <c r="AM1879" s="69">
        <f t="shared" si="3"/>
        <v>1879</v>
      </c>
      <c r="AN1879" s="91"/>
      <c r="AO1879" s="91"/>
      <c r="AP1879" s="91"/>
      <c r="AQ1879" s="91"/>
      <c r="AR1879" s="91"/>
      <c r="AS1879" s="91"/>
      <c r="AT1879" s="91"/>
      <c r="AU1879" s="91"/>
      <c r="AV1879" s="91"/>
      <c r="AW1879" s="91"/>
      <c r="AX1879" s="91"/>
      <c r="AY1879" s="91"/>
      <c r="AZ1879" s="91"/>
      <c r="BA1879" s="91"/>
      <c r="BB1879" s="91"/>
      <c r="BC1879" s="91"/>
      <c r="BD1879" s="91"/>
      <c r="BE1879" s="91"/>
      <c r="BF1879" s="91"/>
      <c r="BG1879" s="91"/>
      <c r="BH1879" s="91"/>
      <c r="BI1879" s="91"/>
      <c r="BJ1879" s="91"/>
      <c r="BK1879" s="91"/>
      <c r="BL1879" s="91"/>
      <c r="BM1879" s="91"/>
      <c r="BN1879" s="91"/>
      <c r="BO1879" s="91"/>
    </row>
    <row r="1880" spans="25:67" hidden="1" x14ac:dyDescent="0.25">
      <c r="Y1880" s="91"/>
      <c r="Z1880" s="81">
        <v>0.20000000000000004</v>
      </c>
      <c r="AA1880" s="81">
        <v>0.97504824737227147</v>
      </c>
      <c r="AB1880" s="81">
        <v>0.20000000000000004</v>
      </c>
      <c r="AC1880" s="81">
        <v>0.90713347616606999</v>
      </c>
      <c r="AD1880" s="81">
        <v>0.20000000000000004</v>
      </c>
      <c r="AE1880" s="81">
        <v>0.96084313640435348</v>
      </c>
      <c r="AF1880" s="67"/>
      <c r="AG1880" s="69">
        <f t="shared" si="2"/>
        <v>1880</v>
      </c>
      <c r="AH1880" s="160"/>
      <c r="AI1880" s="542">
        <v>0.2</v>
      </c>
      <c r="AJ1880" s="541">
        <v>0.95757161910429778</v>
      </c>
      <c r="AK1880" s="543">
        <v>0.2</v>
      </c>
      <c r="AL1880" s="541">
        <v>0.9723160953338198</v>
      </c>
      <c r="AM1880" s="69">
        <f t="shared" si="3"/>
        <v>1880</v>
      </c>
      <c r="AN1880" s="91"/>
      <c r="AO1880" s="91"/>
      <c r="AP1880" s="91"/>
      <c r="AQ1880" s="91"/>
      <c r="AR1880" s="91"/>
      <c r="AS1880" s="91"/>
      <c r="AT1880" s="91"/>
      <c r="AU1880" s="91"/>
      <c r="AV1880" s="91"/>
      <c r="AW1880" s="91"/>
      <c r="AX1880" s="91"/>
      <c r="AY1880" s="91"/>
      <c r="AZ1880" s="91"/>
      <c r="BA1880" s="91"/>
      <c r="BB1880" s="91"/>
      <c r="BC1880" s="91"/>
      <c r="BD1880" s="91"/>
      <c r="BE1880" s="91"/>
      <c r="BF1880" s="91"/>
      <c r="BG1880" s="91"/>
      <c r="BH1880" s="91"/>
      <c r="BI1880" s="91"/>
      <c r="BJ1880" s="91"/>
      <c r="BK1880" s="91"/>
      <c r="BL1880" s="91"/>
      <c r="BM1880" s="91"/>
      <c r="BN1880" s="91"/>
      <c r="BO1880" s="91"/>
    </row>
    <row r="1881" spans="25:67" hidden="1" x14ac:dyDescent="0.25">
      <c r="Y1881" s="91"/>
      <c r="Z1881" s="81">
        <v>0.21000000000000005</v>
      </c>
      <c r="AA1881" s="81">
        <v>0.97209429548663706</v>
      </c>
      <c r="AB1881" s="81">
        <v>0.21000000000000005</v>
      </c>
      <c r="AC1881" s="81">
        <v>0.90019585635107202</v>
      </c>
      <c r="AD1881" s="81">
        <v>0.21000000000000005</v>
      </c>
      <c r="AE1881" s="81">
        <v>0.95680166840184111</v>
      </c>
      <c r="AF1881" s="67"/>
      <c r="AG1881" s="69">
        <f t="shared" si="2"/>
        <v>1881</v>
      </c>
      <c r="AH1881" s="160"/>
      <c r="AI1881" s="542">
        <v>0.21</v>
      </c>
      <c r="AJ1881" s="541">
        <v>0.95330621283849759</v>
      </c>
      <c r="AK1881" s="543">
        <v>0.21</v>
      </c>
      <c r="AL1881" s="541">
        <v>0.96913606645663808</v>
      </c>
      <c r="AM1881" s="69">
        <f t="shared" si="3"/>
        <v>1881</v>
      </c>
      <c r="AN1881" s="91"/>
      <c r="AO1881" s="91"/>
      <c r="AP1881" s="91"/>
      <c r="AQ1881" s="91"/>
      <c r="AR1881" s="91"/>
      <c r="AS1881" s="91"/>
      <c r="AT1881" s="91"/>
      <c r="AU1881" s="91"/>
      <c r="AV1881" s="91"/>
      <c r="AW1881" s="91"/>
      <c r="AX1881" s="91"/>
      <c r="AY1881" s="91"/>
      <c r="AZ1881" s="91"/>
      <c r="BA1881" s="91"/>
      <c r="BB1881" s="91"/>
      <c r="BC1881" s="91"/>
      <c r="BD1881" s="91"/>
      <c r="BE1881" s="91"/>
      <c r="BF1881" s="91"/>
      <c r="BG1881" s="91"/>
      <c r="BH1881" s="91"/>
      <c r="BI1881" s="91"/>
      <c r="BJ1881" s="91"/>
      <c r="BK1881" s="91"/>
      <c r="BL1881" s="91"/>
      <c r="BM1881" s="91"/>
      <c r="BN1881" s="91"/>
      <c r="BO1881" s="91"/>
    </row>
    <row r="1882" spans="25:67" hidden="1" x14ac:dyDescent="0.25">
      <c r="Y1882" s="91"/>
      <c r="Z1882" s="81">
        <v>0.22000000000000006</v>
      </c>
      <c r="AA1882" s="81">
        <v>0.96895268834048576</v>
      </c>
      <c r="AB1882" s="81">
        <v>0.22000000000000006</v>
      </c>
      <c r="AC1882" s="81">
        <v>0.89309891875098235</v>
      </c>
      <c r="AD1882" s="81">
        <v>0.22000000000000006</v>
      </c>
      <c r="AE1882" s="81">
        <v>0.95256038309466406</v>
      </c>
      <c r="AF1882" s="67"/>
      <c r="AG1882" s="69">
        <f t="shared" si="2"/>
        <v>1882</v>
      </c>
      <c r="AH1882" s="160"/>
      <c r="AI1882" s="542">
        <v>0.22</v>
      </c>
      <c r="AJ1882" s="541">
        <v>0.94884053217399322</v>
      </c>
      <c r="AK1882" s="543">
        <v>0.22</v>
      </c>
      <c r="AL1882" s="541">
        <v>0.96576440092523852</v>
      </c>
      <c r="AM1882" s="69">
        <f t="shared" si="3"/>
        <v>1882</v>
      </c>
      <c r="AN1882" s="91"/>
      <c r="AO1882" s="91"/>
      <c r="AP1882" s="91"/>
      <c r="AQ1882" s="91"/>
      <c r="AR1882" s="91"/>
      <c r="AS1882" s="91"/>
      <c r="AT1882" s="91"/>
      <c r="AU1882" s="91"/>
      <c r="AV1882" s="91"/>
      <c r="AW1882" s="91"/>
      <c r="AX1882" s="91"/>
      <c r="AY1882" s="91"/>
      <c r="AZ1882" s="91"/>
      <c r="BA1882" s="91"/>
      <c r="BB1882" s="91"/>
      <c r="BC1882" s="91"/>
      <c r="BD1882" s="91"/>
      <c r="BE1882" s="91"/>
      <c r="BF1882" s="91"/>
      <c r="BG1882" s="91"/>
      <c r="BH1882" s="91"/>
      <c r="BI1882" s="91"/>
      <c r="BJ1882" s="91"/>
      <c r="BK1882" s="91"/>
      <c r="BL1882" s="91"/>
      <c r="BM1882" s="91"/>
      <c r="BN1882" s="91"/>
      <c r="BO1882" s="91"/>
    </row>
    <row r="1883" spans="25:67" hidden="1" x14ac:dyDescent="0.25">
      <c r="Y1883" s="91"/>
      <c r="Z1883" s="81">
        <v>0.23000000000000007</v>
      </c>
      <c r="AA1883" s="81">
        <v>0.96562084791554315</v>
      </c>
      <c r="AB1883" s="81">
        <v>0.23000000000000007</v>
      </c>
      <c r="AC1883" s="81">
        <v>0.88584649733380516</v>
      </c>
      <c r="AD1883" s="81">
        <v>0.23000000000000007</v>
      </c>
      <c r="AE1883" s="81">
        <v>0.94811915735876096</v>
      </c>
      <c r="AF1883" s="67"/>
      <c r="AG1883" s="69">
        <f t="shared" si="2"/>
        <v>1883</v>
      </c>
      <c r="AH1883" s="160"/>
      <c r="AI1883" s="542">
        <v>0.23</v>
      </c>
      <c r="AJ1883" s="541">
        <v>0.94417491813039656</v>
      </c>
      <c r="AK1883" s="543">
        <v>0.23</v>
      </c>
      <c r="AL1883" s="541">
        <v>0.96219904871545758</v>
      </c>
      <c r="AM1883" s="69">
        <f t="shared" si="3"/>
        <v>1883</v>
      </c>
      <c r="AN1883" s="91"/>
      <c r="AO1883" s="91"/>
      <c r="AP1883" s="91"/>
      <c r="AQ1883" s="91"/>
      <c r="AR1883" s="91"/>
      <c r="AS1883" s="91"/>
      <c r="AT1883" s="91"/>
      <c r="AU1883" s="91"/>
      <c r="AV1883" s="91"/>
      <c r="AW1883" s="91"/>
      <c r="AX1883" s="91"/>
      <c r="AY1883" s="91"/>
      <c r="AZ1883" s="91"/>
      <c r="BA1883" s="91"/>
      <c r="BB1883" s="91"/>
      <c r="BC1883" s="91"/>
      <c r="BD1883" s="91"/>
      <c r="BE1883" s="91"/>
      <c r="BF1883" s="91"/>
      <c r="BG1883" s="91"/>
      <c r="BH1883" s="91"/>
      <c r="BI1883" s="91"/>
      <c r="BJ1883" s="91"/>
      <c r="BK1883" s="91"/>
      <c r="BL1883" s="91"/>
      <c r="BM1883" s="91"/>
      <c r="BN1883" s="91"/>
      <c r="BO1883" s="91"/>
    </row>
    <row r="1884" spans="25:67" hidden="1" x14ac:dyDescent="0.25">
      <c r="Y1884" s="91"/>
      <c r="Z1884" s="81">
        <v>0.24000000000000007</v>
      </c>
      <c r="AA1884" s="81">
        <v>0.96209627778323037</v>
      </c>
      <c r="AB1884" s="81">
        <v>0.24000000000000007</v>
      </c>
      <c r="AC1884" s="81">
        <v>0.87844216920897755</v>
      </c>
      <c r="AD1884" s="81">
        <v>0.24000000000000007</v>
      </c>
      <c r="AE1884" s="81">
        <v>0.94347787347686551</v>
      </c>
      <c r="AF1884" s="67"/>
      <c r="AG1884" s="69">
        <f t="shared" si="2"/>
        <v>1884</v>
      </c>
      <c r="AH1884" s="160"/>
      <c r="AI1884" s="542">
        <v>0.24</v>
      </c>
      <c r="AJ1884" s="541">
        <v>0.93930969601265435</v>
      </c>
      <c r="AK1884" s="543">
        <v>0.24</v>
      </c>
      <c r="AL1884" s="541">
        <v>0.95843803050827237</v>
      </c>
      <c r="AM1884" s="69">
        <f t="shared" si="3"/>
        <v>1884</v>
      </c>
      <c r="AN1884" s="91"/>
      <c r="AO1884" s="91"/>
      <c r="AP1884" s="91"/>
      <c r="AQ1884" s="91"/>
      <c r="AR1884" s="91"/>
      <c r="AS1884" s="91"/>
      <c r="AT1884" s="91"/>
      <c r="AU1884" s="91"/>
      <c r="AV1884" s="91"/>
      <c r="AW1884" s="91"/>
      <c r="AX1884" s="91"/>
      <c r="AY1884" s="91"/>
      <c r="AZ1884" s="91"/>
      <c r="BA1884" s="91"/>
      <c r="BB1884" s="91"/>
      <c r="BC1884" s="91"/>
      <c r="BD1884" s="91"/>
      <c r="BE1884" s="91"/>
      <c r="BF1884" s="91"/>
      <c r="BG1884" s="91"/>
      <c r="BH1884" s="91"/>
      <c r="BI1884" s="91"/>
      <c r="BJ1884" s="91"/>
      <c r="BK1884" s="91"/>
      <c r="BL1884" s="91"/>
      <c r="BM1884" s="91"/>
      <c r="BN1884" s="91"/>
      <c r="BO1884" s="91"/>
    </row>
    <row r="1885" spans="25:67" hidden="1" x14ac:dyDescent="0.25">
      <c r="Y1885" s="91"/>
      <c r="Z1885" s="81">
        <v>0.25000000000000006</v>
      </c>
      <c r="AA1885" s="81">
        <v>0.95837655713326075</v>
      </c>
      <c r="AB1885" s="81">
        <v>0.25000000000000006</v>
      </c>
      <c r="AC1885" s="81">
        <v>0.87088928194139792</v>
      </c>
      <c r="AD1885" s="81">
        <v>0.25000000000000006</v>
      </c>
      <c r="AE1885" s="81">
        <v>0.93863641868061976</v>
      </c>
      <c r="AF1885" s="67"/>
      <c r="AG1885" s="69">
        <f t="shared" si="2"/>
        <v>1885</v>
      </c>
      <c r="AH1885" s="160"/>
      <c r="AI1885" s="542">
        <v>0.25</v>
      </c>
      <c r="AJ1885" s="541">
        <v>0.9342451767738319</v>
      </c>
      <c r="AK1885" s="543">
        <v>0.25</v>
      </c>
      <c r="AL1885" s="541">
        <v>0.95447943232666832</v>
      </c>
      <c r="AM1885" s="69">
        <f t="shared" si="3"/>
        <v>1885</v>
      </c>
      <c r="AN1885" s="91"/>
      <c r="AO1885" s="91"/>
      <c r="AP1885" s="91"/>
      <c r="AQ1885" s="91"/>
      <c r="AR1885" s="91"/>
      <c r="AS1885" s="91"/>
      <c r="AT1885" s="91"/>
      <c r="AU1885" s="91"/>
      <c r="AV1885" s="91"/>
      <c r="AW1885" s="91"/>
      <c r="AX1885" s="91"/>
      <c r="AY1885" s="91"/>
      <c r="AZ1885" s="91"/>
      <c r="BA1885" s="91"/>
      <c r="BB1885" s="91"/>
      <c r="BC1885" s="91"/>
      <c r="BD1885" s="91"/>
      <c r="BE1885" s="91"/>
      <c r="BF1885" s="91"/>
      <c r="BG1885" s="91"/>
      <c r="BH1885" s="91"/>
      <c r="BI1885" s="91"/>
      <c r="BJ1885" s="91"/>
      <c r="BK1885" s="91"/>
      <c r="BL1885" s="91"/>
      <c r="BM1885" s="91"/>
      <c r="BN1885" s="91"/>
      <c r="BO1885" s="91"/>
    </row>
    <row r="1886" spans="25:67" hidden="1" x14ac:dyDescent="0.25">
      <c r="Y1886" s="91"/>
      <c r="Z1886" s="81">
        <v>0.26000000000000006</v>
      </c>
      <c r="AA1886" s="81">
        <v>0.95445933546714312</v>
      </c>
      <c r="AB1886" s="81">
        <v>0.26000000000000006</v>
      </c>
      <c r="AC1886" s="81">
        <v>0.86319097697252978</v>
      </c>
      <c r="AD1886" s="81">
        <v>0.26000000000000006</v>
      </c>
      <c r="AE1886" s="81">
        <v>0.93359468474862062</v>
      </c>
      <c r="AF1886" s="67"/>
      <c r="AG1886" s="69">
        <f t="shared" si="2"/>
        <v>1886</v>
      </c>
      <c r="AH1886" s="160"/>
      <c r="AI1886" s="542">
        <v>0.26</v>
      </c>
      <c r="AJ1886" s="541">
        <v>0.92898165820881229</v>
      </c>
      <c r="AK1886" s="543">
        <v>0.26</v>
      </c>
      <c r="AL1886" s="541">
        <v>0.95032140078311489</v>
      </c>
      <c r="AM1886" s="69">
        <f t="shared" si="3"/>
        <v>1886</v>
      </c>
      <c r="AN1886" s="91"/>
      <c r="AO1886" s="91"/>
      <c r="AP1886" s="91"/>
      <c r="AQ1886" s="91"/>
      <c r="AR1886" s="91"/>
      <c r="AS1886" s="91"/>
      <c r="AT1886" s="91"/>
      <c r="AU1886" s="91"/>
      <c r="AV1886" s="91"/>
      <c r="AW1886" s="91"/>
      <c r="AX1886" s="91"/>
      <c r="AY1886" s="91"/>
      <c r="AZ1886" s="91"/>
      <c r="BA1886" s="91"/>
      <c r="BB1886" s="91"/>
      <c r="BC1886" s="91"/>
      <c r="BD1886" s="91"/>
      <c r="BE1886" s="91"/>
      <c r="BF1886" s="91"/>
      <c r="BG1886" s="91"/>
      <c r="BH1886" s="91"/>
      <c r="BI1886" s="91"/>
      <c r="BJ1886" s="91"/>
      <c r="BK1886" s="91"/>
      <c r="BL1886" s="91"/>
      <c r="BM1886" s="91"/>
      <c r="BN1886" s="91"/>
      <c r="BO1886" s="91"/>
    </row>
    <row r="1887" spans="25:67" hidden="1" x14ac:dyDescent="0.25">
      <c r="Y1887" s="91"/>
      <c r="Z1887" s="81">
        <v>0.27000000000000007</v>
      </c>
      <c r="AA1887" s="81">
        <v>0.95034232785916739</v>
      </c>
      <c r="AB1887" s="81">
        <v>0.27000000000000007</v>
      </c>
      <c r="AC1887" s="81">
        <v>0.85535020983341603</v>
      </c>
      <c r="AD1887" s="81">
        <v>0.27000000000000007</v>
      </c>
      <c r="AE1887" s="81">
        <v>0.92835256765163854</v>
      </c>
      <c r="AF1887" s="67"/>
      <c r="AG1887" s="69">
        <f t="shared" si="2"/>
        <v>1887</v>
      </c>
      <c r="AH1887" s="160"/>
      <c r="AI1887" s="542">
        <v>0.27</v>
      </c>
      <c r="AJ1887" s="541">
        <v>0.92351942600571779</v>
      </c>
      <c r="AK1887" s="543">
        <v>0.27</v>
      </c>
      <c r="AL1887" s="541">
        <v>0.94596213884673808</v>
      </c>
      <c r="AM1887" s="69">
        <f t="shared" si="3"/>
        <v>1887</v>
      </c>
      <c r="AN1887" s="91"/>
      <c r="AO1887" s="91"/>
      <c r="AP1887" s="91"/>
      <c r="AQ1887" s="91"/>
      <c r="AR1887" s="91"/>
      <c r="AS1887" s="91"/>
      <c r="AT1887" s="91"/>
      <c r="AU1887" s="91"/>
      <c r="AV1887" s="91"/>
      <c r="AW1887" s="91"/>
      <c r="AX1887" s="91"/>
      <c r="AY1887" s="91"/>
      <c r="AZ1887" s="91"/>
      <c r="BA1887" s="91"/>
      <c r="BB1887" s="91"/>
      <c r="BC1887" s="91"/>
      <c r="BD1887" s="91"/>
      <c r="BE1887" s="91"/>
      <c r="BF1887" s="91"/>
      <c r="BG1887" s="91"/>
      <c r="BH1887" s="91"/>
      <c r="BI1887" s="91"/>
      <c r="BJ1887" s="91"/>
      <c r="BK1887" s="91"/>
      <c r="BL1887" s="91"/>
      <c r="BM1887" s="91"/>
      <c r="BN1887" s="91"/>
      <c r="BO1887" s="91"/>
    </row>
    <row r="1888" spans="25:67" hidden="1" x14ac:dyDescent="0.25">
      <c r="Y1888" s="91"/>
      <c r="Z1888" s="81">
        <v>0.28000000000000008</v>
      </c>
      <c r="AA1888" s="81">
        <v>0.94602331070489198</v>
      </c>
      <c r="AB1888" s="81">
        <v>0.28000000000000008</v>
      </c>
      <c r="AC1888" s="81">
        <v>0.8473697676927916</v>
      </c>
      <c r="AD1888" s="81">
        <v>0.28000000000000008</v>
      </c>
      <c r="AE1888" s="81">
        <v>0.92290996723789176</v>
      </c>
      <c r="AF1888" s="67"/>
      <c r="AG1888" s="69">
        <f t="shared" si="2"/>
        <v>1888</v>
      </c>
      <c r="AH1888" s="160"/>
      <c r="AI1888" s="542">
        <v>0.28000000000000003</v>
      </c>
      <c r="AJ1888" s="541">
        <v>0.9178587546767496</v>
      </c>
      <c r="AK1888" s="543">
        <v>0.28000000000000003</v>
      </c>
      <c r="AL1888" s="541">
        <v>0.94139990205576096</v>
      </c>
      <c r="AM1888" s="69">
        <f t="shared" si="3"/>
        <v>1888</v>
      </c>
      <c r="AN1888" s="91"/>
      <c r="AO1888" s="91"/>
      <c r="AP1888" s="91"/>
      <c r="AQ1888" s="91"/>
      <c r="AR1888" s="91"/>
      <c r="AS1888" s="91"/>
      <c r="AT1888" s="91"/>
      <c r="AU1888" s="91"/>
      <c r="AV1888" s="91"/>
      <c r="AW1888" s="91"/>
      <c r="AX1888" s="91"/>
      <c r="AY1888" s="91"/>
      <c r="AZ1888" s="91"/>
      <c r="BA1888" s="91"/>
      <c r="BB1888" s="91"/>
      <c r="BC1888" s="91"/>
      <c r="BD1888" s="91"/>
      <c r="BE1888" s="91"/>
      <c r="BF1888" s="91"/>
      <c r="BG1888" s="91"/>
      <c r="BH1888" s="91"/>
      <c r="BI1888" s="91"/>
      <c r="BJ1888" s="91"/>
      <c r="BK1888" s="91"/>
      <c r="BL1888" s="91"/>
      <c r="BM1888" s="91"/>
      <c r="BN1888" s="91"/>
      <c r="BO1888" s="91"/>
    </row>
    <row r="1889" spans="25:67" hidden="1" x14ac:dyDescent="0.25">
      <c r="Y1889" s="91"/>
      <c r="Z1889" s="81">
        <v>0.29000000000000009</v>
      </c>
      <c r="AA1889" s="81">
        <v>0.94150011789094656</v>
      </c>
      <c r="AB1889" s="81">
        <v>0.29000000000000009</v>
      </c>
      <c r="AC1889" s="81">
        <v>0.83925228467520474</v>
      </c>
      <c r="AD1889" s="81">
        <v>0.29000000000000009</v>
      </c>
      <c r="AE1889" s="81">
        <v>0.91726678695255992</v>
      </c>
      <c r="AF1889" s="67"/>
      <c r="AG1889" s="69">
        <f t="shared" si="2"/>
        <v>1889</v>
      </c>
      <c r="AH1889" s="160"/>
      <c r="AI1889" s="542">
        <v>0.28999999999999998</v>
      </c>
      <c r="AJ1889" s="541">
        <v>0.91199990838616662</v>
      </c>
      <c r="AK1889" s="543">
        <v>0.28999999999999998</v>
      </c>
      <c r="AL1889" s="541">
        <v>0.93663299511378073</v>
      </c>
      <c r="AM1889" s="69">
        <f t="shared" si="3"/>
        <v>1889</v>
      </c>
      <c r="AN1889" s="91"/>
      <c r="AO1889" s="91"/>
      <c r="AP1889" s="91"/>
      <c r="AQ1889" s="91"/>
      <c r="AR1889" s="91"/>
      <c r="AS1889" s="91"/>
      <c r="AT1889" s="91"/>
      <c r="AU1889" s="91"/>
      <c r="AV1889" s="91"/>
      <c r="AW1889" s="91"/>
      <c r="AX1889" s="91"/>
      <c r="AY1889" s="91"/>
      <c r="AZ1889" s="91"/>
      <c r="BA1889" s="91"/>
      <c r="BB1889" s="91"/>
      <c r="BC1889" s="91"/>
      <c r="BD1889" s="91"/>
      <c r="BE1889" s="91"/>
      <c r="BF1889" s="91"/>
      <c r="BG1889" s="91"/>
      <c r="BH1889" s="91"/>
      <c r="BI1889" s="91"/>
      <c r="BJ1889" s="91"/>
      <c r="BK1889" s="91"/>
      <c r="BL1889" s="91"/>
      <c r="BM1889" s="91"/>
      <c r="BN1889" s="91"/>
      <c r="BO1889" s="91"/>
    </row>
    <row r="1890" spans="25:67" hidden="1" x14ac:dyDescent="0.25">
      <c r="Y1890" s="91"/>
      <c r="Z1890" s="81">
        <v>0.3000000000000001</v>
      </c>
      <c r="AA1890" s="81">
        <v>0.93677063733097399</v>
      </c>
      <c r="AB1890" s="81">
        <v>0.3000000000000001</v>
      </c>
      <c r="AC1890" s="81">
        <v>0.83100025530038368</v>
      </c>
      <c r="AD1890" s="81">
        <v>0.3000000000000001</v>
      </c>
      <c r="AE1890" s="81">
        <v>0.91142293358673721</v>
      </c>
      <c r="AF1890" s="67"/>
      <c r="AG1890" s="69">
        <f t="shared" si="2"/>
        <v>1890</v>
      </c>
      <c r="AH1890" s="160"/>
      <c r="AI1890" s="542">
        <v>0.3</v>
      </c>
      <c r="AJ1890" s="541">
        <v>0.90594314168998724</v>
      </c>
      <c r="AK1890" s="543">
        <v>0.3</v>
      </c>
      <c r="AL1890" s="541">
        <v>0.9316597688187972</v>
      </c>
      <c r="AM1890" s="69">
        <f t="shared" si="3"/>
        <v>1890</v>
      </c>
      <c r="AN1890" s="91"/>
      <c r="AO1890" s="91"/>
      <c r="AP1890" s="91"/>
      <c r="AQ1890" s="91"/>
      <c r="AR1890" s="91"/>
      <c r="AS1890" s="91"/>
      <c r="AT1890" s="91"/>
      <c r="AU1890" s="91"/>
      <c r="AV1890" s="91"/>
      <c r="AW1890" s="91"/>
      <c r="AX1890" s="91"/>
      <c r="AY1890" s="91"/>
      <c r="AZ1890" s="91"/>
      <c r="BA1890" s="91"/>
      <c r="BB1890" s="91"/>
      <c r="BC1890" s="91"/>
      <c r="BD1890" s="91"/>
      <c r="BE1890" s="91"/>
      <c r="BF1890" s="91"/>
      <c r="BG1890" s="91"/>
      <c r="BH1890" s="91"/>
      <c r="BI1890" s="91"/>
      <c r="BJ1890" s="91"/>
      <c r="BK1890" s="91"/>
      <c r="BL1890" s="91"/>
      <c r="BM1890" s="91"/>
      <c r="BN1890" s="91"/>
      <c r="BO1890" s="91"/>
    </row>
    <row r="1891" spans="25:67" hidden="1" x14ac:dyDescent="0.25">
      <c r="Y1891" s="91"/>
      <c r="Z1891" s="81">
        <v>0.31000000000000011</v>
      </c>
      <c r="AA1891" s="81">
        <v>0.93183280782140143</v>
      </c>
      <c r="AB1891" s="81">
        <v>0.31000000000000011</v>
      </c>
      <c r="AC1891" s="81">
        <v>0.82261604632979246</v>
      </c>
      <c r="AD1891" s="81">
        <v>0.31000000000000011</v>
      </c>
      <c r="AE1891" s="81">
        <v>0.90537831705183991</v>
      </c>
      <c r="AF1891" s="67"/>
      <c r="AG1891" s="69">
        <f t="shared" si="2"/>
        <v>1891</v>
      </c>
      <c r="AH1891" s="160"/>
      <c r="AI1891" s="542">
        <v>0.31</v>
      </c>
      <c r="AJ1891" s="541">
        <v>0.89968870019950342</v>
      </c>
      <c r="AK1891" s="543">
        <v>0.31</v>
      </c>
      <c r="AL1891" s="541">
        <v>0.9264786172822197</v>
      </c>
      <c r="AM1891" s="69">
        <f t="shared" si="3"/>
        <v>1891</v>
      </c>
      <c r="AN1891" s="91"/>
      <c r="AO1891" s="91"/>
      <c r="AP1891" s="91"/>
      <c r="AQ1891" s="91"/>
      <c r="AR1891" s="91"/>
      <c r="AS1891" s="91"/>
      <c r="AT1891" s="91"/>
      <c r="AU1891" s="91"/>
      <c r="AV1891" s="91"/>
      <c r="AW1891" s="91"/>
      <c r="AX1891" s="91"/>
      <c r="AY1891" s="91"/>
      <c r="AZ1891" s="91"/>
      <c r="BA1891" s="91"/>
      <c r="BB1891" s="91"/>
      <c r="BC1891" s="91"/>
      <c r="BD1891" s="91"/>
      <c r="BE1891" s="91"/>
      <c r="BF1891" s="91"/>
      <c r="BG1891" s="91"/>
      <c r="BH1891" s="91"/>
      <c r="BI1891" s="91"/>
      <c r="BJ1891" s="91"/>
      <c r="BK1891" s="91"/>
      <c r="BL1891" s="91"/>
      <c r="BM1891" s="91"/>
      <c r="BN1891" s="91"/>
      <c r="BO1891" s="91"/>
    </row>
    <row r="1892" spans="25:67" hidden="1" x14ac:dyDescent="0.25">
      <c r="Y1892" s="91"/>
      <c r="Z1892" s="81">
        <v>0.32000000000000012</v>
      </c>
      <c r="AA1892" s="81">
        <v>0.92668461617792341</v>
      </c>
      <c r="AB1892" s="81">
        <v>0.32000000000000012</v>
      </c>
      <c r="AC1892" s="81">
        <v>0.81410190725489617</v>
      </c>
      <c r="AD1892" s="81">
        <v>0.32000000000000012</v>
      </c>
      <c r="AE1892" s="81">
        <v>0.89913285017613576</v>
      </c>
      <c r="AF1892" s="67"/>
      <c r="AG1892" s="69">
        <f t="shared" ref="AG1892:AG1923" si="4">ROW(1892:1892)</f>
        <v>1892</v>
      </c>
      <c r="AH1892" s="160"/>
      <c r="AI1892" s="542">
        <v>0.32</v>
      </c>
      <c r="AJ1892" s="541">
        <v>0.89323682117870007</v>
      </c>
      <c r="AK1892" s="543">
        <v>0.32</v>
      </c>
      <c r="AL1892" s="541">
        <v>0.92108797540180865</v>
      </c>
      <c r="AM1892" s="69">
        <f t="shared" ref="AM1892:AM1923" si="5">ROW(1892:1892)</f>
        <v>1892</v>
      </c>
      <c r="AN1892" s="91"/>
      <c r="AO1892" s="91"/>
      <c r="AP1892" s="91"/>
      <c r="AQ1892" s="91"/>
      <c r="AR1892" s="91"/>
      <c r="AS1892" s="91"/>
      <c r="AT1892" s="91"/>
      <c r="AU1892" s="91"/>
      <c r="AV1892" s="91"/>
      <c r="AW1892" s="91"/>
      <c r="AX1892" s="91"/>
      <c r="AY1892" s="91"/>
      <c r="AZ1892" s="91"/>
      <c r="BA1892" s="91"/>
      <c r="BB1892" s="91"/>
      <c r="BC1892" s="91"/>
      <c r="BD1892" s="91"/>
      <c r="BE1892" s="91"/>
      <c r="BF1892" s="91"/>
      <c r="BG1892" s="91"/>
      <c r="BH1892" s="91"/>
      <c r="BI1892" s="91"/>
      <c r="BJ1892" s="91"/>
      <c r="BK1892" s="91"/>
      <c r="BL1892" s="91"/>
      <c r="BM1892" s="91"/>
      <c r="BN1892" s="91"/>
      <c r="BO1892" s="91"/>
    </row>
    <row r="1893" spans="25:67" hidden="1" x14ac:dyDescent="0.25">
      <c r="Y1893" s="91"/>
      <c r="Z1893" s="81">
        <v>0.33000000000000013</v>
      </c>
      <c r="AA1893" s="81">
        <v>0.92132409461946418</v>
      </c>
      <c r="AB1893" s="81">
        <v>0.33000000000000013</v>
      </c>
      <c r="AC1893" s="81">
        <v>0.80545997962081328</v>
      </c>
      <c r="AD1893" s="81">
        <v>0.33000000000000013</v>
      </c>
      <c r="AE1893" s="81">
        <v>0.8926864485205892</v>
      </c>
      <c r="AF1893" s="67"/>
      <c r="AG1893" s="69">
        <f t="shared" si="4"/>
        <v>1893</v>
      </c>
      <c r="AH1893" s="160"/>
      <c r="AI1893" s="542">
        <v>0.33</v>
      </c>
      <c r="AJ1893" s="541">
        <v>0.88658773408405511</v>
      </c>
      <c r="AK1893" s="543">
        <v>0.33</v>
      </c>
      <c r="AL1893" s="541">
        <v>0.91548631655799584</v>
      </c>
      <c r="AM1893" s="69">
        <f t="shared" si="5"/>
        <v>1893</v>
      </c>
      <c r="AN1893" s="91"/>
      <c r="AO1893" s="91"/>
      <c r="AP1893" s="91"/>
      <c r="AQ1893" s="91"/>
      <c r="AR1893" s="91"/>
      <c r="AS1893" s="91"/>
      <c r="AT1893" s="91"/>
      <c r="AU1893" s="91"/>
      <c r="AV1893" s="91"/>
      <c r="AW1893" s="91"/>
      <c r="AX1893" s="91"/>
      <c r="AY1893" s="91"/>
      <c r="AZ1893" s="91"/>
      <c r="BA1893" s="91"/>
      <c r="BB1893" s="91"/>
      <c r="BC1893" s="91"/>
      <c r="BD1893" s="91"/>
      <c r="BE1893" s="91"/>
      <c r="BF1893" s="91"/>
      <c r="BG1893" s="91"/>
      <c r="BH1893" s="91"/>
      <c r="BI1893" s="91"/>
      <c r="BJ1893" s="91"/>
      <c r="BK1893" s="91"/>
      <c r="BL1893" s="91"/>
      <c r="BM1893" s="91"/>
      <c r="BN1893" s="91"/>
      <c r="BO1893" s="91"/>
    </row>
    <row r="1894" spans="25:67" hidden="1" x14ac:dyDescent="0.25">
      <c r="Y1894" s="91"/>
      <c r="Z1894" s="81">
        <v>0.34000000000000014</v>
      </c>
      <c r="AA1894" s="81">
        <v>0.91574931837122664</v>
      </c>
      <c r="AB1894" s="81">
        <v>0.34933551813169494</v>
      </c>
      <c r="AC1894" s="81">
        <v>0.78798091516995084</v>
      </c>
      <c r="AD1894" s="81">
        <v>0.34000000000000014</v>
      </c>
      <c r="AE1894" s="81">
        <v>0.88603903021165253</v>
      </c>
      <c r="AF1894" s="67"/>
      <c r="AG1894" s="69">
        <f t="shared" si="4"/>
        <v>1894</v>
      </c>
      <c r="AH1894" s="160"/>
      <c r="AI1894" s="542">
        <v>0.34</v>
      </c>
      <c r="AJ1894" s="541">
        <v>0.87974166105388196</v>
      </c>
      <c r="AK1894" s="543">
        <v>0.34</v>
      </c>
      <c r="AL1894" s="541">
        <v>0.90967215050753547</v>
      </c>
      <c r="AM1894" s="69">
        <f t="shared" si="5"/>
        <v>1894</v>
      </c>
      <c r="AN1894" s="91"/>
      <c r="AO1894" s="91"/>
      <c r="AP1894" s="91"/>
      <c r="AQ1894" s="91"/>
      <c r="AR1894" s="91"/>
      <c r="AS1894" s="91"/>
      <c r="AT1894" s="91"/>
      <c r="AU1894" s="91"/>
      <c r="AV1894" s="91"/>
      <c r="AW1894" s="91"/>
      <c r="AX1894" s="91"/>
      <c r="AY1894" s="91"/>
      <c r="AZ1894" s="91"/>
      <c r="BA1894" s="91"/>
      <c r="BB1894" s="91"/>
      <c r="BC1894" s="91"/>
      <c r="BD1894" s="91"/>
      <c r="BE1894" s="91"/>
      <c r="BF1894" s="91"/>
      <c r="BG1894" s="91"/>
      <c r="BH1894" s="91"/>
      <c r="BI1894" s="91"/>
      <c r="BJ1894" s="91"/>
      <c r="BK1894" s="91"/>
      <c r="BL1894" s="91"/>
      <c r="BM1894" s="91"/>
      <c r="BN1894" s="91"/>
      <c r="BO1894" s="91"/>
    </row>
    <row r="1895" spans="25:67" hidden="1" x14ac:dyDescent="0.25">
      <c r="Y1895" s="91"/>
      <c r="Z1895" s="81">
        <v>0.35000000000000014</v>
      </c>
      <c r="AA1895" s="81">
        <v>0.90995840346245072</v>
      </c>
      <c r="AB1895" s="81">
        <v>0.36166853457932396</v>
      </c>
      <c r="AC1895" s="81">
        <v>0.77561554268010402</v>
      </c>
      <c r="AD1895" s="81">
        <v>0.35000000000000014</v>
      </c>
      <c r="AE1895" s="81">
        <v>0.87919051578898033</v>
      </c>
      <c r="AF1895" s="67"/>
      <c r="AG1895" s="69">
        <f t="shared" si="4"/>
        <v>1895</v>
      </c>
      <c r="AH1895" s="160"/>
      <c r="AI1895" s="542">
        <v>0.35</v>
      </c>
      <c r="AJ1895" s="541">
        <v>0.87269881735329768</v>
      </c>
      <c r="AK1895" s="543">
        <v>0.35</v>
      </c>
      <c r="AL1895" s="541">
        <v>0.90364402145217115</v>
      </c>
      <c r="AM1895" s="69">
        <f t="shared" si="5"/>
        <v>1895</v>
      </c>
      <c r="AN1895" s="91"/>
      <c r="AO1895" s="91"/>
      <c r="AP1895" s="91"/>
      <c r="AQ1895" s="91"/>
      <c r="AR1895" s="91"/>
      <c r="AS1895" s="91"/>
      <c r="AT1895" s="91"/>
      <c r="AU1895" s="91"/>
      <c r="AV1895" s="91"/>
      <c r="AW1895" s="91"/>
      <c r="AX1895" s="91"/>
      <c r="AY1895" s="91"/>
      <c r="AZ1895" s="91"/>
      <c r="BA1895" s="91"/>
      <c r="BB1895" s="91"/>
      <c r="BC1895" s="91"/>
      <c r="BD1895" s="91"/>
      <c r="BE1895" s="91"/>
      <c r="BF1895" s="91"/>
      <c r="BG1895" s="91"/>
      <c r="BH1895" s="91"/>
      <c r="BI1895" s="91"/>
      <c r="BJ1895" s="91"/>
      <c r="BK1895" s="91"/>
      <c r="BL1895" s="91"/>
      <c r="BM1895" s="91"/>
      <c r="BN1895" s="91"/>
      <c r="BO1895" s="91"/>
    </row>
    <row r="1896" spans="25:67" hidden="1" x14ac:dyDescent="0.25">
      <c r="Y1896" s="91"/>
      <c r="Z1896" s="81">
        <v>0.36000000000000015</v>
      </c>
      <c r="AA1896" s="81">
        <v>0.90394950469784607</v>
      </c>
      <c r="AB1896" s="81">
        <v>0.37327367193981409</v>
      </c>
      <c r="AC1896" s="81">
        <v>0.7629199752284952</v>
      </c>
      <c r="AD1896" s="81">
        <v>0.36000000000000015</v>
      </c>
      <c r="AE1896" s="81">
        <v>0.87214082806634319</v>
      </c>
      <c r="AF1896" s="67"/>
      <c r="AG1896" s="69">
        <f t="shared" si="4"/>
        <v>1896</v>
      </c>
      <c r="AH1896" s="160"/>
      <c r="AI1896" s="542">
        <v>0.36</v>
      </c>
      <c r="AJ1896" s="541">
        <v>0.86545941178001462</v>
      </c>
      <c r="AK1896" s="543">
        <v>0.36</v>
      </c>
      <c r="AL1896" s="541">
        <v>0.89740050626309731</v>
      </c>
      <c r="AM1896" s="69">
        <f t="shared" si="5"/>
        <v>1896</v>
      </c>
      <c r="AN1896" s="91"/>
      <c r="AO1896" s="91"/>
      <c r="AP1896" s="91"/>
      <c r="AQ1896" s="91"/>
      <c r="AR1896" s="91"/>
      <c r="AS1896" s="91"/>
      <c r="AT1896" s="91"/>
      <c r="AU1896" s="91"/>
      <c r="AV1896" s="91"/>
      <c r="AW1896" s="91"/>
      <c r="AX1896" s="91"/>
      <c r="AY1896" s="91"/>
      <c r="AZ1896" s="91"/>
      <c r="BA1896" s="91"/>
      <c r="BB1896" s="91"/>
      <c r="BC1896" s="91"/>
      <c r="BD1896" s="91"/>
      <c r="BE1896" s="91"/>
      <c r="BF1896" s="91"/>
      <c r="BG1896" s="91"/>
      <c r="BH1896" s="91"/>
      <c r="BI1896" s="91"/>
      <c r="BJ1896" s="91"/>
      <c r="BK1896" s="91"/>
      <c r="BL1896" s="91"/>
      <c r="BM1896" s="91"/>
      <c r="BN1896" s="91"/>
      <c r="BO1896" s="91"/>
    </row>
    <row r="1897" spans="25:67" hidden="1" x14ac:dyDescent="0.25">
      <c r="Y1897" s="91"/>
      <c r="Z1897" s="81">
        <v>0.37000000000000016</v>
      </c>
      <c r="AA1897" s="81">
        <v>0.89772081378447077</v>
      </c>
      <c r="AB1897" s="81">
        <v>0.38418148060735768</v>
      </c>
      <c r="AC1897" s="81">
        <v>0.74991030551316118</v>
      </c>
      <c r="AD1897" s="81">
        <v>0.37000000000000016</v>
      </c>
      <c r="AE1897" s="81">
        <v>0.86488989200425404</v>
      </c>
      <c r="AF1897" s="67"/>
      <c r="AG1897" s="69">
        <f t="shared" si="4"/>
        <v>1897</v>
      </c>
      <c r="AH1897" s="160"/>
      <c r="AI1897" s="542">
        <v>0.37</v>
      </c>
      <c r="AJ1897" s="541">
        <v>0.85802364703540657</v>
      </c>
      <c r="AK1897" s="543">
        <v>0.37</v>
      </c>
      <c r="AL1897" s="541">
        <v>0.89094021284459579</v>
      </c>
      <c r="AM1897" s="69">
        <f t="shared" si="5"/>
        <v>1897</v>
      </c>
      <c r="AN1897" s="91"/>
      <c r="AO1897" s="91"/>
      <c r="AP1897" s="91"/>
      <c r="AQ1897" s="91"/>
      <c r="AR1897" s="91"/>
      <c r="AS1897" s="91"/>
      <c r="AT1897" s="91"/>
      <c r="AU1897" s="91"/>
      <c r="AV1897" s="91"/>
      <c r="AW1897" s="91"/>
      <c r="AX1897" s="91"/>
      <c r="AY1897" s="91"/>
      <c r="AZ1897" s="91"/>
      <c r="BA1897" s="91"/>
      <c r="BB1897" s="91"/>
      <c r="BC1897" s="91"/>
      <c r="BD1897" s="91"/>
      <c r="BE1897" s="91"/>
      <c r="BF1897" s="91"/>
      <c r="BG1897" s="91"/>
      <c r="BH1897" s="91"/>
      <c r="BI1897" s="91"/>
      <c r="BJ1897" s="91"/>
      <c r="BK1897" s="91"/>
      <c r="BL1897" s="91"/>
      <c r="BM1897" s="91"/>
      <c r="BN1897" s="91"/>
      <c r="BO1897" s="91"/>
    </row>
    <row r="1898" spans="25:67" hidden="1" x14ac:dyDescent="0.25">
      <c r="Y1898" s="91"/>
      <c r="Z1898" s="81">
        <v>0.38000000000000017</v>
      </c>
      <c r="AA1898" s="81">
        <v>0.89127055759818918</v>
      </c>
      <c r="AB1898" s="81">
        <v>0.39442251097614711</v>
      </c>
      <c r="AC1898" s="81">
        <v>0.73660262623213779</v>
      </c>
      <c r="AD1898" s="81">
        <v>0.38000000000000017</v>
      </c>
      <c r="AE1898" s="81">
        <v>0.85743763459302835</v>
      </c>
      <c r="AF1898" s="67"/>
      <c r="AG1898" s="69">
        <f t="shared" si="4"/>
        <v>1898</v>
      </c>
      <c r="AH1898" s="160"/>
      <c r="AI1898" s="542">
        <v>0.38</v>
      </c>
      <c r="AJ1898" s="541">
        <v>0.85039172006469976</v>
      </c>
      <c r="AK1898" s="543">
        <v>0.38</v>
      </c>
      <c r="AL1898" s="541">
        <v>0.88426177862240574</v>
      </c>
      <c r="AM1898" s="69">
        <f t="shared" si="5"/>
        <v>1898</v>
      </c>
      <c r="AN1898" s="91"/>
      <c r="AO1898" s="91"/>
      <c r="AP1898" s="91"/>
      <c r="AQ1898" s="91"/>
      <c r="AR1898" s="91"/>
      <c r="AS1898" s="91"/>
      <c r="AT1898" s="91"/>
      <c r="AU1898" s="91"/>
      <c r="AV1898" s="91"/>
      <c r="AW1898" s="91"/>
      <c r="AX1898" s="91"/>
      <c r="AY1898" s="91"/>
      <c r="AZ1898" s="91"/>
      <c r="BA1898" s="91"/>
      <c r="BB1898" s="91"/>
      <c r="BC1898" s="91"/>
      <c r="BD1898" s="91"/>
      <c r="BE1898" s="91"/>
      <c r="BF1898" s="91"/>
      <c r="BG1898" s="91"/>
      <c r="BH1898" s="91"/>
      <c r="BI1898" s="91"/>
      <c r="BJ1898" s="91"/>
      <c r="BK1898" s="91"/>
      <c r="BL1898" s="91"/>
      <c r="BM1898" s="91"/>
      <c r="BN1898" s="91"/>
      <c r="BO1898" s="91"/>
    </row>
    <row r="1899" spans="25:67" hidden="1" x14ac:dyDescent="0.25">
      <c r="Y1899" s="91"/>
      <c r="Z1899" s="81">
        <v>0.39000000000000018</v>
      </c>
      <c r="AA1899" s="81">
        <v>0.88459699657584356</v>
      </c>
      <c r="AB1899" s="81">
        <v>0.40402731344037451</v>
      </c>
      <c r="AC1899" s="81">
        <v>0.72301303008346141</v>
      </c>
      <c r="AD1899" s="81">
        <v>0.39000000000000018</v>
      </c>
      <c r="AE1899" s="81">
        <v>0.84978398474516637</v>
      </c>
      <c r="AF1899" s="67"/>
      <c r="AG1899" s="69">
        <f t="shared" si="4"/>
        <v>1899</v>
      </c>
      <c r="AH1899" s="160"/>
      <c r="AI1899" s="542">
        <v>0.39</v>
      </c>
      <c r="AJ1899" s="541">
        <v>0.8425638223696057</v>
      </c>
      <c r="AK1899" s="543">
        <v>0.39</v>
      </c>
      <c r="AL1899" s="541">
        <v>0.87736386914423314</v>
      </c>
      <c r="AM1899" s="69">
        <f t="shared" si="5"/>
        <v>1899</v>
      </c>
      <c r="AN1899" s="91"/>
      <c r="AO1899" s="91"/>
      <c r="AP1899" s="91"/>
      <c r="AQ1899" s="91"/>
      <c r="AR1899" s="91"/>
      <c r="AS1899" s="91"/>
      <c r="AT1899" s="91"/>
      <c r="AU1899" s="91"/>
      <c r="AV1899" s="91"/>
      <c r="AW1899" s="91"/>
      <c r="AX1899" s="91"/>
      <c r="AY1899" s="91"/>
      <c r="AZ1899" s="91"/>
      <c r="BA1899" s="91"/>
      <c r="BB1899" s="91"/>
      <c r="BC1899" s="91"/>
      <c r="BD1899" s="91"/>
      <c r="BE1899" s="91"/>
      <c r="BF1899" s="91"/>
      <c r="BG1899" s="91"/>
      <c r="BH1899" s="91"/>
      <c r="BI1899" s="91"/>
      <c r="BJ1899" s="91"/>
      <c r="BK1899" s="91"/>
      <c r="BL1899" s="91"/>
      <c r="BM1899" s="91"/>
      <c r="BN1899" s="91"/>
      <c r="BO1899" s="91"/>
    </row>
    <row r="1900" spans="25:67" hidden="1" x14ac:dyDescent="0.25">
      <c r="Y1900" s="91"/>
      <c r="Z1900" s="81">
        <v>0.40000000000000019</v>
      </c>
      <c r="AA1900" s="81">
        <v>0.87769842322097946</v>
      </c>
      <c r="AB1900" s="81">
        <v>0.4130264383942322</v>
      </c>
      <c r="AC1900" s="81">
        <v>0.70915760976516862</v>
      </c>
      <c r="AD1900" s="81">
        <v>0.40000000000000019</v>
      </c>
      <c r="AE1900" s="81">
        <v>0.84192887319609122</v>
      </c>
      <c r="AF1900" s="67"/>
      <c r="AG1900" s="69">
        <f t="shared" si="4"/>
        <v>1900</v>
      </c>
      <c r="AH1900" s="160"/>
      <c r="AI1900" s="542">
        <v>0.4</v>
      </c>
      <c r="AJ1900" s="541">
        <v>0.83454014029629253</v>
      </c>
      <c r="AK1900" s="543">
        <v>0.4</v>
      </c>
      <c r="AL1900" s="541">
        <v>0.87024517678137125</v>
      </c>
      <c r="AM1900" s="69">
        <f t="shared" si="5"/>
        <v>1900</v>
      </c>
      <c r="AN1900" s="91"/>
      <c r="AO1900" s="91"/>
      <c r="AP1900" s="91"/>
      <c r="AQ1900" s="91"/>
      <c r="AR1900" s="91"/>
      <c r="AS1900" s="91"/>
      <c r="AT1900" s="91"/>
      <c r="AU1900" s="91"/>
      <c r="AV1900" s="91"/>
      <c r="AW1900" s="91"/>
      <c r="AX1900" s="91"/>
      <c r="AY1900" s="91"/>
      <c r="AZ1900" s="91"/>
      <c r="BA1900" s="91"/>
      <c r="BB1900" s="91"/>
      <c r="BC1900" s="91"/>
      <c r="BD1900" s="91"/>
      <c r="BE1900" s="91"/>
      <c r="BF1900" s="91"/>
      <c r="BG1900" s="91"/>
      <c r="BH1900" s="91"/>
      <c r="BI1900" s="91"/>
      <c r="BJ1900" s="91"/>
      <c r="BK1900" s="91"/>
      <c r="BL1900" s="91"/>
      <c r="BM1900" s="91"/>
      <c r="BN1900" s="91"/>
      <c r="BO1900" s="91"/>
    </row>
    <row r="1901" spans="25:67" hidden="1" x14ac:dyDescent="0.25">
      <c r="Y1901" s="91"/>
      <c r="Z1901" s="81">
        <v>0.4100000000000002</v>
      </c>
      <c r="AA1901" s="81">
        <v>0.87057316071241897</v>
      </c>
      <c r="AB1901" s="81">
        <v>0.42145043623191231</v>
      </c>
      <c r="AC1901" s="81">
        <v>0.69505245797529502</v>
      </c>
      <c r="AD1901" s="81">
        <v>0.4100000000000002</v>
      </c>
      <c r="AE1901" s="81">
        <v>0.83387223241239994</v>
      </c>
      <c r="AF1901" s="67"/>
      <c r="AG1901" s="69">
        <f t="shared" si="4"/>
        <v>1901</v>
      </c>
      <c r="AH1901" s="160"/>
      <c r="AI1901" s="542">
        <v>0.41</v>
      </c>
      <c r="AJ1901" s="541">
        <v>0.82632085530121258</v>
      </c>
      <c r="AK1901" s="543">
        <v>0.41</v>
      </c>
      <c r="AL1901" s="541">
        <v>0.86290441952174257</v>
      </c>
      <c r="AM1901" s="69">
        <f t="shared" si="5"/>
        <v>1901</v>
      </c>
      <c r="AN1901" s="91"/>
      <c r="AO1901" s="91"/>
      <c r="AP1901" s="91"/>
      <c r="AQ1901" s="91"/>
      <c r="AR1901" s="91"/>
      <c r="AS1901" s="91"/>
      <c r="AT1901" s="91"/>
      <c r="AU1901" s="91"/>
      <c r="AV1901" s="91"/>
      <c r="AW1901" s="91"/>
      <c r="AX1901" s="91"/>
      <c r="AY1901" s="91"/>
      <c r="AZ1901" s="91"/>
      <c r="BA1901" s="91"/>
      <c r="BB1901" s="91"/>
      <c r="BC1901" s="91"/>
      <c r="BD1901" s="91"/>
      <c r="BE1901" s="91"/>
      <c r="BF1901" s="91"/>
      <c r="BG1901" s="91"/>
      <c r="BH1901" s="91"/>
      <c r="BI1901" s="91"/>
      <c r="BJ1901" s="91"/>
      <c r="BK1901" s="91"/>
      <c r="BL1901" s="91"/>
      <c r="BM1901" s="91"/>
      <c r="BN1901" s="91"/>
      <c r="BO1901" s="91"/>
    </row>
    <row r="1902" spans="25:67" hidden="1" x14ac:dyDescent="0.25">
      <c r="Y1902" s="91"/>
      <c r="Z1902" s="81">
        <v>0.42000000000000021</v>
      </c>
      <c r="AA1902" s="81">
        <v>0.8632195616062257</v>
      </c>
      <c r="AB1902" s="81">
        <v>0.42932985734760737</v>
      </c>
      <c r="AC1902" s="81">
        <v>0.68071366741187755</v>
      </c>
      <c r="AD1902" s="81">
        <v>0.42000000000000021</v>
      </c>
      <c r="AE1902" s="81">
        <v>0.82561399650688472</v>
      </c>
      <c r="AF1902" s="67"/>
      <c r="AG1902" s="69">
        <f t="shared" si="4"/>
        <v>1902</v>
      </c>
      <c r="AH1902" s="160"/>
      <c r="AI1902" s="542">
        <v>0.42</v>
      </c>
      <c r="AJ1902" s="541">
        <v>0.81790614419699526</v>
      </c>
      <c r="AK1902" s="543">
        <v>0.42</v>
      </c>
      <c r="AL1902" s="541">
        <v>0.85534033984581714</v>
      </c>
      <c r="AM1902" s="69">
        <f t="shared" si="5"/>
        <v>1902</v>
      </c>
      <c r="AN1902" s="91"/>
      <c r="AO1902" s="91"/>
      <c r="AP1902" s="91"/>
      <c r="AQ1902" s="91"/>
      <c r="AR1902" s="91"/>
      <c r="AS1902" s="91"/>
      <c r="AT1902" s="91"/>
      <c r="AU1902" s="91"/>
      <c r="AV1902" s="91"/>
      <c r="AW1902" s="91"/>
      <c r="AX1902" s="91"/>
      <c r="AY1902" s="91"/>
      <c r="AZ1902" s="91"/>
      <c r="BA1902" s="91"/>
      <c r="BB1902" s="91"/>
      <c r="BC1902" s="91"/>
      <c r="BD1902" s="91"/>
      <c r="BE1902" s="91"/>
      <c r="BF1902" s="91"/>
      <c r="BG1902" s="91"/>
      <c r="BH1902" s="91"/>
      <c r="BI1902" s="91"/>
      <c r="BJ1902" s="91"/>
      <c r="BK1902" s="91"/>
      <c r="BL1902" s="91"/>
      <c r="BM1902" s="91"/>
      <c r="BN1902" s="91"/>
      <c r="BO1902" s="91"/>
    </row>
    <row r="1903" spans="25:67" hidden="1" x14ac:dyDescent="0.25">
      <c r="Y1903" s="91"/>
      <c r="Z1903" s="81">
        <v>0.43000000000000022</v>
      </c>
      <c r="AA1903" s="81">
        <v>0.85563600662268646</v>
      </c>
      <c r="AB1903" s="81">
        <v>0.43669525213550919</v>
      </c>
      <c r="AC1903" s="81">
        <v>0.66615733077295192</v>
      </c>
      <c r="AD1903" s="81">
        <v>0.43000000000000022</v>
      </c>
      <c r="AE1903" s="81">
        <v>0.81715410115967591</v>
      </c>
      <c r="AF1903" s="67"/>
      <c r="AG1903" s="69">
        <f t="shared" si="4"/>
        <v>1903</v>
      </c>
      <c r="AH1903" s="160"/>
      <c r="AI1903" s="542">
        <v>0.43</v>
      </c>
      <c r="AJ1903" s="541">
        <v>0.80929617938034482</v>
      </c>
      <c r="AK1903" s="543">
        <v>0.43</v>
      </c>
      <c r="AL1903" s="541">
        <v>0.84755170367785027</v>
      </c>
      <c r="AM1903" s="69">
        <f t="shared" si="5"/>
        <v>1903</v>
      </c>
      <c r="AN1903" s="91"/>
      <c r="AO1903" s="91"/>
      <c r="AP1903" s="91"/>
      <c r="AQ1903" s="91"/>
      <c r="AR1903" s="91"/>
      <c r="AS1903" s="91"/>
      <c r="AT1903" s="91"/>
      <c r="AU1903" s="91"/>
      <c r="AV1903" s="91"/>
      <c r="AW1903" s="91"/>
      <c r="AX1903" s="91"/>
      <c r="AY1903" s="91"/>
      <c r="AZ1903" s="91"/>
      <c r="BA1903" s="91"/>
      <c r="BB1903" s="91"/>
      <c r="BC1903" s="91"/>
      <c r="BD1903" s="91"/>
      <c r="BE1903" s="91"/>
      <c r="BF1903" s="91"/>
      <c r="BG1903" s="91"/>
      <c r="BH1903" s="91"/>
      <c r="BI1903" s="91"/>
      <c r="BJ1903" s="91"/>
      <c r="BK1903" s="91"/>
      <c r="BL1903" s="91"/>
      <c r="BM1903" s="91"/>
      <c r="BN1903" s="91"/>
      <c r="BO1903" s="91"/>
    </row>
    <row r="1904" spans="25:67" hidden="1" x14ac:dyDescent="0.25">
      <c r="Y1904" s="91"/>
      <c r="Z1904" s="81">
        <v>0.44000000000000022</v>
      </c>
      <c r="AA1904" s="81">
        <v>0.8478209035108597</v>
      </c>
      <c r="AB1904" s="81">
        <v>0.44357717098981031</v>
      </c>
      <c r="AC1904" s="81">
        <v>0.6513995407565546</v>
      </c>
      <c r="AD1904" s="81">
        <v>0.44000000000000022</v>
      </c>
      <c r="AE1904" s="81">
        <v>0.80849248354493031</v>
      </c>
      <c r="AF1904" s="67"/>
      <c r="AG1904" s="69">
        <f t="shared" si="4"/>
        <v>1904</v>
      </c>
      <c r="AH1904" s="160"/>
      <c r="AI1904" s="542">
        <v>0.44</v>
      </c>
      <c r="AJ1904" s="541">
        <v>0.80049112904365261</v>
      </c>
      <c r="AK1904" s="543">
        <v>0.44</v>
      </c>
      <c r="AL1904" s="541">
        <v>0.83953729940573218</v>
      </c>
      <c r="AM1904" s="69">
        <f t="shared" si="5"/>
        <v>1904</v>
      </c>
      <c r="AN1904" s="91"/>
      <c r="AO1904" s="91"/>
      <c r="AP1904" s="91"/>
      <c r="AQ1904" s="91"/>
      <c r="AR1904" s="91"/>
      <c r="AS1904" s="91"/>
      <c r="AT1904" s="91"/>
      <c r="AU1904" s="91"/>
      <c r="AV1904" s="91"/>
      <c r="AW1904" s="91"/>
      <c r="AX1904" s="91"/>
      <c r="AY1904" s="91"/>
      <c r="AZ1904" s="91"/>
      <c r="BA1904" s="91"/>
      <c r="BB1904" s="91"/>
      <c r="BC1904" s="91"/>
      <c r="BD1904" s="91"/>
      <c r="BE1904" s="91"/>
      <c r="BF1904" s="91"/>
      <c r="BG1904" s="91"/>
      <c r="BH1904" s="91"/>
      <c r="BI1904" s="91"/>
      <c r="BJ1904" s="91"/>
      <c r="BK1904" s="91"/>
      <c r="BL1904" s="91"/>
      <c r="BM1904" s="91"/>
      <c r="BN1904" s="91"/>
      <c r="BO1904" s="91"/>
    </row>
    <row r="1905" spans="25:67" hidden="1" x14ac:dyDescent="0.25">
      <c r="Y1905" s="91"/>
      <c r="Z1905" s="81">
        <v>0.45000000000000023</v>
      </c>
      <c r="AA1905" s="81">
        <v>0.83977268598405586</v>
      </c>
      <c r="AB1905" s="81">
        <v>0.45000616430470319</v>
      </c>
      <c r="AC1905" s="81">
        <v>0.63645639006072208</v>
      </c>
      <c r="AD1905" s="81">
        <v>0.45000000000000023</v>
      </c>
      <c r="AE1905" s="81">
        <v>0.79962908226255702</v>
      </c>
      <c r="AF1905" s="67"/>
      <c r="AG1905" s="69">
        <f t="shared" si="4"/>
        <v>1905</v>
      </c>
      <c r="AH1905" s="160"/>
      <c r="AI1905" s="542">
        <v>0.455053133</v>
      </c>
      <c r="AJ1905" s="541">
        <v>0.78642290877416299</v>
      </c>
      <c r="AK1905" s="543">
        <v>0.45</v>
      </c>
      <c r="AL1905" s="541">
        <v>0.83129593696348092</v>
      </c>
      <c r="AM1905" s="69">
        <f t="shared" si="5"/>
        <v>1905</v>
      </c>
      <c r="AN1905" s="91"/>
      <c r="AO1905" s="91"/>
      <c r="AP1905" s="91"/>
      <c r="AQ1905" s="91"/>
      <c r="AR1905" s="91"/>
      <c r="AS1905" s="91"/>
      <c r="AT1905" s="91"/>
      <c r="AU1905" s="91"/>
      <c r="AV1905" s="91"/>
      <c r="AW1905" s="91"/>
      <c r="AX1905" s="91"/>
      <c r="AY1905" s="91"/>
      <c r="AZ1905" s="91"/>
      <c r="BA1905" s="91"/>
      <c r="BB1905" s="91"/>
      <c r="BC1905" s="91"/>
      <c r="BD1905" s="91"/>
      <c r="BE1905" s="91"/>
      <c r="BF1905" s="91"/>
      <c r="BG1905" s="91"/>
      <c r="BH1905" s="91"/>
      <c r="BI1905" s="91"/>
      <c r="BJ1905" s="91"/>
      <c r="BK1905" s="91"/>
      <c r="BL1905" s="91"/>
      <c r="BM1905" s="91"/>
      <c r="BN1905" s="91"/>
      <c r="BO1905" s="91"/>
    </row>
    <row r="1906" spans="25:67" hidden="1" x14ac:dyDescent="0.25">
      <c r="Y1906" s="91"/>
      <c r="Z1906" s="81">
        <v>0.46000000000000024</v>
      </c>
      <c r="AA1906" s="81">
        <v>0.8314898127203183</v>
      </c>
      <c r="AB1906" s="81">
        <v>0.45601278247437971</v>
      </c>
      <c r="AC1906" s="81">
        <v>0.62134397138349018</v>
      </c>
      <c r="AD1906" s="81">
        <v>0.46000000000000024</v>
      </c>
      <c r="AE1906" s="81">
        <v>0.79056383727452828</v>
      </c>
      <c r="AF1906" s="67"/>
      <c r="AG1906" s="69">
        <f t="shared" si="4"/>
        <v>1906</v>
      </c>
      <c r="AH1906" s="160"/>
      <c r="AI1906" s="542">
        <v>0.46875825999999998</v>
      </c>
      <c r="AJ1906" s="541">
        <v>0.77229382219311882</v>
      </c>
      <c r="AK1906" s="543">
        <v>0.46</v>
      </c>
      <c r="AL1906" s="541">
        <v>0.82282644697105289</v>
      </c>
      <c r="AM1906" s="69">
        <f t="shared" si="5"/>
        <v>1906</v>
      </c>
      <c r="AN1906" s="91"/>
      <c r="AO1906" s="91"/>
      <c r="AP1906" s="91"/>
      <c r="AQ1906" s="91"/>
      <c r="AR1906" s="91"/>
      <c r="AS1906" s="91"/>
      <c r="AT1906" s="91"/>
      <c r="AU1906" s="91"/>
      <c r="AV1906" s="91"/>
      <c r="AW1906" s="91"/>
      <c r="AX1906" s="91"/>
      <c r="AY1906" s="91"/>
      <c r="AZ1906" s="91"/>
      <c r="BA1906" s="91"/>
      <c r="BB1906" s="91"/>
      <c r="BC1906" s="91"/>
      <c r="BD1906" s="91"/>
      <c r="BE1906" s="91"/>
      <c r="BF1906" s="91"/>
      <c r="BG1906" s="91"/>
      <c r="BH1906" s="91"/>
      <c r="BI1906" s="91"/>
      <c r="BJ1906" s="91"/>
      <c r="BK1906" s="91"/>
      <c r="BL1906" s="91"/>
      <c r="BM1906" s="91"/>
      <c r="BN1906" s="91"/>
      <c r="BO1906" s="91"/>
    </row>
    <row r="1907" spans="25:67" hidden="1" x14ac:dyDescent="0.25">
      <c r="Y1907" s="91"/>
      <c r="Z1907" s="81">
        <v>0.47000000000000025</v>
      </c>
      <c r="AA1907" s="81">
        <v>0.82297076642258615</v>
      </c>
      <c r="AB1907" s="81">
        <v>0.4616275758930321</v>
      </c>
      <c r="AC1907" s="81">
        <v>0.60607837742289528</v>
      </c>
      <c r="AD1907" s="81">
        <v>0.47000000000000025</v>
      </c>
      <c r="AE1907" s="81">
        <v>0.78129668984537415</v>
      </c>
      <c r="AF1907" s="67"/>
      <c r="AG1907" s="69">
        <f t="shared" si="4"/>
        <v>1907</v>
      </c>
      <c r="AH1907" s="160"/>
      <c r="AI1907" s="542">
        <v>0.48170186500000001</v>
      </c>
      <c r="AJ1907" s="541">
        <v>0.75764197510375253</v>
      </c>
      <c r="AK1907" s="543">
        <v>0.47</v>
      </c>
      <c r="AL1907" s="541">
        <v>0.81412767992670509</v>
      </c>
      <c r="AM1907" s="69">
        <f t="shared" si="5"/>
        <v>1907</v>
      </c>
      <c r="AN1907" s="91"/>
      <c r="AO1907" s="91"/>
      <c r="AP1907" s="91"/>
      <c r="AQ1907" s="91"/>
      <c r="AR1907" s="91"/>
      <c r="AS1907" s="91"/>
      <c r="AT1907" s="91"/>
      <c r="AU1907" s="91"/>
      <c r="AV1907" s="91"/>
      <c r="AW1907" s="91"/>
      <c r="AX1907" s="91"/>
      <c r="AY1907" s="91"/>
      <c r="AZ1907" s="91"/>
      <c r="BA1907" s="91"/>
      <c r="BB1907" s="91"/>
      <c r="BC1907" s="91"/>
      <c r="BD1907" s="91"/>
      <c r="BE1907" s="91"/>
      <c r="BF1907" s="91"/>
      <c r="BG1907" s="91"/>
      <c r="BH1907" s="91"/>
      <c r="BI1907" s="91"/>
      <c r="BJ1907" s="91"/>
      <c r="BK1907" s="91"/>
      <c r="BL1907" s="91"/>
      <c r="BM1907" s="91"/>
      <c r="BN1907" s="91"/>
      <c r="BO1907" s="91"/>
    </row>
    <row r="1908" spans="25:67" hidden="1" x14ac:dyDescent="0.25">
      <c r="Y1908" s="91"/>
      <c r="Z1908" s="81">
        <v>0.48000000000000026</v>
      </c>
      <c r="AA1908" s="81">
        <v>0.8142140529337667</v>
      </c>
      <c r="AB1908" s="81">
        <v>0.46688109495485292</v>
      </c>
      <c r="AC1908" s="81">
        <v>0.59067570087697374</v>
      </c>
      <c r="AD1908" s="81">
        <v>0.48000000000000026</v>
      </c>
      <c r="AE1908" s="81">
        <v>0.77182758248650218</v>
      </c>
      <c r="AF1908" s="67"/>
      <c r="AG1908" s="69">
        <f t="shared" si="4"/>
        <v>1908</v>
      </c>
      <c r="AH1908" s="160"/>
      <c r="AI1908" s="542">
        <v>0.49391909299999998</v>
      </c>
      <c r="AJ1908" s="541">
        <v>0.74249660235295012</v>
      </c>
      <c r="AK1908" s="543">
        <v>0.48</v>
      </c>
      <c r="AL1908" s="541">
        <v>0.80519850544763272</v>
      </c>
      <c r="AM1908" s="69">
        <f t="shared" si="5"/>
        <v>1908</v>
      </c>
      <c r="AN1908" s="91"/>
      <c r="AO1908" s="91"/>
      <c r="AP1908" s="91"/>
      <c r="AQ1908" s="91"/>
      <c r="AR1908" s="91"/>
      <c r="AS1908" s="91"/>
      <c r="AT1908" s="91"/>
      <c r="AU1908" s="91"/>
      <c r="AV1908" s="91"/>
      <c r="AW1908" s="91"/>
      <c r="AX1908" s="91"/>
      <c r="AY1908" s="91"/>
      <c r="AZ1908" s="91"/>
      <c r="BA1908" s="91"/>
      <c r="BB1908" s="91"/>
      <c r="BC1908" s="91"/>
      <c r="BD1908" s="91"/>
      <c r="BE1908" s="91"/>
      <c r="BF1908" s="91"/>
      <c r="BG1908" s="91"/>
      <c r="BH1908" s="91"/>
      <c r="BI1908" s="91"/>
      <c r="BJ1908" s="91"/>
      <c r="BK1908" s="91"/>
      <c r="BL1908" s="91"/>
      <c r="BM1908" s="91"/>
      <c r="BN1908" s="91"/>
      <c r="BO1908" s="91"/>
    </row>
    <row r="1909" spans="25:67" hidden="1" x14ac:dyDescent="0.25">
      <c r="Y1909" s="91"/>
      <c r="Z1909" s="81">
        <v>0.49000000000000027</v>
      </c>
      <c r="AA1909" s="81">
        <v>0.80521820040241343</v>
      </c>
      <c r="AB1909" s="81">
        <v>0.47180389005403423</v>
      </c>
      <c r="AC1909" s="81">
        <v>0.57515203444376184</v>
      </c>
      <c r="AD1909" s="81">
        <v>0.49000000000000027</v>
      </c>
      <c r="AE1909" s="81">
        <v>0.76215645890401884</v>
      </c>
      <c r="AF1909" s="67"/>
      <c r="AG1909" s="69">
        <f t="shared" si="4"/>
        <v>1909</v>
      </c>
      <c r="AH1909" s="160"/>
      <c r="AI1909" s="542">
        <v>0.50544508899999996</v>
      </c>
      <c r="AJ1909" s="541">
        <v>0.72688693878759669</v>
      </c>
      <c r="AK1909" s="543">
        <v>0.50044773799999998</v>
      </c>
      <c r="AL1909" s="541">
        <v>0.78567515472487837</v>
      </c>
      <c r="AM1909" s="69">
        <f t="shared" si="5"/>
        <v>1909</v>
      </c>
      <c r="AN1909" s="91"/>
      <c r="AO1909" s="91"/>
      <c r="AP1909" s="91"/>
      <c r="AQ1909" s="91"/>
      <c r="AR1909" s="91"/>
      <c r="AS1909" s="91"/>
      <c r="AT1909" s="91"/>
      <c r="AU1909" s="91"/>
      <c r="AV1909" s="91"/>
      <c r="AW1909" s="91"/>
      <c r="AX1909" s="91"/>
      <c r="AY1909" s="91"/>
      <c r="AZ1909" s="91"/>
      <c r="BA1909" s="91"/>
      <c r="BB1909" s="91"/>
      <c r="BC1909" s="91"/>
      <c r="BD1909" s="91"/>
      <c r="BE1909" s="91"/>
      <c r="BF1909" s="91"/>
      <c r="BG1909" s="91"/>
      <c r="BH1909" s="91"/>
      <c r="BI1909" s="91"/>
      <c r="BJ1909" s="91"/>
      <c r="BK1909" s="91"/>
      <c r="BL1909" s="91"/>
      <c r="BM1909" s="91"/>
      <c r="BN1909" s="91"/>
      <c r="BO1909" s="91"/>
    </row>
    <row r="1910" spans="25:67" hidden="1" x14ac:dyDescent="0.25">
      <c r="Y1910" s="91"/>
      <c r="Z1910" s="81">
        <v>0.51042087276606152</v>
      </c>
      <c r="AA1910" s="81">
        <v>0.78545488351487225</v>
      </c>
      <c r="AB1910" s="81">
        <v>0.4764265115847684</v>
      </c>
      <c r="AC1910" s="81">
        <v>0.55952347082129583</v>
      </c>
      <c r="AD1910" s="81">
        <v>0.50000000000000022</v>
      </c>
      <c r="AE1910" s="81">
        <v>0.75228326394976786</v>
      </c>
      <c r="AF1910" s="67"/>
      <c r="AG1910" s="69">
        <f t="shared" si="4"/>
        <v>1910</v>
      </c>
      <c r="AH1910" s="160"/>
      <c r="AI1910" s="542">
        <v>0.51631499800000002</v>
      </c>
      <c r="AJ1910" s="541">
        <v>0.71084221925457813</v>
      </c>
      <c r="AK1910" s="543">
        <v>0.51423404100000003</v>
      </c>
      <c r="AL1910" s="541">
        <v>0.77068789141755278</v>
      </c>
      <c r="AM1910" s="69">
        <f t="shared" si="5"/>
        <v>1910</v>
      </c>
      <c r="AN1910" s="91"/>
      <c r="AO1910" s="91"/>
      <c r="AP1910" s="91"/>
      <c r="AQ1910" s="91"/>
      <c r="AR1910" s="91"/>
      <c r="AS1910" s="91"/>
      <c r="AT1910" s="91"/>
      <c r="AU1910" s="91"/>
      <c r="AV1910" s="91"/>
      <c r="AW1910" s="91"/>
      <c r="AX1910" s="91"/>
      <c r="AY1910" s="91"/>
      <c r="AZ1910" s="91"/>
      <c r="BA1910" s="91"/>
      <c r="BB1910" s="91"/>
      <c r="BC1910" s="91"/>
      <c r="BD1910" s="91"/>
      <c r="BE1910" s="91"/>
      <c r="BF1910" s="91"/>
      <c r="BG1910" s="91"/>
      <c r="BH1910" s="91"/>
      <c r="BI1910" s="91"/>
      <c r="BJ1910" s="91"/>
      <c r="BK1910" s="91"/>
      <c r="BL1910" s="91"/>
      <c r="BM1910" s="91"/>
      <c r="BN1910" s="91"/>
      <c r="BO1910" s="91"/>
    </row>
    <row r="1911" spans="25:67" hidden="1" x14ac:dyDescent="0.25">
      <c r="Y1911" s="91"/>
      <c r="Z1911" s="81">
        <v>0.52401587692804152</v>
      </c>
      <c r="AA1911" s="81">
        <v>0.77021654225459801</v>
      </c>
      <c r="AB1911" s="81">
        <v>0.48077950994124741</v>
      </c>
      <c r="AC1911" s="81">
        <v>0.54380610270761154</v>
      </c>
      <c r="AD1911" s="81">
        <v>0.51000000000000023</v>
      </c>
      <c r="AE1911" s="81">
        <v>0.74220794357532327</v>
      </c>
      <c r="AF1911" s="67"/>
      <c r="AG1911" s="69">
        <f t="shared" si="4"/>
        <v>1911</v>
      </c>
      <c r="AH1911" s="160"/>
      <c r="AI1911" s="542">
        <v>0.52656396400000005</v>
      </c>
      <c r="AJ1911" s="541">
        <v>0.69439167860077955</v>
      </c>
      <c r="AK1911" s="543">
        <v>0.52711066200000001</v>
      </c>
      <c r="AL1911" s="541">
        <v>0.75507546158322725</v>
      </c>
      <c r="AM1911" s="69">
        <f t="shared" si="5"/>
        <v>1911</v>
      </c>
      <c r="AN1911" s="91"/>
      <c r="AO1911" s="91"/>
      <c r="AP1911" s="91"/>
      <c r="AQ1911" s="91"/>
      <c r="AR1911" s="91"/>
      <c r="AS1911" s="91"/>
      <c r="AT1911" s="91"/>
      <c r="AU1911" s="91"/>
      <c r="AV1911" s="91"/>
      <c r="AW1911" s="91"/>
      <c r="AX1911" s="91"/>
      <c r="AY1911" s="91"/>
      <c r="AZ1911" s="91"/>
      <c r="BA1911" s="91"/>
      <c r="BB1911" s="91"/>
      <c r="BC1911" s="91"/>
      <c r="BD1911" s="91"/>
      <c r="BE1911" s="91"/>
      <c r="BF1911" s="91"/>
      <c r="BG1911" s="91"/>
      <c r="BH1911" s="91"/>
      <c r="BI1911" s="91"/>
      <c r="BJ1911" s="91"/>
      <c r="BK1911" s="91"/>
      <c r="BL1911" s="91"/>
      <c r="BM1911" s="91"/>
      <c r="BN1911" s="91"/>
      <c r="BO1911" s="91"/>
    </row>
    <row r="1912" spans="25:67" hidden="1" x14ac:dyDescent="0.25">
      <c r="Y1912" s="91"/>
      <c r="Z1912" s="81">
        <v>0.5365248215803976</v>
      </c>
      <c r="AA1912" s="81">
        <v>0.75432462387963539</v>
      </c>
      <c r="AB1912" s="81">
        <v>0.48489343551766373</v>
      </c>
      <c r="AC1912" s="81">
        <v>0.52801602280074567</v>
      </c>
      <c r="AD1912" s="81">
        <v>0.52000000000000024</v>
      </c>
      <c r="AE1912" s="81">
        <v>0.73193044478870517</v>
      </c>
      <c r="AF1912" s="67"/>
      <c r="AG1912" s="69">
        <f t="shared" si="4"/>
        <v>1912</v>
      </c>
      <c r="AH1912" s="160"/>
      <c r="AI1912" s="542">
        <v>0.53622713300000002</v>
      </c>
      <c r="AJ1912" s="541">
        <v>0.67756455167308682</v>
      </c>
      <c r="AK1912" s="543">
        <v>0.53912352200000002</v>
      </c>
      <c r="AL1912" s="541">
        <v>0.73887511672710571</v>
      </c>
      <c r="AM1912" s="69">
        <f t="shared" si="5"/>
        <v>1912</v>
      </c>
      <c r="AN1912" s="91"/>
      <c r="AO1912" s="91"/>
      <c r="AP1912" s="91"/>
      <c r="AQ1912" s="91"/>
      <c r="AR1912" s="91"/>
      <c r="AS1912" s="91"/>
      <c r="AT1912" s="91"/>
      <c r="AU1912" s="91"/>
      <c r="AV1912" s="91"/>
      <c r="AW1912" s="91"/>
      <c r="AX1912" s="91"/>
      <c r="AY1912" s="91"/>
      <c r="AZ1912" s="91"/>
      <c r="BA1912" s="91"/>
      <c r="BB1912" s="91"/>
      <c r="BC1912" s="91"/>
      <c r="BD1912" s="91"/>
      <c r="BE1912" s="91"/>
      <c r="BF1912" s="91"/>
      <c r="BG1912" s="91"/>
      <c r="BH1912" s="91"/>
      <c r="BI1912" s="91"/>
      <c r="BJ1912" s="91"/>
      <c r="BK1912" s="91"/>
      <c r="BL1912" s="91"/>
      <c r="BM1912" s="91"/>
      <c r="BN1912" s="91"/>
      <c r="BO1912" s="91"/>
    </row>
    <row r="1913" spans="25:67" hidden="1" x14ac:dyDescent="0.25">
      <c r="Y1913" s="91"/>
      <c r="Z1913" s="81">
        <v>0.54800588283631457</v>
      </c>
      <c r="AA1913" s="81">
        <v>0.73781877605044366</v>
      </c>
      <c r="AB1913" s="81">
        <v>0.48879883870820967</v>
      </c>
      <c r="AC1913" s="81">
        <v>0.51216932379873459</v>
      </c>
      <c r="AD1913" s="81">
        <v>0.53000000000000025</v>
      </c>
      <c r="AE1913" s="81">
        <v>0.72145071561360752</v>
      </c>
      <c r="AF1913" s="67"/>
      <c r="AG1913" s="69">
        <f t="shared" si="4"/>
        <v>1913</v>
      </c>
      <c r="AH1913" s="160"/>
      <c r="AI1913" s="542">
        <v>0.54533964899999998</v>
      </c>
      <c r="AJ1913" s="541">
        <v>0.66039007331838506</v>
      </c>
      <c r="AK1913" s="543">
        <v>0.55031854099999999</v>
      </c>
      <c r="AL1913" s="541">
        <v>0.72212410835439189</v>
      </c>
      <c r="AM1913" s="69">
        <f t="shared" si="5"/>
        <v>1913</v>
      </c>
      <c r="AN1913" s="91"/>
      <c r="AO1913" s="91"/>
      <c r="AP1913" s="91"/>
      <c r="AQ1913" s="91"/>
      <c r="AR1913" s="91"/>
      <c r="AS1913" s="91"/>
      <c r="AT1913" s="91"/>
      <c r="AU1913" s="91"/>
      <c r="AV1913" s="91"/>
      <c r="AW1913" s="91"/>
      <c r="AX1913" s="91"/>
      <c r="AY1913" s="91"/>
      <c r="AZ1913" s="91"/>
      <c r="BA1913" s="91"/>
      <c r="BB1913" s="91"/>
      <c r="BC1913" s="91"/>
      <c r="BD1913" s="91"/>
      <c r="BE1913" s="91"/>
      <c r="BF1913" s="91"/>
      <c r="BG1913" s="91"/>
      <c r="BH1913" s="91"/>
      <c r="BI1913" s="91"/>
      <c r="BJ1913" s="91"/>
      <c r="BK1913" s="91"/>
      <c r="BL1913" s="91"/>
      <c r="BM1913" s="91"/>
      <c r="BN1913" s="91"/>
      <c r="BO1913" s="91"/>
    </row>
    <row r="1914" spans="25:67" hidden="1" x14ac:dyDescent="0.25">
      <c r="Y1914" s="91"/>
      <c r="Z1914" s="81">
        <v>0.55851723680897714</v>
      </c>
      <c r="AA1914" s="81">
        <v>0.72073864642748131</v>
      </c>
      <c r="AB1914" s="81">
        <v>0.49252626990707743</v>
      </c>
      <c r="AC1914" s="81">
        <v>0.49628209839961424</v>
      </c>
      <c r="AD1914" s="81">
        <v>0.54000000000000026</v>
      </c>
      <c r="AE1914" s="81">
        <v>0.71076870505094658</v>
      </c>
      <c r="AF1914" s="67"/>
      <c r="AG1914" s="69">
        <f t="shared" si="4"/>
        <v>1914</v>
      </c>
      <c r="AH1914" s="160"/>
      <c r="AI1914" s="542">
        <v>0.55393665700000005</v>
      </c>
      <c r="AJ1914" s="541">
        <v>0.64289747838356026</v>
      </c>
      <c r="AK1914" s="543">
        <v>0.56074163899999996</v>
      </c>
      <c r="AL1914" s="541">
        <v>0.70485968797029031</v>
      </c>
      <c r="AM1914" s="69">
        <f t="shared" si="5"/>
        <v>1914</v>
      </c>
      <c r="AN1914" s="91"/>
      <c r="AO1914" s="91"/>
      <c r="AP1914" s="91"/>
      <c r="AQ1914" s="91"/>
      <c r="AR1914" s="91"/>
      <c r="AS1914" s="91"/>
      <c r="AT1914" s="91"/>
      <c r="AU1914" s="91"/>
      <c r="AV1914" s="91"/>
      <c r="AW1914" s="91"/>
      <c r="AX1914" s="91"/>
      <c r="AY1914" s="91"/>
      <c r="AZ1914" s="91"/>
      <c r="BA1914" s="91"/>
      <c r="BB1914" s="91"/>
      <c r="BC1914" s="91"/>
      <c r="BD1914" s="91"/>
      <c r="BE1914" s="91"/>
      <c r="BF1914" s="91"/>
      <c r="BG1914" s="91"/>
      <c r="BH1914" s="91"/>
      <c r="BI1914" s="91"/>
      <c r="BJ1914" s="91"/>
      <c r="BK1914" s="91"/>
      <c r="BL1914" s="91"/>
      <c r="BM1914" s="91"/>
      <c r="BN1914" s="91"/>
      <c r="BO1914" s="91"/>
    </row>
    <row r="1915" spans="25:67" hidden="1" x14ac:dyDescent="0.25">
      <c r="Y1915" s="91"/>
      <c r="Z1915" s="81">
        <v>0.56811705961157055</v>
      </c>
      <c r="AA1915" s="81">
        <v>0.70312388267120696</v>
      </c>
      <c r="AB1915" s="81">
        <v>0.49610627950845898</v>
      </c>
      <c r="AC1915" s="81">
        <v>0.48037043930142065</v>
      </c>
      <c r="AD1915" s="81">
        <v>0.55000000000000027</v>
      </c>
      <c r="AE1915" s="81">
        <v>0.69988436304255597</v>
      </c>
      <c r="AF1915" s="67"/>
      <c r="AG1915" s="69">
        <f t="shared" si="4"/>
        <v>1915</v>
      </c>
      <c r="AH1915" s="160"/>
      <c r="AI1915" s="542">
        <v>0.56205330200000003</v>
      </c>
      <c r="AJ1915" s="541">
        <v>0.62511600171549742</v>
      </c>
      <c r="AK1915" s="543">
        <v>0.57043873899999997</v>
      </c>
      <c r="AL1915" s="541">
        <v>0.6871191070800049</v>
      </c>
      <c r="AM1915" s="69">
        <f t="shared" si="5"/>
        <v>1915</v>
      </c>
      <c r="AN1915" s="91"/>
      <c r="AO1915" s="91"/>
      <c r="AP1915" s="91"/>
      <c r="AQ1915" s="91"/>
      <c r="AR1915" s="91"/>
      <c r="AS1915" s="91"/>
      <c r="AT1915" s="91"/>
      <c r="AU1915" s="91"/>
      <c r="AV1915" s="91"/>
      <c r="AW1915" s="91"/>
      <c r="AX1915" s="91"/>
      <c r="AY1915" s="91"/>
      <c r="AZ1915" s="91"/>
      <c r="BA1915" s="91"/>
      <c r="BB1915" s="91"/>
      <c r="BC1915" s="91"/>
      <c r="BD1915" s="91"/>
      <c r="BE1915" s="91"/>
      <c r="BF1915" s="91"/>
      <c r="BG1915" s="91"/>
      <c r="BH1915" s="91"/>
      <c r="BI1915" s="91"/>
      <c r="BJ1915" s="91"/>
      <c r="BK1915" s="91"/>
      <c r="BL1915" s="91"/>
      <c r="BM1915" s="91"/>
      <c r="BN1915" s="91"/>
      <c r="BO1915" s="91"/>
    </row>
    <row r="1916" spans="25:67" hidden="1" x14ac:dyDescent="0.25">
      <c r="Y1916" s="91"/>
      <c r="Z1916" s="81">
        <v>0.57686352735727975</v>
      </c>
      <c r="AA1916" s="81">
        <v>0.68501413244207998</v>
      </c>
      <c r="AB1916" s="81">
        <v>0.49956941790654696</v>
      </c>
      <c r="AC1916" s="81">
        <v>0.46445043920219048</v>
      </c>
      <c r="AD1916" s="81">
        <v>0.56000000000000028</v>
      </c>
      <c r="AE1916" s="81">
        <v>0.68879764043687408</v>
      </c>
      <c r="AF1916" s="67"/>
      <c r="AG1916" s="69">
        <f t="shared" si="4"/>
        <v>1916</v>
      </c>
      <c r="AH1916" s="160"/>
      <c r="AI1916" s="542">
        <v>0.56972472900000004</v>
      </c>
      <c r="AJ1916" s="541">
        <v>0.60707487816108252</v>
      </c>
      <c r="AK1916" s="543">
        <v>0.57945575900000001</v>
      </c>
      <c r="AL1916" s="541">
        <v>0.6689396171887394</v>
      </c>
      <c r="AM1916" s="69">
        <f t="shared" si="5"/>
        <v>1916</v>
      </c>
      <c r="AN1916" s="91"/>
      <c r="AO1916" s="91"/>
      <c r="AP1916" s="91"/>
      <c r="AQ1916" s="91"/>
      <c r="AR1916" s="91"/>
      <c r="AS1916" s="91"/>
      <c r="AT1916" s="91"/>
      <c r="AU1916" s="91"/>
      <c r="AV1916" s="91"/>
      <c r="AW1916" s="91"/>
      <c r="AX1916" s="91"/>
      <c r="AY1916" s="91"/>
      <c r="AZ1916" s="91"/>
      <c r="BA1916" s="91"/>
      <c r="BB1916" s="91"/>
      <c r="BC1916" s="91"/>
      <c r="BD1916" s="91"/>
      <c r="BE1916" s="91"/>
      <c r="BF1916" s="91"/>
      <c r="BG1916" s="91"/>
      <c r="BH1916" s="91"/>
      <c r="BI1916" s="91"/>
      <c r="BJ1916" s="91"/>
      <c r="BK1916" s="91"/>
      <c r="BL1916" s="91"/>
      <c r="BM1916" s="91"/>
      <c r="BN1916" s="91"/>
      <c r="BO1916" s="91"/>
    </row>
    <row r="1917" spans="25:67" hidden="1" x14ac:dyDescent="0.25">
      <c r="Y1917" s="91"/>
      <c r="Z1917" s="81">
        <v>0.58481481615928921</v>
      </c>
      <c r="AA1917" s="81">
        <v>0.66644904340055833</v>
      </c>
      <c r="AB1917" s="81">
        <v>0.50294623549553341</v>
      </c>
      <c r="AC1917" s="81">
        <v>0.44853819079996005</v>
      </c>
      <c r="AD1917" s="81">
        <v>0.57000000000000028</v>
      </c>
      <c r="AE1917" s="81">
        <v>0.67750848895647753</v>
      </c>
      <c r="AF1917" s="67"/>
      <c r="AG1917" s="69">
        <f t="shared" si="4"/>
        <v>1917</v>
      </c>
      <c r="AH1917" s="160"/>
      <c r="AI1917" s="542">
        <v>0.57698608200000001</v>
      </c>
      <c r="AJ1917" s="541">
        <v>0.58880334256720046</v>
      </c>
      <c r="AK1917" s="543">
        <v>0.58783861999999998</v>
      </c>
      <c r="AL1917" s="541">
        <v>0.65035846980169798</v>
      </c>
      <c r="AM1917" s="69">
        <f t="shared" si="5"/>
        <v>1917</v>
      </c>
      <c r="AN1917" s="91"/>
      <c r="AO1917" s="91"/>
      <c r="AP1917" s="91"/>
      <c r="AQ1917" s="91"/>
      <c r="AR1917" s="91"/>
      <c r="AS1917" s="91"/>
      <c r="AT1917" s="91"/>
      <c r="AU1917" s="91"/>
      <c r="AV1917" s="91"/>
      <c r="AW1917" s="91"/>
      <c r="AX1917" s="91"/>
      <c r="AY1917" s="91"/>
      <c r="AZ1917" s="91"/>
      <c r="BA1917" s="91"/>
      <c r="BB1917" s="91"/>
      <c r="BC1917" s="91"/>
      <c r="BD1917" s="91"/>
      <c r="BE1917" s="91"/>
      <c r="BF1917" s="91"/>
      <c r="BG1917" s="91"/>
      <c r="BH1917" s="91"/>
      <c r="BI1917" s="91"/>
      <c r="BJ1917" s="91"/>
      <c r="BK1917" s="91"/>
      <c r="BL1917" s="91"/>
      <c r="BM1917" s="91"/>
      <c r="BN1917" s="91"/>
      <c r="BO1917" s="91"/>
    </row>
    <row r="1918" spans="25:67" hidden="1" x14ac:dyDescent="0.25">
      <c r="Y1918" s="91"/>
      <c r="Z1918" s="81">
        <v>0.59202910213078441</v>
      </c>
      <c r="AA1918" s="81">
        <v>0.64746826320710138</v>
      </c>
      <c r="AB1918" s="81">
        <v>0.50626728266961085</v>
      </c>
      <c r="AC1918" s="81">
        <v>0.43264978679276533</v>
      </c>
      <c r="AD1918" s="81">
        <v>0.58000000000000029</v>
      </c>
      <c r="AE1918" s="81">
        <v>0.66601686116733139</v>
      </c>
      <c r="AF1918" s="67"/>
      <c r="AG1918" s="69">
        <f t="shared" si="4"/>
        <v>1918</v>
      </c>
      <c r="AH1918" s="160"/>
      <c r="AI1918" s="542">
        <v>0.58387250700000004</v>
      </c>
      <c r="AJ1918" s="541">
        <v>0.57033062978073745</v>
      </c>
      <c r="AK1918" s="543">
        <v>0.59563324399999995</v>
      </c>
      <c r="AL1918" s="541">
        <v>0.63141291642408492</v>
      </c>
      <c r="AM1918" s="69">
        <f t="shared" si="5"/>
        <v>1918</v>
      </c>
      <c r="AN1918" s="91"/>
      <c r="AO1918" s="91"/>
      <c r="AP1918" s="91"/>
      <c r="AQ1918" s="91"/>
      <c r="AR1918" s="91"/>
      <c r="AS1918" s="91"/>
      <c r="AT1918" s="91"/>
      <c r="AU1918" s="91"/>
      <c r="AV1918" s="91"/>
      <c r="AW1918" s="91"/>
      <c r="AX1918" s="91"/>
      <c r="AY1918" s="91"/>
      <c r="AZ1918" s="91"/>
      <c r="BA1918" s="91"/>
      <c r="BB1918" s="91"/>
      <c r="BC1918" s="91"/>
      <c r="BD1918" s="91"/>
      <c r="BE1918" s="91"/>
      <c r="BF1918" s="91"/>
      <c r="BG1918" s="91"/>
      <c r="BH1918" s="91"/>
      <c r="BI1918" s="91"/>
      <c r="BJ1918" s="91"/>
      <c r="BK1918" s="91"/>
      <c r="BL1918" s="91"/>
      <c r="BM1918" s="91"/>
      <c r="BN1918" s="91"/>
      <c r="BO1918" s="91"/>
    </row>
    <row r="1919" spans="25:67" hidden="1" x14ac:dyDescent="0.25">
      <c r="Y1919" s="91"/>
      <c r="Z1919" s="81">
        <v>0.59856456138494973</v>
      </c>
      <c r="AA1919" s="81">
        <v>0.62811143952216786</v>
      </c>
      <c r="AB1919" s="81">
        <v>0.50956310982297104</v>
      </c>
      <c r="AC1919" s="81">
        <v>0.41680131987864255</v>
      </c>
      <c r="AD1919" s="81">
        <v>0.5900000000000003</v>
      </c>
      <c r="AE1919" s="81">
        <v>0.65432271044963963</v>
      </c>
      <c r="AF1919" s="67"/>
      <c r="AG1919" s="69">
        <f t="shared" si="4"/>
        <v>1919</v>
      </c>
      <c r="AH1919" s="160"/>
      <c r="AI1919" s="542">
        <v>0.59041914799999995</v>
      </c>
      <c r="AJ1919" s="541">
        <v>0.55168597464857849</v>
      </c>
      <c r="AK1919" s="543">
        <v>0.60288554999999999</v>
      </c>
      <c r="AL1919" s="541">
        <v>0.61214020856110396</v>
      </c>
      <c r="AM1919" s="69">
        <f t="shared" si="5"/>
        <v>1919</v>
      </c>
      <c r="AN1919" s="91"/>
      <c r="AO1919" s="91"/>
      <c r="AP1919" s="91"/>
      <c r="AQ1919" s="91"/>
      <c r="AR1919" s="91"/>
      <c r="AS1919" s="91"/>
      <c r="AT1919" s="91"/>
      <c r="AU1919" s="91"/>
      <c r="AV1919" s="91"/>
      <c r="AW1919" s="91"/>
      <c r="AX1919" s="91"/>
      <c r="AY1919" s="91"/>
      <c r="AZ1919" s="91"/>
      <c r="BA1919" s="91"/>
      <c r="BB1919" s="91"/>
      <c r="BC1919" s="91"/>
      <c r="BD1919" s="91"/>
      <c r="BE1919" s="91"/>
      <c r="BF1919" s="91"/>
      <c r="BG1919" s="91"/>
      <c r="BH1919" s="91"/>
      <c r="BI1919" s="91"/>
      <c r="BJ1919" s="91"/>
      <c r="BK1919" s="91"/>
      <c r="BL1919" s="91"/>
      <c r="BM1919" s="91"/>
      <c r="BN1919" s="91"/>
      <c r="BO1919" s="91"/>
    </row>
    <row r="1920" spans="25:67" hidden="1" x14ac:dyDescent="0.25">
      <c r="Y1920" s="91"/>
      <c r="Z1920" s="81">
        <v>0.60447937003497065</v>
      </c>
      <c r="AA1920" s="81">
        <v>0.60841822000621648</v>
      </c>
      <c r="AB1920" s="81">
        <v>0.5128642673498065</v>
      </c>
      <c r="AC1920" s="81">
        <v>0.40100888275562807</v>
      </c>
      <c r="AD1920" s="81">
        <v>0.60000000000000031</v>
      </c>
      <c r="AE1920" s="81">
        <v>0.64242599097018116</v>
      </c>
      <c r="AF1920" s="67"/>
      <c r="AG1920" s="69">
        <f t="shared" si="4"/>
        <v>1920</v>
      </c>
      <c r="AH1920" s="160"/>
      <c r="AI1920" s="542">
        <v>0.59666114999999997</v>
      </c>
      <c r="AJ1920" s="541">
        <v>0.53289861201760935</v>
      </c>
      <c r="AK1920" s="543">
        <v>0.609641459</v>
      </c>
      <c r="AL1920" s="541">
        <v>0.59257759771795904</v>
      </c>
      <c r="AM1920" s="69">
        <f t="shared" si="5"/>
        <v>1920</v>
      </c>
      <c r="AN1920" s="91"/>
      <c r="AO1920" s="91"/>
      <c r="AP1920" s="91"/>
      <c r="AQ1920" s="91"/>
      <c r="AR1920" s="91"/>
      <c r="AS1920" s="91"/>
      <c r="AT1920" s="91"/>
      <c r="AU1920" s="91"/>
      <c r="AV1920" s="91"/>
      <c r="AW1920" s="91"/>
      <c r="AX1920" s="91"/>
      <c r="AY1920" s="91"/>
      <c r="AZ1920" s="91"/>
      <c r="BA1920" s="91"/>
      <c r="BB1920" s="91"/>
      <c r="BC1920" s="91"/>
      <c r="BD1920" s="91"/>
      <c r="BE1920" s="91"/>
      <c r="BF1920" s="91"/>
      <c r="BG1920" s="91"/>
      <c r="BH1920" s="91"/>
      <c r="BI1920" s="91"/>
      <c r="BJ1920" s="91"/>
      <c r="BK1920" s="91"/>
      <c r="BL1920" s="91"/>
      <c r="BM1920" s="91"/>
      <c r="BN1920" s="91"/>
      <c r="BO1920" s="91"/>
    </row>
    <row r="1921" spans="25:67" hidden="1" x14ac:dyDescent="0.25">
      <c r="Y1921" s="91"/>
      <c r="Z1921" s="81">
        <v>0.60983170419403154</v>
      </c>
      <c r="AA1921" s="81">
        <v>0.58842825231970552</v>
      </c>
      <c r="AB1921" s="81">
        <v>0.51620130564430966</v>
      </c>
      <c r="AC1921" s="81">
        <v>0.38528856812175827</v>
      </c>
      <c r="AD1921" s="81">
        <v>0.61000000000000032</v>
      </c>
      <c r="AE1921" s="81">
        <v>0.63032665765603757</v>
      </c>
      <c r="AF1921" s="67"/>
      <c r="AG1921" s="69">
        <f t="shared" si="4"/>
        <v>1921</v>
      </c>
      <c r="AH1921" s="160"/>
      <c r="AI1921" s="542">
        <v>0.60263365800000002</v>
      </c>
      <c r="AJ1921" s="541">
        <v>0.51399777673471525</v>
      </c>
      <c r="AK1921" s="543">
        <v>0.61594689199999997</v>
      </c>
      <c r="AL1921" s="541">
        <v>0.57276233539985433</v>
      </c>
      <c r="AM1921" s="69">
        <f t="shared" si="5"/>
        <v>1921</v>
      </c>
      <c r="AN1921" s="91"/>
      <c r="AO1921" s="91"/>
      <c r="AP1921" s="91"/>
      <c r="AQ1921" s="91"/>
      <c r="AR1921" s="91"/>
      <c r="AS1921" s="91"/>
      <c r="AT1921" s="91"/>
      <c r="AU1921" s="91"/>
      <c r="AV1921" s="91"/>
      <c r="AW1921" s="91"/>
      <c r="AX1921" s="91"/>
      <c r="AY1921" s="91"/>
      <c r="AZ1921" s="91"/>
      <c r="BA1921" s="91"/>
      <c r="BB1921" s="91"/>
      <c r="BC1921" s="91"/>
      <c r="BD1921" s="91"/>
      <c r="BE1921" s="91"/>
      <c r="BF1921" s="91"/>
      <c r="BG1921" s="91"/>
      <c r="BH1921" s="91"/>
      <c r="BI1921" s="91"/>
      <c r="BJ1921" s="91"/>
      <c r="BK1921" s="91"/>
      <c r="BL1921" s="91"/>
      <c r="BM1921" s="91"/>
      <c r="BN1921" s="91"/>
      <c r="BO1921" s="91"/>
    </row>
    <row r="1922" spans="25:67" hidden="1" x14ac:dyDescent="0.25">
      <c r="Y1922" s="91"/>
      <c r="Z1922" s="81">
        <v>0.61467973997531755</v>
      </c>
      <c r="AA1922" s="81">
        <v>0.56818118412309404</v>
      </c>
      <c r="AB1922" s="81">
        <v>0.5196047751006726</v>
      </c>
      <c r="AC1922" s="81">
        <v>0.36965646867506929</v>
      </c>
      <c r="AD1922" s="81">
        <v>0.62000000000000033</v>
      </c>
      <c r="AE1922" s="81">
        <v>0.61802466616961749</v>
      </c>
      <c r="AF1922" s="67"/>
      <c r="AG1922" s="69">
        <f t="shared" si="4"/>
        <v>1922</v>
      </c>
      <c r="AH1922" s="160"/>
      <c r="AI1922" s="542">
        <v>0.60837181699999998</v>
      </c>
      <c r="AJ1922" s="541">
        <v>0.49501270364678185</v>
      </c>
      <c r="AK1922" s="543">
        <v>0.62184776799999997</v>
      </c>
      <c r="AL1922" s="541">
        <v>0.552731673111994</v>
      </c>
      <c r="AM1922" s="69">
        <f t="shared" si="5"/>
        <v>1922</v>
      </c>
      <c r="AN1922" s="91"/>
      <c r="AO1922" s="91"/>
      <c r="AP1922" s="91"/>
      <c r="AQ1922" s="91"/>
      <c r="AR1922" s="91"/>
      <c r="AS1922" s="91"/>
      <c r="AT1922" s="91"/>
      <c r="AU1922" s="91"/>
      <c r="AV1922" s="91"/>
      <c r="AW1922" s="91"/>
      <c r="AX1922" s="91"/>
      <c r="AY1922" s="91"/>
      <c r="AZ1922" s="91"/>
      <c r="BA1922" s="91"/>
      <c r="BB1922" s="91"/>
      <c r="BC1922" s="91"/>
      <c r="BD1922" s="91"/>
      <c r="BE1922" s="91"/>
      <c r="BF1922" s="91"/>
      <c r="BG1922" s="91"/>
      <c r="BH1922" s="91"/>
      <c r="BI1922" s="91"/>
      <c r="BJ1922" s="91"/>
      <c r="BK1922" s="91"/>
      <c r="BL1922" s="91"/>
      <c r="BM1922" s="91"/>
      <c r="BN1922" s="91"/>
      <c r="BO1922" s="91"/>
    </row>
    <row r="1923" spans="25:67" hidden="1" x14ac:dyDescent="0.25">
      <c r="Y1923" s="91"/>
      <c r="Z1923" s="81">
        <v>0.61908165349201394</v>
      </c>
      <c r="AA1923" s="81">
        <v>0.54771666307684119</v>
      </c>
      <c r="AB1923" s="81">
        <v>0.52310522611308741</v>
      </c>
      <c r="AC1923" s="81">
        <v>0.35412867711359719</v>
      </c>
      <c r="AD1923" s="81">
        <v>0.63000000000000034</v>
      </c>
      <c r="AE1923" s="81">
        <v>0.60551997288489434</v>
      </c>
      <c r="AF1923" s="67"/>
      <c r="AG1923" s="69">
        <f t="shared" si="4"/>
        <v>1923</v>
      </c>
      <c r="AH1923" s="160"/>
      <c r="AI1923" s="542">
        <v>0.61391077199999999</v>
      </c>
      <c r="AJ1923" s="541">
        <v>0.47597262760069486</v>
      </c>
      <c r="AK1923" s="543">
        <v>0.62739001000000005</v>
      </c>
      <c r="AL1923" s="541">
        <v>0.53252286235958191</v>
      </c>
      <c r="AM1923" s="69">
        <f t="shared" si="5"/>
        <v>1923</v>
      </c>
      <c r="AN1923" s="91"/>
      <c r="AO1923" s="91"/>
      <c r="AP1923" s="91"/>
      <c r="AQ1923" s="91"/>
      <c r="AR1923" s="91"/>
      <c r="AS1923" s="91"/>
      <c r="AT1923" s="91"/>
      <c r="AU1923" s="91"/>
      <c r="AV1923" s="91"/>
      <c r="AW1923" s="91"/>
      <c r="AX1923" s="91"/>
      <c r="AY1923" s="91"/>
      <c r="AZ1923" s="91"/>
      <c r="BA1923" s="91"/>
      <c r="BB1923" s="91"/>
      <c r="BC1923" s="91"/>
      <c r="BD1923" s="91"/>
      <c r="BE1923" s="91"/>
      <c r="BF1923" s="91"/>
      <c r="BG1923" s="91"/>
      <c r="BH1923" s="91"/>
      <c r="BI1923" s="91"/>
      <c r="BJ1923" s="91"/>
      <c r="BK1923" s="91"/>
      <c r="BL1923" s="91"/>
      <c r="BM1923" s="91"/>
      <c r="BN1923" s="91"/>
      <c r="BO1923" s="91"/>
    </row>
    <row r="1924" spans="25:67" hidden="1" x14ac:dyDescent="0.25">
      <c r="Y1924" s="91"/>
      <c r="Z1924" s="81">
        <v>0.6230956208573053</v>
      </c>
      <c r="AA1924" s="81">
        <v>0.52707433684140548</v>
      </c>
      <c r="AB1924" s="81">
        <v>0.52673320907574661</v>
      </c>
      <c r="AC1924" s="81">
        <v>0.33872128613537839</v>
      </c>
      <c r="AD1924" s="81">
        <v>0.64000000000000035</v>
      </c>
      <c r="AE1924" s="81">
        <v>0.59281253486478014</v>
      </c>
      <c r="AF1924" s="67"/>
      <c r="AG1924" s="69">
        <f t="shared" ref="AG1924:AG1960" si="6">ROW(1924:1924)</f>
        <v>1924</v>
      </c>
      <c r="AH1924" s="160"/>
      <c r="AI1924" s="542">
        <v>0.61928566600000001</v>
      </c>
      <c r="AJ1924" s="541">
        <v>0.45690678344333963</v>
      </c>
      <c r="AK1924" s="543">
        <v>0.63261953599999998</v>
      </c>
      <c r="AL1924" s="541">
        <v>0.51217315464782187</v>
      </c>
      <c r="AM1924" s="69">
        <f t="shared" ref="AM1924:AM1960" si="7">ROW(1924:1924)</f>
        <v>1924</v>
      </c>
      <c r="AN1924" s="91"/>
      <c r="AO1924" s="91"/>
      <c r="AP1924" s="91"/>
      <c r="AQ1924" s="91"/>
      <c r="AR1924" s="91"/>
      <c r="AS1924" s="91"/>
      <c r="AT1924" s="91"/>
      <c r="AU1924" s="91"/>
      <c r="AV1924" s="91"/>
      <c r="AW1924" s="91"/>
      <c r="AX1924" s="91"/>
      <c r="AY1924" s="91"/>
      <c r="AZ1924" s="91"/>
      <c r="BA1924" s="91"/>
      <c r="BB1924" s="91"/>
      <c r="BC1924" s="91"/>
      <c r="BD1924" s="91"/>
      <c r="BE1924" s="91"/>
      <c r="BF1924" s="91"/>
      <c r="BG1924" s="91"/>
      <c r="BH1924" s="91"/>
      <c r="BI1924" s="91"/>
      <c r="BJ1924" s="91"/>
      <c r="BK1924" s="91"/>
      <c r="BL1924" s="91"/>
      <c r="BM1924" s="91"/>
      <c r="BN1924" s="91"/>
      <c r="BO1924" s="91"/>
    </row>
    <row r="1925" spans="25:67" hidden="1" x14ac:dyDescent="0.25">
      <c r="Y1925" s="91"/>
      <c r="Z1925" s="81">
        <v>0.62677981818437611</v>
      </c>
      <c r="AA1925" s="81">
        <v>0.50629385307724539</v>
      </c>
      <c r="AB1925" s="81">
        <v>0.53051927438284241</v>
      </c>
      <c r="AC1925" s="81">
        <v>0.32345038843844931</v>
      </c>
      <c r="AD1925" s="81">
        <v>0.65000000000000036</v>
      </c>
      <c r="AE1925" s="81">
        <v>0.57990230983956392</v>
      </c>
      <c r="AF1925" s="67"/>
      <c r="AG1925" s="69">
        <f t="shared" si="6"/>
        <v>1925</v>
      </c>
      <c r="AH1925" s="160"/>
      <c r="AI1925" s="542">
        <v>0.624531646</v>
      </c>
      <c r="AJ1925" s="541">
        <v>0.43784440602160146</v>
      </c>
      <c r="AK1925" s="543">
        <v>0.63758226799999995</v>
      </c>
      <c r="AL1925" s="541">
        <v>0.49171980148191807</v>
      </c>
      <c r="AM1925" s="69">
        <f t="shared" si="7"/>
        <v>1925</v>
      </c>
      <c r="AN1925" s="91"/>
      <c r="AO1925" s="91"/>
      <c r="AP1925" s="91"/>
      <c r="AQ1925" s="91"/>
      <c r="AR1925" s="91"/>
      <c r="AS1925" s="91"/>
      <c r="AT1925" s="91"/>
      <c r="AU1925" s="91"/>
      <c r="AV1925" s="91"/>
      <c r="AW1925" s="91"/>
      <c r="AX1925" s="91"/>
      <c r="AY1925" s="91"/>
      <c r="AZ1925" s="91"/>
      <c r="BA1925" s="91"/>
      <c r="BB1925" s="91"/>
      <c r="BC1925" s="91"/>
      <c r="BD1925" s="91"/>
      <c r="BE1925" s="91"/>
      <c r="BF1925" s="91"/>
      <c r="BG1925" s="91"/>
      <c r="BH1925" s="91"/>
      <c r="BI1925" s="91"/>
      <c r="BJ1925" s="91"/>
      <c r="BK1925" s="91"/>
      <c r="BL1925" s="91"/>
      <c r="BM1925" s="91"/>
      <c r="BN1925" s="91"/>
      <c r="BO1925" s="91"/>
    </row>
    <row r="1926" spans="25:67" hidden="1" x14ac:dyDescent="0.25">
      <c r="Y1926" s="91"/>
      <c r="Z1926" s="81">
        <v>0.63019242158641198</v>
      </c>
      <c r="AA1926" s="81">
        <v>0.48541485944481977</v>
      </c>
      <c r="AB1926" s="81">
        <v>0.534493972428567</v>
      </c>
      <c r="AC1926" s="81">
        <v>0.30833207672084595</v>
      </c>
      <c r="AD1926" s="81">
        <v>0.66000000000000036</v>
      </c>
      <c r="AE1926" s="81">
        <v>0.56678925618634901</v>
      </c>
      <c r="AF1926" s="67"/>
      <c r="AG1926" s="69">
        <f t="shared" si="6"/>
        <v>1926</v>
      </c>
      <c r="AH1926" s="160"/>
      <c r="AI1926" s="542">
        <v>0.62968385699999996</v>
      </c>
      <c r="AJ1926" s="541">
        <v>0.41881473018236604</v>
      </c>
      <c r="AK1926" s="543">
        <v>0.64232412699999997</v>
      </c>
      <c r="AL1926" s="541">
        <v>0.47120005436707485</v>
      </c>
      <c r="AM1926" s="69">
        <f t="shared" si="7"/>
        <v>1926</v>
      </c>
      <c r="AN1926" s="91"/>
      <c r="AO1926" s="91"/>
      <c r="AP1926" s="91"/>
      <c r="AQ1926" s="91"/>
      <c r="AR1926" s="91"/>
      <c r="AS1926" s="91"/>
      <c r="AT1926" s="91"/>
      <c r="AU1926" s="91"/>
      <c r="AV1926" s="91"/>
      <c r="AW1926" s="91"/>
      <c r="AX1926" s="91"/>
      <c r="AY1926" s="91"/>
      <c r="AZ1926" s="91"/>
      <c r="BA1926" s="91"/>
      <c r="BB1926" s="91"/>
      <c r="BC1926" s="91"/>
      <c r="BD1926" s="91"/>
      <c r="BE1926" s="91"/>
      <c r="BF1926" s="91"/>
      <c r="BG1926" s="91"/>
      <c r="BH1926" s="91"/>
      <c r="BI1926" s="91"/>
      <c r="BJ1926" s="91"/>
      <c r="BK1926" s="91"/>
      <c r="BL1926" s="91"/>
      <c r="BM1926" s="91"/>
      <c r="BN1926" s="91"/>
      <c r="BO1926" s="91"/>
    </row>
    <row r="1927" spans="25:67" hidden="1" x14ac:dyDescent="0.25">
      <c r="Y1927" s="91"/>
      <c r="Z1927" s="81">
        <v>0.6333916071765977</v>
      </c>
      <c r="AA1927" s="81">
        <v>0.46447700360458782</v>
      </c>
      <c r="AB1927" s="81">
        <v>0.53868785360711247</v>
      </c>
      <c r="AC1927" s="81">
        <v>0.29338244368060457</v>
      </c>
      <c r="AD1927" s="81">
        <v>0.67000000000000037</v>
      </c>
      <c r="AE1927" s="81">
        <v>0.55347333290942835</v>
      </c>
      <c r="AF1927" s="67"/>
      <c r="AG1927" s="69">
        <f t="shared" si="6"/>
        <v>1927</v>
      </c>
      <c r="AH1927" s="160"/>
      <c r="AI1927" s="542">
        <v>0.63477744199999997</v>
      </c>
      <c r="AJ1927" s="541">
        <v>0.39984699077251906</v>
      </c>
      <c r="AK1927" s="543">
        <v>0.64689103199999998</v>
      </c>
      <c r="AL1927" s="541">
        <v>0.45065116480849599</v>
      </c>
      <c r="AM1927" s="69">
        <f t="shared" si="7"/>
        <v>1927</v>
      </c>
      <c r="AN1927" s="91"/>
      <c r="AO1927" s="91"/>
      <c r="AP1927" s="91"/>
      <c r="AQ1927" s="91"/>
      <c r="AR1927" s="91"/>
      <c r="AS1927" s="91"/>
      <c r="AT1927" s="91"/>
      <c r="AU1927" s="91"/>
      <c r="AV1927" s="91"/>
      <c r="AW1927" s="91"/>
      <c r="AX1927" s="91"/>
      <c r="AY1927" s="91"/>
      <c r="AZ1927" s="91"/>
      <c r="BA1927" s="91"/>
      <c r="BB1927" s="91"/>
      <c r="BC1927" s="91"/>
      <c r="BD1927" s="91"/>
      <c r="BE1927" s="91"/>
      <c r="BF1927" s="91"/>
      <c r="BG1927" s="91"/>
      <c r="BH1927" s="91"/>
      <c r="BI1927" s="91"/>
      <c r="BJ1927" s="91"/>
      <c r="BK1927" s="91"/>
      <c r="BL1927" s="91"/>
      <c r="BM1927" s="91"/>
      <c r="BN1927" s="91"/>
      <c r="BO1927" s="91"/>
    </row>
    <row r="1928" spans="25:67" hidden="1" x14ac:dyDescent="0.25">
      <c r="Y1928" s="91"/>
      <c r="Z1928" s="81">
        <v>0.636435551068118</v>
      </c>
      <c r="AA1928" s="81">
        <v>0.443519933217008</v>
      </c>
      <c r="AB1928" s="81">
        <v>0.54313146831267134</v>
      </c>
      <c r="AC1928" s="81">
        <v>0.27861758201576148</v>
      </c>
      <c r="AD1928" s="81">
        <v>0.68000000000000038</v>
      </c>
      <c r="AE1928" s="81">
        <v>0.53995449962154118</v>
      </c>
      <c r="AF1928" s="67"/>
      <c r="AG1928" s="69">
        <f t="shared" si="6"/>
        <v>1928</v>
      </c>
      <c r="AH1928" s="160"/>
      <c r="AI1928" s="542">
        <v>0.63984754700000002</v>
      </c>
      <c r="AJ1928" s="541">
        <v>0.38097042263894576</v>
      </c>
      <c r="AK1928" s="543">
        <v>0.65132890399999999</v>
      </c>
      <c r="AL1928" s="541">
        <v>0.43011038431138515</v>
      </c>
      <c r="AM1928" s="69">
        <f t="shared" si="7"/>
        <v>1928</v>
      </c>
      <c r="AN1928" s="91"/>
      <c r="AO1928" s="91"/>
      <c r="AP1928" s="91"/>
      <c r="AQ1928" s="91"/>
      <c r="AR1928" s="91"/>
      <c r="AS1928" s="91"/>
      <c r="AT1928" s="91"/>
      <c r="AU1928" s="91"/>
      <c r="AV1928" s="91"/>
      <c r="AW1928" s="91"/>
      <c r="AX1928" s="91"/>
      <c r="AY1928" s="91"/>
      <c r="AZ1928" s="91"/>
      <c r="BA1928" s="91"/>
      <c r="BB1928" s="91"/>
      <c r="BC1928" s="91"/>
      <c r="BD1928" s="91"/>
      <c r="BE1928" s="91"/>
      <c r="BF1928" s="91"/>
      <c r="BG1928" s="91"/>
      <c r="BH1928" s="91"/>
      <c r="BI1928" s="91"/>
      <c r="BJ1928" s="91"/>
      <c r="BK1928" s="91"/>
      <c r="BL1928" s="91"/>
      <c r="BM1928" s="91"/>
      <c r="BN1928" s="91"/>
      <c r="BO1928" s="91"/>
    </row>
    <row r="1929" spans="25:67" hidden="1" x14ac:dyDescent="0.25">
      <c r="Y1929" s="91"/>
      <c r="Z1929" s="81">
        <v>0.63938242937415768</v>
      </c>
      <c r="AA1929" s="81">
        <v>0.42258329594253885</v>
      </c>
      <c r="AB1929" s="81">
        <v>0.54785536693943571</v>
      </c>
      <c r="AC1929" s="81">
        <v>0.26405358442435289</v>
      </c>
      <c r="AD1929" s="81">
        <v>0.69000000000000039</v>
      </c>
      <c r="AE1929" s="81">
        <v>0.52623271652595949</v>
      </c>
      <c r="AF1929" s="67"/>
      <c r="AG1929" s="69">
        <f t="shared" si="6"/>
        <v>1929</v>
      </c>
      <c r="AH1929" s="160"/>
      <c r="AI1929" s="542">
        <v>0.64492931600000003</v>
      </c>
      <c r="AJ1929" s="541">
        <v>0.36221426062853163</v>
      </c>
      <c r="AK1929" s="543">
        <v>0.655683664</v>
      </c>
      <c r="AL1929" s="541">
        <v>0.4096149643809468</v>
      </c>
      <c r="AM1929" s="69">
        <f t="shared" si="7"/>
        <v>1929</v>
      </c>
      <c r="AN1929" s="91"/>
      <c r="AO1929" s="91"/>
      <c r="AP1929" s="91"/>
      <c r="AQ1929" s="91"/>
      <c r="AR1929" s="91"/>
      <c r="AS1929" s="91"/>
      <c r="AT1929" s="91"/>
      <c r="AU1929" s="91"/>
      <c r="AV1929" s="91"/>
      <c r="AW1929" s="91"/>
      <c r="AX1929" s="91"/>
      <c r="AY1929" s="91"/>
      <c r="AZ1929" s="91"/>
      <c r="BA1929" s="91"/>
      <c r="BB1929" s="91"/>
      <c r="BC1929" s="91"/>
      <c r="BD1929" s="91"/>
      <c r="BE1929" s="91"/>
      <c r="BF1929" s="91"/>
      <c r="BG1929" s="91"/>
      <c r="BH1929" s="91"/>
      <c r="BI1929" s="91"/>
      <c r="BJ1929" s="91"/>
      <c r="BK1929" s="91"/>
      <c r="BL1929" s="91"/>
      <c r="BM1929" s="91"/>
      <c r="BN1929" s="91"/>
      <c r="BO1929" s="91"/>
    </row>
    <row r="1930" spans="25:67" hidden="1" x14ac:dyDescent="0.25">
      <c r="Y1930" s="91"/>
      <c r="Z1930" s="81">
        <v>0.64229041820790178</v>
      </c>
      <c r="AA1930" s="81">
        <v>0.40170673944163926</v>
      </c>
      <c r="AB1930" s="81">
        <v>0.55289009988159787</v>
      </c>
      <c r="AC1930" s="81">
        <v>0.24970654360441516</v>
      </c>
      <c r="AD1930" s="81">
        <v>0.7000000000000004</v>
      </c>
      <c r="AE1930" s="81">
        <v>0.51230794439935612</v>
      </c>
      <c r="AF1930" s="67"/>
      <c r="AG1930" s="69">
        <f t="shared" si="6"/>
        <v>1930</v>
      </c>
      <c r="AH1930" s="160"/>
      <c r="AI1930" s="542">
        <v>0.650057895</v>
      </c>
      <c r="AJ1930" s="541">
        <v>0.34360773958816221</v>
      </c>
      <c r="AK1930" s="543">
        <v>0.66000123300000002</v>
      </c>
      <c r="AL1930" s="541">
        <v>0.38920215652238505</v>
      </c>
      <c r="AM1930" s="69">
        <f t="shared" si="7"/>
        <v>1930</v>
      </c>
      <c r="AN1930" s="91"/>
      <c r="AO1930" s="91"/>
      <c r="AP1930" s="91"/>
      <c r="AQ1930" s="91"/>
      <c r="AR1930" s="91"/>
      <c r="AS1930" s="91"/>
      <c r="AT1930" s="91"/>
      <c r="AU1930" s="91"/>
      <c r="AV1930" s="91"/>
      <c r="AW1930" s="91"/>
      <c r="AX1930" s="91"/>
      <c r="AY1930" s="91"/>
      <c r="AZ1930" s="91"/>
      <c r="BA1930" s="91"/>
      <c r="BB1930" s="91"/>
      <c r="BC1930" s="91"/>
      <c r="BD1930" s="91"/>
      <c r="BE1930" s="91"/>
      <c r="BF1930" s="91"/>
      <c r="BG1930" s="91"/>
      <c r="BH1930" s="91"/>
      <c r="BI1930" s="91"/>
      <c r="BJ1930" s="91"/>
      <c r="BK1930" s="91"/>
      <c r="BL1930" s="91"/>
      <c r="BM1930" s="91"/>
      <c r="BN1930" s="91"/>
      <c r="BO1930" s="91"/>
    </row>
    <row r="1931" spans="25:67" hidden="1" x14ac:dyDescent="0.25">
      <c r="Y1931" s="91"/>
      <c r="Z1931" s="81">
        <v>0.64521769368253556</v>
      </c>
      <c r="AA1931" s="81">
        <v>0.38092991137476839</v>
      </c>
      <c r="AB1931" s="81">
        <v>0.55826621753335015</v>
      </c>
      <c r="AC1931" s="81">
        <v>0.23559255225398448</v>
      </c>
      <c r="AD1931" s="81">
        <v>0.71000000000000041</v>
      </c>
      <c r="AE1931" s="81">
        <v>0.49818014457540916</v>
      </c>
      <c r="AF1931" s="67"/>
      <c r="AG1931" s="69">
        <f t="shared" si="6"/>
        <v>1931</v>
      </c>
      <c r="AH1931" s="160"/>
      <c r="AI1931" s="542">
        <v>0.65526842799999996</v>
      </c>
      <c r="AJ1931" s="541">
        <v>0.32518009436472323</v>
      </c>
      <c r="AK1931" s="543">
        <v>0.66432753</v>
      </c>
      <c r="AL1931" s="541">
        <v>0.36890921224090367</v>
      </c>
      <c r="AM1931" s="69">
        <f t="shared" si="7"/>
        <v>1931</v>
      </c>
      <c r="AN1931" s="91"/>
      <c r="AO1931" s="91"/>
      <c r="AP1931" s="91"/>
      <c r="AQ1931" s="91"/>
      <c r="AR1931" s="91"/>
      <c r="AS1931" s="91"/>
      <c r="AT1931" s="91"/>
      <c r="AU1931" s="91"/>
      <c r="AV1931" s="91"/>
      <c r="AW1931" s="91"/>
      <c r="AX1931" s="91"/>
      <c r="AY1931" s="91"/>
      <c r="AZ1931" s="91"/>
      <c r="BA1931" s="91"/>
      <c r="BB1931" s="91"/>
      <c r="BC1931" s="91"/>
      <c r="BD1931" s="91"/>
      <c r="BE1931" s="91"/>
      <c r="BF1931" s="91"/>
      <c r="BG1931" s="91"/>
      <c r="BH1931" s="91"/>
      <c r="BI1931" s="91"/>
      <c r="BJ1931" s="91"/>
      <c r="BK1931" s="91"/>
      <c r="BL1931" s="91"/>
      <c r="BM1931" s="91"/>
      <c r="BN1931" s="91"/>
      <c r="BO1931" s="91"/>
    </row>
    <row r="1932" spans="25:67" hidden="1" x14ac:dyDescent="0.25">
      <c r="Y1932" s="91"/>
      <c r="Z1932" s="81">
        <v>0.64822243191124373</v>
      </c>
      <c r="AA1932" s="81">
        <v>0.36029245940238463</v>
      </c>
      <c r="AB1932" s="81">
        <v>0.56401427028888462</v>
      </c>
      <c r="AC1932" s="81">
        <v>0.22172770307109707</v>
      </c>
      <c r="AD1932" s="81">
        <v>0.72000000000000042</v>
      </c>
      <c r="AE1932" s="81">
        <v>0.48384927892910057</v>
      </c>
      <c r="AF1932" s="67"/>
      <c r="AG1932" s="69">
        <f t="shared" si="6"/>
        <v>1932</v>
      </c>
      <c r="AH1932" s="160"/>
      <c r="AI1932" s="542">
        <v>0.66059606000000004</v>
      </c>
      <c r="AJ1932" s="541">
        <v>0.30696055980510006</v>
      </c>
      <c r="AK1932" s="543">
        <v>0.66870847700000002</v>
      </c>
      <c r="AL1932" s="541">
        <v>0.34877338304170646</v>
      </c>
      <c r="AM1932" s="69">
        <f t="shared" si="7"/>
        <v>1932</v>
      </c>
      <c r="AN1932" s="91"/>
      <c r="AO1932" s="91"/>
      <c r="AP1932" s="91"/>
      <c r="AQ1932" s="91"/>
      <c r="AR1932" s="91"/>
      <c r="AS1932" s="91"/>
      <c r="AT1932" s="91"/>
      <c r="AU1932" s="91"/>
      <c r="AV1932" s="91"/>
      <c r="AW1932" s="91"/>
      <c r="AX1932" s="91"/>
      <c r="AY1932" s="91"/>
      <c r="AZ1932" s="91"/>
      <c r="BA1932" s="91"/>
      <c r="BB1932" s="91"/>
      <c r="BC1932" s="91"/>
      <c r="BD1932" s="91"/>
      <c r="BE1932" s="91"/>
      <c r="BF1932" s="91"/>
      <c r="BG1932" s="91"/>
      <c r="BH1932" s="91"/>
      <c r="BI1932" s="91"/>
      <c r="BJ1932" s="91"/>
      <c r="BK1932" s="91"/>
      <c r="BL1932" s="91"/>
      <c r="BM1932" s="91"/>
      <c r="BN1932" s="91"/>
      <c r="BO1932" s="91"/>
    </row>
    <row r="1933" spans="25:67" hidden="1" x14ac:dyDescent="0.25">
      <c r="Y1933" s="91"/>
      <c r="Z1933" s="81">
        <v>0.65136280900721077</v>
      </c>
      <c r="AA1933" s="81">
        <v>0.33983403118494659</v>
      </c>
      <c r="AB1933" s="81">
        <v>0.57016480854239371</v>
      </c>
      <c r="AC1933" s="81">
        <v>0.20812808875378913</v>
      </c>
      <c r="AD1933" s="81">
        <v>0.73000000000000043</v>
      </c>
      <c r="AE1933" s="81">
        <v>0.46931530986167203</v>
      </c>
      <c r="AF1933" s="67"/>
      <c r="AG1933" s="69">
        <f t="shared" si="6"/>
        <v>1933</v>
      </c>
      <c r="AH1933" s="160"/>
      <c r="AI1933" s="542">
        <v>0.66607593600000004</v>
      </c>
      <c r="AJ1933" s="541">
        <v>0.28897837075617794</v>
      </c>
      <c r="AK1933" s="543">
        <v>0.67318999400000001</v>
      </c>
      <c r="AL1933" s="541">
        <v>0.32883192042999787</v>
      </c>
      <c r="AM1933" s="69">
        <f t="shared" si="7"/>
        <v>1933</v>
      </c>
      <c r="AN1933" s="91"/>
      <c r="AO1933" s="91"/>
      <c r="AP1933" s="91"/>
      <c r="AQ1933" s="91"/>
      <c r="AR1933" s="91"/>
      <c r="AS1933" s="91"/>
      <c r="AT1933" s="91"/>
      <c r="AU1933" s="91"/>
      <c r="AV1933" s="91"/>
      <c r="AW1933" s="91"/>
      <c r="AX1933" s="91"/>
      <c r="AY1933" s="91"/>
      <c r="AZ1933" s="91"/>
      <c r="BA1933" s="91"/>
      <c r="BB1933" s="91"/>
      <c r="BC1933" s="91"/>
      <c r="BD1933" s="91"/>
      <c r="BE1933" s="91"/>
      <c r="BF1933" s="91"/>
      <c r="BG1933" s="91"/>
      <c r="BH1933" s="91"/>
      <c r="BI1933" s="91"/>
      <c r="BJ1933" s="91"/>
      <c r="BK1933" s="91"/>
      <c r="BL1933" s="91"/>
      <c r="BM1933" s="91"/>
      <c r="BN1933" s="91"/>
      <c r="BO1933" s="91"/>
    </row>
    <row r="1934" spans="25:67" hidden="1" x14ac:dyDescent="0.25">
      <c r="Y1934" s="91"/>
      <c r="Z1934" s="81">
        <v>0.65469700108362205</v>
      </c>
      <c r="AA1934" s="81">
        <v>0.31959427438291327</v>
      </c>
      <c r="AB1934" s="81">
        <v>0.57674838268806949</v>
      </c>
      <c r="AC1934" s="81">
        <v>0.19480980200009707</v>
      </c>
      <c r="AD1934" s="81">
        <v>0.74000000000000044</v>
      </c>
      <c r="AE1934" s="81">
        <v>0.45457820028619944</v>
      </c>
      <c r="AF1934" s="67"/>
      <c r="AG1934" s="69">
        <f t="shared" si="6"/>
        <v>1934</v>
      </c>
      <c r="AH1934" s="160"/>
      <c r="AI1934" s="542">
        <v>0.67174320099999996</v>
      </c>
      <c r="AJ1934" s="541">
        <v>0.27126276206484268</v>
      </c>
      <c r="AK1934" s="543">
        <v>0.677818001</v>
      </c>
      <c r="AL1934" s="541">
        <v>0.30912207591098184</v>
      </c>
      <c r="AM1934" s="69">
        <f t="shared" si="7"/>
        <v>1934</v>
      </c>
      <c r="AN1934" s="91"/>
      <c r="AO1934" s="91"/>
      <c r="AP1934" s="91"/>
      <c r="AQ1934" s="91"/>
      <c r="AR1934" s="91"/>
      <c r="AS1934" s="91"/>
      <c r="AT1934" s="91"/>
      <c r="AU1934" s="91"/>
      <c r="AV1934" s="91"/>
      <c r="AW1934" s="91"/>
      <c r="AX1934" s="91"/>
      <c r="AY1934" s="91"/>
      <c r="AZ1934" s="91"/>
      <c r="BA1934" s="91"/>
      <c r="BB1934" s="91"/>
      <c r="BC1934" s="91"/>
      <c r="BD1934" s="91"/>
      <c r="BE1934" s="91"/>
      <c r="BF1934" s="91"/>
      <c r="BG1934" s="91"/>
      <c r="BH1934" s="91"/>
      <c r="BI1934" s="91"/>
      <c r="BJ1934" s="91"/>
      <c r="BK1934" s="91"/>
      <c r="BL1934" s="91"/>
      <c r="BM1934" s="91"/>
      <c r="BN1934" s="91"/>
      <c r="BO1934" s="91"/>
    </row>
    <row r="1935" spans="25:67" hidden="1" x14ac:dyDescent="0.25">
      <c r="Y1935" s="91"/>
      <c r="Z1935" s="81">
        <v>0.65828318425366261</v>
      </c>
      <c r="AA1935" s="81">
        <v>0.29961283665674365</v>
      </c>
      <c r="AB1935" s="81">
        <v>0.5837955431201044</v>
      </c>
      <c r="AC1935" s="81">
        <v>0.18178893550805703</v>
      </c>
      <c r="AD1935" s="81">
        <v>0.75000000000000044</v>
      </c>
      <c r="AE1935" s="81">
        <v>0.43963791361375526</v>
      </c>
      <c r="AF1935" s="67"/>
      <c r="AG1935" s="69">
        <f t="shared" si="6"/>
        <v>1935</v>
      </c>
      <c r="AH1935" s="160"/>
      <c r="AI1935" s="542">
        <v>0.67763299899999996</v>
      </c>
      <c r="AJ1935" s="541">
        <v>0.25384296857797967</v>
      </c>
      <c r="AK1935" s="543">
        <v>0.682638419</v>
      </c>
      <c r="AL1935" s="541">
        <v>0.28968110098986222</v>
      </c>
      <c r="AM1935" s="69">
        <f t="shared" si="7"/>
        <v>1935</v>
      </c>
      <c r="AN1935" s="91"/>
      <c r="AO1935" s="91"/>
      <c r="AP1935" s="91"/>
      <c r="AQ1935" s="91"/>
      <c r="AR1935" s="91"/>
      <c r="AS1935" s="91"/>
      <c r="AT1935" s="91"/>
      <c r="AU1935" s="91"/>
      <c r="AV1935" s="91"/>
      <c r="AW1935" s="91"/>
      <c r="AX1935" s="91"/>
      <c r="AY1935" s="91"/>
      <c r="AZ1935" s="91"/>
      <c r="BA1935" s="91"/>
      <c r="BB1935" s="91"/>
      <c r="BC1935" s="91"/>
      <c r="BD1935" s="91"/>
      <c r="BE1935" s="91"/>
      <c r="BF1935" s="91"/>
      <c r="BG1935" s="91"/>
      <c r="BH1935" s="91"/>
      <c r="BI1935" s="91"/>
      <c r="BJ1935" s="91"/>
      <c r="BK1935" s="91"/>
      <c r="BL1935" s="91"/>
      <c r="BM1935" s="91"/>
      <c r="BN1935" s="91"/>
      <c r="BO1935" s="91"/>
    </row>
    <row r="1936" spans="25:67" hidden="1" x14ac:dyDescent="0.25">
      <c r="Y1936" s="91"/>
      <c r="Z1936" s="81">
        <v>0.66217953463051704</v>
      </c>
      <c r="AA1936" s="81">
        <v>0.27992936566689608</v>
      </c>
      <c r="AB1936" s="81">
        <v>0.59133684023269062</v>
      </c>
      <c r="AC1936" s="81">
        <v>0.16908158197570525</v>
      </c>
      <c r="AD1936" s="81">
        <v>0.76000000000000045</v>
      </c>
      <c r="AE1936" s="81">
        <v>0.42449441374012409</v>
      </c>
      <c r="AF1936" s="67"/>
      <c r="AG1936" s="69">
        <f t="shared" si="6"/>
        <v>1936</v>
      </c>
      <c r="AH1936" s="160"/>
      <c r="AI1936" s="542">
        <v>0.68378047600000003</v>
      </c>
      <c r="AJ1936" s="541">
        <v>0.23674822514247451</v>
      </c>
      <c r="AK1936" s="543">
        <v>0.687697169</v>
      </c>
      <c r="AL1936" s="541">
        <v>0.27054624717184306</v>
      </c>
      <c r="AM1936" s="69">
        <f t="shared" si="7"/>
        <v>1936</v>
      </c>
      <c r="AN1936" s="91"/>
      <c r="AO1936" s="91"/>
      <c r="AP1936" s="91"/>
      <c r="AQ1936" s="91"/>
      <c r="AR1936" s="91"/>
      <c r="AS1936" s="91"/>
      <c r="AT1936" s="91"/>
      <c r="AU1936" s="91"/>
      <c r="AV1936" s="91"/>
      <c r="AW1936" s="91"/>
      <c r="AX1936" s="91"/>
      <c r="AY1936" s="91"/>
      <c r="AZ1936" s="91"/>
      <c r="BA1936" s="91"/>
      <c r="BB1936" s="91"/>
      <c r="BC1936" s="91"/>
      <c r="BD1936" s="91"/>
      <c r="BE1936" s="91"/>
      <c r="BF1936" s="91"/>
      <c r="BG1936" s="91"/>
      <c r="BH1936" s="91"/>
      <c r="BI1936" s="91"/>
      <c r="BJ1936" s="91"/>
      <c r="BK1936" s="91"/>
      <c r="BL1936" s="91"/>
      <c r="BM1936" s="91"/>
      <c r="BN1936" s="91"/>
      <c r="BO1936" s="91"/>
    </row>
    <row r="1937" spans="25:67" hidden="1" x14ac:dyDescent="0.25">
      <c r="Y1937" s="91"/>
      <c r="Z1937" s="81">
        <v>0.66644422832737016</v>
      </c>
      <c r="AA1937" s="81">
        <v>0.26058350907382943</v>
      </c>
      <c r="AB1937" s="81">
        <v>0.59940282442002046</v>
      </c>
      <c r="AC1937" s="81">
        <v>0.15670383410107805</v>
      </c>
      <c r="AD1937" s="81">
        <v>0.77000000000000046</v>
      </c>
      <c r="AE1937" s="81">
        <v>0.40914766503304545</v>
      </c>
      <c r="AF1937" s="67"/>
      <c r="AG1937" s="69">
        <f t="shared" si="6"/>
        <v>1937</v>
      </c>
      <c r="AH1937" s="160"/>
      <c r="AI1937" s="542">
        <v>0.69022077599999998</v>
      </c>
      <c r="AJ1937" s="541">
        <v>0.22000776660521257</v>
      </c>
      <c r="AK1937" s="543">
        <v>0.69304017100000004</v>
      </c>
      <c r="AL1937" s="541">
        <v>0.25175476596212848</v>
      </c>
      <c r="AM1937" s="69">
        <f t="shared" si="7"/>
        <v>1937</v>
      </c>
      <c r="AN1937" s="91"/>
      <c r="AO1937" s="91"/>
      <c r="AP1937" s="91"/>
      <c r="AQ1937" s="91"/>
      <c r="AR1937" s="91"/>
      <c r="AS1937" s="91"/>
      <c r="AT1937" s="91"/>
      <c r="AU1937" s="91"/>
      <c r="AV1937" s="91"/>
      <c r="AW1937" s="91"/>
      <c r="AX1937" s="91"/>
      <c r="AY1937" s="91"/>
      <c r="AZ1937" s="91"/>
      <c r="BA1937" s="91"/>
      <c r="BB1937" s="91"/>
      <c r="BC1937" s="91"/>
      <c r="BD1937" s="91"/>
      <c r="BE1937" s="91"/>
      <c r="BF1937" s="91"/>
      <c r="BG1937" s="91"/>
      <c r="BH1937" s="91"/>
      <c r="BI1937" s="91"/>
      <c r="BJ1937" s="91"/>
      <c r="BK1937" s="91"/>
      <c r="BL1937" s="91"/>
      <c r="BM1937" s="91"/>
      <c r="BN1937" s="91"/>
      <c r="BO1937" s="91"/>
    </row>
    <row r="1938" spans="25:67" hidden="1" x14ac:dyDescent="0.25">
      <c r="Y1938" s="91"/>
      <c r="Z1938" s="81">
        <v>0.67113544145740733</v>
      </c>
      <c r="AA1938" s="81">
        <v>0.24161491453800252</v>
      </c>
      <c r="AB1938" s="81">
        <v>0.60802404607628602</v>
      </c>
      <c r="AC1938" s="81">
        <v>0.14467178458221161</v>
      </c>
      <c r="AD1938" s="81">
        <v>0.78000000000000047</v>
      </c>
      <c r="AE1938" s="81">
        <v>0.39359763231995371</v>
      </c>
      <c r="AF1938" s="67"/>
      <c r="AG1938" s="69">
        <f t="shared" si="6"/>
        <v>1938</v>
      </c>
      <c r="AH1938" s="160"/>
      <c r="AI1938" s="542">
        <v>0.69698904399999995</v>
      </c>
      <c r="AJ1938" s="541">
        <v>0.2036508278130795</v>
      </c>
      <c r="AK1938" s="543">
        <v>0.69871334500000004</v>
      </c>
      <c r="AL1938" s="541">
        <v>0.23334390886592249</v>
      </c>
      <c r="AM1938" s="69">
        <f t="shared" si="7"/>
        <v>1938</v>
      </c>
      <c r="AN1938" s="91"/>
      <c r="AO1938" s="91"/>
      <c r="AP1938" s="91"/>
      <c r="AQ1938" s="91"/>
      <c r="AR1938" s="91"/>
      <c r="AS1938" s="91"/>
      <c r="AT1938" s="91"/>
      <c r="AU1938" s="91"/>
      <c r="AV1938" s="91"/>
      <c r="AW1938" s="91"/>
      <c r="AX1938" s="91"/>
      <c r="AY1938" s="91"/>
      <c r="AZ1938" s="91"/>
      <c r="BA1938" s="91"/>
      <c r="BB1938" s="91"/>
      <c r="BC1938" s="91"/>
      <c r="BD1938" s="91"/>
      <c r="BE1938" s="91"/>
      <c r="BF1938" s="91"/>
      <c r="BG1938" s="91"/>
      <c r="BH1938" s="91"/>
      <c r="BI1938" s="91"/>
      <c r="BJ1938" s="91"/>
      <c r="BK1938" s="91"/>
      <c r="BL1938" s="91"/>
      <c r="BM1938" s="91"/>
      <c r="BN1938" s="91"/>
      <c r="BO1938" s="91"/>
    </row>
    <row r="1939" spans="25:67" hidden="1" x14ac:dyDescent="0.25">
      <c r="Y1939" s="91"/>
      <c r="Z1939" s="81">
        <v>0.67631135013381316</v>
      </c>
      <c r="AA1939" s="81">
        <v>0.22306322971987419</v>
      </c>
      <c r="AB1939" s="81">
        <v>0.61723105559567948</v>
      </c>
      <c r="AC1939" s="81">
        <v>0.13300152611714225</v>
      </c>
      <c r="AD1939" s="81">
        <v>0.79000000000000048</v>
      </c>
      <c r="AE1939" s="81">
        <v>0.37784428087619115</v>
      </c>
      <c r="AF1939" s="67"/>
      <c r="AG1939" s="69">
        <f t="shared" si="6"/>
        <v>1939</v>
      </c>
      <c r="AH1939" s="160"/>
      <c r="AI1939" s="542">
        <v>0.70412042500000005</v>
      </c>
      <c r="AJ1939" s="541">
        <v>0.18770664361296072</v>
      </c>
      <c r="AK1939" s="543">
        <v>0.70476261200000001</v>
      </c>
      <c r="AL1939" s="541">
        <v>0.21535092738842909</v>
      </c>
      <c r="AM1939" s="69">
        <f t="shared" si="7"/>
        <v>1939</v>
      </c>
      <c r="AN1939" s="91"/>
      <c r="AO1939" s="91"/>
      <c r="AP1939" s="91"/>
      <c r="AQ1939" s="91"/>
      <c r="AR1939" s="91"/>
      <c r="AS1939" s="91"/>
      <c r="AT1939" s="91"/>
      <c r="AU1939" s="91"/>
      <c r="AV1939" s="91"/>
      <c r="AW1939" s="91"/>
      <c r="AX1939" s="91"/>
      <c r="AY1939" s="91"/>
      <c r="AZ1939" s="91"/>
      <c r="BA1939" s="91"/>
      <c r="BB1939" s="91"/>
      <c r="BC1939" s="91"/>
      <c r="BD1939" s="91"/>
      <c r="BE1939" s="91"/>
      <c r="BF1939" s="91"/>
      <c r="BG1939" s="91"/>
      <c r="BH1939" s="91"/>
      <c r="BI1939" s="91"/>
      <c r="BJ1939" s="91"/>
      <c r="BK1939" s="91"/>
      <c r="BL1939" s="91"/>
      <c r="BM1939" s="91"/>
      <c r="BN1939" s="91"/>
      <c r="BO1939" s="91"/>
    </row>
    <row r="1940" spans="25:67" hidden="1" x14ac:dyDescent="0.25">
      <c r="Y1940" s="91"/>
      <c r="Z1940" s="81">
        <v>0.68203013046977268</v>
      </c>
      <c r="AA1940" s="81">
        <v>0.20496810227990306</v>
      </c>
      <c r="AB1940" s="81">
        <v>0.62705440337239349</v>
      </c>
      <c r="AC1940" s="81">
        <v>0.12170915140390616</v>
      </c>
      <c r="AD1940" s="81">
        <v>0.80000000000000049</v>
      </c>
      <c r="AE1940" s="81">
        <v>0.36188757641366953</v>
      </c>
      <c r="AF1940" s="67"/>
      <c r="AG1940" s="69">
        <f t="shared" si="6"/>
        <v>1940</v>
      </c>
      <c r="AH1940" s="160"/>
      <c r="AI1940" s="542">
        <v>0.711650063</v>
      </c>
      <c r="AJ1940" s="541">
        <v>0.17220444885174171</v>
      </c>
      <c r="AK1940" s="543">
        <v>0.71123389299999995</v>
      </c>
      <c r="AL1940" s="541">
        <v>0.19781307303485232</v>
      </c>
      <c r="AM1940" s="69">
        <f t="shared" si="7"/>
        <v>1940</v>
      </c>
      <c r="AN1940" s="91"/>
      <c r="AO1940" s="91"/>
      <c r="AP1940" s="91"/>
      <c r="AQ1940" s="91"/>
      <c r="AR1940" s="91"/>
      <c r="AS1940" s="91"/>
      <c r="AT1940" s="91"/>
      <c r="AU1940" s="91"/>
      <c r="AV1940" s="91"/>
      <c r="AW1940" s="91"/>
      <c r="AX1940" s="91"/>
      <c r="AY1940" s="91"/>
      <c r="AZ1940" s="91"/>
      <c r="BA1940" s="91"/>
      <c r="BB1940" s="91"/>
      <c r="BC1940" s="91"/>
      <c r="BD1940" s="91"/>
      <c r="BE1940" s="91"/>
      <c r="BF1940" s="91"/>
      <c r="BG1940" s="91"/>
      <c r="BH1940" s="91"/>
      <c r="BI1940" s="91"/>
      <c r="BJ1940" s="91"/>
      <c r="BK1940" s="91"/>
      <c r="BL1940" s="91"/>
      <c r="BM1940" s="91"/>
      <c r="BN1940" s="91"/>
      <c r="BO1940" s="91"/>
    </row>
    <row r="1941" spans="25:67" hidden="1" x14ac:dyDescent="0.25">
      <c r="Y1941" s="91"/>
      <c r="Z1941" s="81">
        <v>0.6883499585784707</v>
      </c>
      <c r="AA1941" s="81">
        <v>0.18736917987854795</v>
      </c>
      <c r="AB1941" s="81">
        <v>0.63752463980062002</v>
      </c>
      <c r="AC1941" s="81">
        <v>0.11081075314053962</v>
      </c>
      <c r="AD1941" s="81">
        <v>0.8100000000000005</v>
      </c>
      <c r="AE1941" s="81">
        <v>0.34572748506995743</v>
      </c>
      <c r="AF1941" s="67"/>
      <c r="AG1941" s="69">
        <f t="shared" si="6"/>
        <v>1941</v>
      </c>
      <c r="AH1941" s="160"/>
      <c r="AI1941" s="542">
        <v>0.71961310499999998</v>
      </c>
      <c r="AJ1941" s="541">
        <v>0.15717347837630805</v>
      </c>
      <c r="AK1941" s="543">
        <v>0.71817310899999998</v>
      </c>
      <c r="AL1941" s="541">
        <v>0.18076759731039616</v>
      </c>
      <c r="AM1941" s="69">
        <f t="shared" si="7"/>
        <v>1941</v>
      </c>
      <c r="AN1941" s="91"/>
      <c r="AO1941" s="91"/>
      <c r="AP1941" s="91"/>
      <c r="AQ1941" s="91"/>
      <c r="AR1941" s="91"/>
      <c r="AS1941" s="91"/>
      <c r="AT1941" s="91"/>
      <c r="AU1941" s="91"/>
      <c r="AV1941" s="91"/>
      <c r="AW1941" s="91"/>
      <c r="AX1941" s="91"/>
      <c r="AY1941" s="91"/>
      <c r="AZ1941" s="91"/>
      <c r="BA1941" s="91"/>
      <c r="BB1941" s="91"/>
      <c r="BC1941" s="91"/>
      <c r="BD1941" s="91"/>
      <c r="BE1941" s="91"/>
      <c r="BF1941" s="91"/>
      <c r="BG1941" s="91"/>
      <c r="BH1941" s="91"/>
      <c r="BI1941" s="91"/>
      <c r="BJ1941" s="91"/>
      <c r="BK1941" s="91"/>
      <c r="BL1941" s="91"/>
      <c r="BM1941" s="91"/>
      <c r="BN1941" s="91"/>
      <c r="BO1941" s="91"/>
    </row>
    <row r="1942" spans="25:67" hidden="1" x14ac:dyDescent="0.25">
      <c r="Y1942" s="91"/>
      <c r="Z1942" s="81">
        <v>0.69532901057309227</v>
      </c>
      <c r="AA1942" s="81">
        <v>0.17030611017626765</v>
      </c>
      <c r="AB1942" s="81">
        <v>0.64867231527455116</v>
      </c>
      <c r="AC1942" s="81">
        <v>0.10032242402507885</v>
      </c>
      <c r="AD1942" s="81">
        <v>0.82000000000000051</v>
      </c>
      <c r="AE1942" s="81">
        <v>0.32936397339777312</v>
      </c>
      <c r="AF1942" s="67"/>
      <c r="AG1942" s="69">
        <f t="shared" si="6"/>
        <v>1942</v>
      </c>
      <c r="AH1942" s="160"/>
      <c r="AI1942" s="542">
        <v>0.72804469299999997</v>
      </c>
      <c r="AJ1942" s="541">
        <v>0.1426429670335452</v>
      </c>
      <c r="AK1942" s="543">
        <v>0.72562617900000004</v>
      </c>
      <c r="AL1942" s="541">
        <v>0.16425175172026468</v>
      </c>
      <c r="AM1942" s="69">
        <f t="shared" si="7"/>
        <v>1942</v>
      </c>
      <c r="AN1942" s="91"/>
      <c r="AO1942" s="91"/>
      <c r="AP1942" s="91"/>
      <c r="AQ1942" s="91"/>
      <c r="AR1942" s="91"/>
      <c r="AS1942" s="91"/>
      <c r="AT1942" s="91"/>
      <c r="AU1942" s="91"/>
      <c r="AV1942" s="91"/>
      <c r="AW1942" s="91"/>
      <c r="AX1942" s="91"/>
      <c r="AY1942" s="91"/>
      <c r="AZ1942" s="91"/>
      <c r="BA1942" s="91"/>
      <c r="BB1942" s="91"/>
      <c r="BC1942" s="91"/>
      <c r="BD1942" s="91"/>
      <c r="BE1942" s="91"/>
      <c r="BF1942" s="91"/>
      <c r="BG1942" s="91"/>
      <c r="BH1942" s="91"/>
      <c r="BI1942" s="91"/>
      <c r="BJ1942" s="91"/>
      <c r="BK1942" s="91"/>
      <c r="BL1942" s="91"/>
      <c r="BM1942" s="91"/>
      <c r="BN1942" s="91"/>
      <c r="BO1942" s="91"/>
    </row>
    <row r="1943" spans="25:67" hidden="1" x14ac:dyDescent="0.25">
      <c r="Y1943" s="91"/>
      <c r="Z1943" s="81">
        <v>0.70302546256682219</v>
      </c>
      <c r="AA1943" s="81">
        <v>0.15381854083352092</v>
      </c>
      <c r="AB1943" s="81">
        <v>0.66052798018837955</v>
      </c>
      <c r="AC1943" s="81">
        <v>9.0260256755560139E-2</v>
      </c>
      <c r="AD1943" s="81">
        <v>0.83000000000000052</v>
      </c>
      <c r="AE1943" s="81">
        <v>0.31279700835486224</v>
      </c>
      <c r="AF1943" s="67"/>
      <c r="AG1943" s="69">
        <f t="shared" si="6"/>
        <v>1943</v>
      </c>
      <c r="AH1943" s="160"/>
      <c r="AI1943" s="542">
        <v>0.73697997400000004</v>
      </c>
      <c r="AJ1943" s="541">
        <v>0.12864214967033871</v>
      </c>
      <c r="AK1943" s="543">
        <v>0.73363902400000003</v>
      </c>
      <c r="AL1943" s="541">
        <v>0.14830278776966188</v>
      </c>
      <c r="AM1943" s="69">
        <f t="shared" si="7"/>
        <v>1943</v>
      </c>
      <c r="AN1943" s="91"/>
      <c r="AO1943" s="91"/>
      <c r="AP1943" s="91"/>
      <c r="AQ1943" s="91"/>
      <c r="AR1943" s="91"/>
      <c r="AS1943" s="91"/>
      <c r="AT1943" s="91"/>
      <c r="AU1943" s="91"/>
      <c r="AV1943" s="91"/>
      <c r="AW1943" s="91"/>
      <c r="AX1943" s="91"/>
      <c r="AY1943" s="91"/>
      <c r="AZ1943" s="91"/>
      <c r="BA1943" s="91"/>
      <c r="BB1943" s="91"/>
      <c r="BC1943" s="91"/>
      <c r="BD1943" s="91"/>
      <c r="BE1943" s="91"/>
      <c r="BF1943" s="91"/>
      <c r="BG1943" s="91"/>
      <c r="BH1943" s="91"/>
      <c r="BI1943" s="91"/>
      <c r="BJ1943" s="91"/>
      <c r="BK1943" s="91"/>
      <c r="BL1943" s="91"/>
      <c r="BM1943" s="91"/>
      <c r="BN1943" s="91"/>
      <c r="BO1943" s="91"/>
    </row>
    <row r="1944" spans="25:67" hidden="1" x14ac:dyDescent="0.25">
      <c r="Y1944" s="91"/>
      <c r="Z1944" s="81">
        <v>0.71149749067284551</v>
      </c>
      <c r="AA1944" s="81">
        <v>0.13794611951076652</v>
      </c>
      <c r="AB1944" s="81">
        <v>0.67312218493629716</v>
      </c>
      <c r="AC1944" s="81">
        <v>8.0640344030019726E-2</v>
      </c>
      <c r="AD1944" s="81">
        <v>0.84000000000000052</v>
      </c>
      <c r="AE1944" s="81">
        <v>0.29602655729424177</v>
      </c>
      <c r="AF1944" s="67"/>
      <c r="AG1944" s="69">
        <f t="shared" si="6"/>
        <v>1944</v>
      </c>
      <c r="AH1944" s="160"/>
      <c r="AI1944" s="542">
        <v>0.74645409200000001</v>
      </c>
      <c r="AJ1944" s="541">
        <v>0.11520026113357398</v>
      </c>
      <c r="AK1944" s="543">
        <v>0.74225756499999995</v>
      </c>
      <c r="AL1944" s="541">
        <v>0.13295795696379173</v>
      </c>
      <c r="AM1944" s="69">
        <f t="shared" si="7"/>
        <v>1944</v>
      </c>
      <c r="AN1944" s="91"/>
      <c r="AO1944" s="91"/>
      <c r="AP1944" s="91"/>
      <c r="AQ1944" s="91"/>
      <c r="AR1944" s="91"/>
      <c r="AS1944" s="91"/>
      <c r="AT1944" s="91"/>
      <c r="AU1944" s="91"/>
      <c r="AV1944" s="91"/>
      <c r="AW1944" s="91"/>
      <c r="AX1944" s="91"/>
      <c r="AY1944" s="91"/>
      <c r="AZ1944" s="91"/>
      <c r="BA1944" s="91"/>
      <c r="BB1944" s="91"/>
      <c r="BC1944" s="91"/>
      <c r="BD1944" s="91"/>
      <c r="BE1944" s="91"/>
      <c r="BF1944" s="91"/>
      <c r="BG1944" s="91"/>
      <c r="BH1944" s="91"/>
      <c r="BI1944" s="91"/>
      <c r="BJ1944" s="91"/>
      <c r="BK1944" s="91"/>
      <c r="BL1944" s="91"/>
      <c r="BM1944" s="91"/>
      <c r="BN1944" s="91"/>
      <c r="BO1944" s="91"/>
    </row>
    <row r="1945" spans="25:67" hidden="1" x14ac:dyDescent="0.25">
      <c r="Y1945" s="91"/>
      <c r="Z1945" s="81">
        <v>0.72080327100434693</v>
      </c>
      <c r="AA1945" s="81">
        <v>0.12272849386846314</v>
      </c>
      <c r="AB1945" s="81">
        <v>0.68648547991249631</v>
      </c>
      <c r="AC1945" s="81">
        <v>7.1478778546493843E-2</v>
      </c>
      <c r="AD1945" s="81">
        <v>0.85000000000000053</v>
      </c>
      <c r="AE1945" s="81">
        <v>0.2790525879547936</v>
      </c>
      <c r="AF1945" s="67"/>
      <c r="AG1945" s="69">
        <f t="shared" si="6"/>
        <v>1945</v>
      </c>
      <c r="AH1945" s="160"/>
      <c r="AI1945" s="542">
        <v>0.75650219200000002</v>
      </c>
      <c r="AJ1945" s="541">
        <v>0.10234653627013665</v>
      </c>
      <c r="AK1945" s="543">
        <v>0.75152772199999995</v>
      </c>
      <c r="AL1945" s="541">
        <v>0.11825451080785837</v>
      </c>
      <c r="AM1945" s="69">
        <f t="shared" si="7"/>
        <v>1945</v>
      </c>
      <c r="AN1945" s="91"/>
      <c r="AO1945" s="91"/>
      <c r="AP1945" s="91"/>
      <c r="AQ1945" s="91"/>
      <c r="AR1945" s="91"/>
      <c r="AS1945" s="91"/>
      <c r="AT1945" s="91"/>
      <c r="AU1945" s="91"/>
      <c r="AV1945" s="91"/>
      <c r="AW1945" s="91"/>
      <c r="AX1945" s="91"/>
      <c r="AY1945" s="91"/>
      <c r="AZ1945" s="91"/>
      <c r="BA1945" s="91"/>
      <c r="BB1945" s="91"/>
      <c r="BC1945" s="91"/>
      <c r="BD1945" s="91"/>
      <c r="BE1945" s="91"/>
      <c r="BF1945" s="91"/>
      <c r="BG1945" s="91"/>
      <c r="BH1945" s="91"/>
      <c r="BI1945" s="91"/>
      <c r="BJ1945" s="91"/>
      <c r="BK1945" s="91"/>
      <c r="BL1945" s="91"/>
      <c r="BM1945" s="91"/>
      <c r="BN1945" s="91"/>
      <c r="BO1945" s="91"/>
    </row>
    <row r="1946" spans="25:67" hidden="1" x14ac:dyDescent="0.25">
      <c r="Y1946" s="91"/>
      <c r="Z1946" s="81">
        <v>0.73100097967451161</v>
      </c>
      <c r="AA1946" s="81">
        <v>0.10820531156706964</v>
      </c>
      <c r="AB1946" s="81">
        <v>0.70064841551116941</v>
      </c>
      <c r="AC1946" s="81">
        <v>6.2791653003018727E-2</v>
      </c>
      <c r="AD1946" s="81">
        <v>0.86000000000000054</v>
      </c>
      <c r="AE1946" s="81">
        <v>0.26187506845219066</v>
      </c>
      <c r="AF1946" s="67"/>
      <c r="AG1946" s="69">
        <f t="shared" si="6"/>
        <v>1946</v>
      </c>
      <c r="AH1946" s="160"/>
      <c r="AI1946" s="542">
        <v>0.76715941799999998</v>
      </c>
      <c r="AJ1946" s="541">
        <v>9.0110209926912127E-2</v>
      </c>
      <c r="AK1946" s="543">
        <v>0.76149541600000004</v>
      </c>
      <c r="AL1946" s="541">
        <v>0.10422970080706573</v>
      </c>
      <c r="AM1946" s="69">
        <f t="shared" si="7"/>
        <v>1946</v>
      </c>
      <c r="AN1946" s="91"/>
      <c r="AO1946" s="91"/>
      <c r="AP1946" s="91"/>
      <c r="AQ1946" s="91"/>
      <c r="AR1946" s="91"/>
      <c r="AS1946" s="91"/>
      <c r="AT1946" s="91"/>
      <c r="AU1946" s="91"/>
      <c r="AV1946" s="91"/>
      <c r="AW1946" s="91"/>
      <c r="AX1946" s="91"/>
      <c r="AY1946" s="91"/>
      <c r="AZ1946" s="91"/>
      <c r="BA1946" s="91"/>
      <c r="BB1946" s="91"/>
      <c r="BC1946" s="91"/>
      <c r="BD1946" s="91"/>
      <c r="BE1946" s="91"/>
      <c r="BF1946" s="91"/>
      <c r="BG1946" s="91"/>
      <c r="BH1946" s="91"/>
      <c r="BI1946" s="91"/>
      <c r="BJ1946" s="91"/>
      <c r="BK1946" s="91"/>
      <c r="BL1946" s="91"/>
      <c r="BM1946" s="91"/>
      <c r="BN1946" s="91"/>
      <c r="BO1946" s="91"/>
    </row>
    <row r="1947" spans="25:67" hidden="1" x14ac:dyDescent="0.25">
      <c r="Y1947" s="91"/>
      <c r="Z1947" s="81">
        <v>0.74214879279652424</v>
      </c>
      <c r="AA1947" s="81">
        <v>9.4416220267044701E-2</v>
      </c>
      <c r="AB1947" s="81">
        <v>0.71564154212650832</v>
      </c>
      <c r="AC1947" s="81">
        <v>5.4595060097630668E-2</v>
      </c>
      <c r="AD1947" s="81">
        <v>0.87000000000000055</v>
      </c>
      <c r="AE1947" s="81">
        <v>0.24449396727013906</v>
      </c>
      <c r="AF1947" s="67"/>
      <c r="AG1947" s="69">
        <f t="shared" si="6"/>
        <v>1947</v>
      </c>
      <c r="AH1947" s="160"/>
      <c r="AI1947" s="542">
        <v>0.778460916</v>
      </c>
      <c r="AJ1947" s="541">
        <v>7.8520516950785976E-2</v>
      </c>
      <c r="AK1947" s="543">
        <v>0.77220656799999998</v>
      </c>
      <c r="AL1947" s="541">
        <v>9.0920778466617891E-2</v>
      </c>
      <c r="AM1947" s="69">
        <f t="shared" si="7"/>
        <v>1947</v>
      </c>
      <c r="AN1947" s="91"/>
      <c r="AO1947" s="91"/>
      <c r="AP1947" s="91"/>
      <c r="AQ1947" s="91"/>
      <c r="AR1947" s="91"/>
      <c r="AS1947" s="91"/>
      <c r="AT1947" s="91"/>
      <c r="AU1947" s="91"/>
      <c r="AV1947" s="91"/>
      <c r="AW1947" s="91"/>
      <c r="AX1947" s="91"/>
      <c r="AY1947" s="91"/>
      <c r="AZ1947" s="91"/>
      <c r="BA1947" s="91"/>
      <c r="BB1947" s="91"/>
      <c r="BC1947" s="91"/>
      <c r="BD1947" s="91"/>
      <c r="BE1947" s="91"/>
      <c r="BF1947" s="91"/>
      <c r="BG1947" s="91"/>
      <c r="BH1947" s="91"/>
      <c r="BI1947" s="91"/>
      <c r="BJ1947" s="91"/>
      <c r="BK1947" s="91"/>
      <c r="BL1947" s="91"/>
      <c r="BM1947" s="91"/>
      <c r="BN1947" s="91"/>
      <c r="BO1947" s="91"/>
    </row>
    <row r="1948" spans="25:67" hidden="1" x14ac:dyDescent="0.25">
      <c r="Y1948" s="91"/>
      <c r="Z1948" s="81">
        <v>0.75430488648356997</v>
      </c>
      <c r="AA1948" s="81">
        <v>8.1400867628847157E-2</v>
      </c>
      <c r="AB1948" s="81">
        <v>0.73149541015270581</v>
      </c>
      <c r="AC1948" s="81">
        <v>4.6905092528365888E-2</v>
      </c>
      <c r="AD1948" s="81">
        <v>0.88000000000000056</v>
      </c>
      <c r="AE1948" s="81">
        <v>0.22690925325192446</v>
      </c>
      <c r="AF1948" s="67"/>
      <c r="AG1948" s="69">
        <f t="shared" si="6"/>
        <v>1948</v>
      </c>
      <c r="AH1948" s="160"/>
      <c r="AI1948" s="542">
        <v>0.79044183099999998</v>
      </c>
      <c r="AJ1948" s="541">
        <v>6.7606692188643638E-2</v>
      </c>
      <c r="AK1948" s="543">
        <v>0.78370709699999996</v>
      </c>
      <c r="AL1948" s="541">
        <v>7.8364995291718823E-2</v>
      </c>
      <c r="AM1948" s="69">
        <f t="shared" si="7"/>
        <v>1948</v>
      </c>
      <c r="AN1948" s="91"/>
      <c r="AO1948" s="91"/>
      <c r="AP1948" s="91"/>
      <c r="AQ1948" s="91"/>
      <c r="AR1948" s="91"/>
      <c r="AS1948" s="91"/>
      <c r="AT1948" s="91"/>
      <c r="AU1948" s="91"/>
      <c r="AV1948" s="91"/>
      <c r="AW1948" s="91"/>
      <c r="AX1948" s="91"/>
      <c r="AY1948" s="91"/>
      <c r="AZ1948" s="91"/>
      <c r="BA1948" s="91"/>
      <c r="BB1948" s="91"/>
      <c r="BC1948" s="91"/>
      <c r="BD1948" s="91"/>
      <c r="BE1948" s="91"/>
      <c r="BF1948" s="91"/>
      <c r="BG1948" s="91"/>
      <c r="BH1948" s="91"/>
      <c r="BI1948" s="91"/>
      <c r="BJ1948" s="91"/>
      <c r="BK1948" s="91"/>
      <c r="BL1948" s="91"/>
      <c r="BM1948" s="91"/>
      <c r="BN1948" s="91"/>
      <c r="BO1948" s="91"/>
    </row>
    <row r="1949" spans="25:67" hidden="1" x14ac:dyDescent="0.25">
      <c r="Y1949" s="91"/>
      <c r="Z1949" s="81">
        <v>0.76752743684883351</v>
      </c>
      <c r="AA1949" s="81">
        <v>6.9198901312935712E-2</v>
      </c>
      <c r="AB1949" s="81">
        <v>0.74824056998395361</v>
      </c>
      <c r="AC1949" s="81">
        <v>3.9737842993260671E-2</v>
      </c>
      <c r="AD1949" s="81">
        <v>0.89000000000000057</v>
      </c>
      <c r="AE1949" s="81">
        <v>0.209120895592245</v>
      </c>
      <c r="AF1949" s="67"/>
      <c r="AG1949" s="69">
        <f t="shared" si="6"/>
        <v>1949</v>
      </c>
      <c r="AH1949" s="160"/>
      <c r="AI1949" s="542">
        <v>0.803137306</v>
      </c>
      <c r="AJ1949" s="541">
        <v>5.7397970487370692E-2</v>
      </c>
      <c r="AK1949" s="543">
        <v>0.79604292499999996</v>
      </c>
      <c r="AL1949" s="541">
        <v>6.659960278757257E-2</v>
      </c>
      <c r="AM1949" s="69">
        <f t="shared" si="7"/>
        <v>1949</v>
      </c>
      <c r="AN1949" s="91"/>
      <c r="AO1949" s="91"/>
      <c r="AP1949" s="91"/>
      <c r="AQ1949" s="91"/>
      <c r="AR1949" s="91"/>
      <c r="AS1949" s="91"/>
      <c r="AT1949" s="91"/>
      <c r="AU1949" s="91"/>
      <c r="AV1949" s="91"/>
      <c r="AW1949" s="91"/>
      <c r="AX1949" s="91"/>
      <c r="AY1949" s="91"/>
      <c r="AZ1949" s="91"/>
      <c r="BA1949" s="91"/>
      <c r="BB1949" s="91"/>
      <c r="BC1949" s="91"/>
      <c r="BD1949" s="91"/>
      <c r="BE1949" s="91"/>
      <c r="BF1949" s="91"/>
      <c r="BG1949" s="91"/>
      <c r="BH1949" s="91"/>
      <c r="BI1949" s="91"/>
      <c r="BJ1949" s="91"/>
      <c r="BK1949" s="91"/>
      <c r="BL1949" s="91"/>
      <c r="BM1949" s="91"/>
      <c r="BN1949" s="91"/>
      <c r="BO1949" s="91"/>
    </row>
    <row r="1950" spans="25:67" hidden="1" x14ac:dyDescent="0.25">
      <c r="Y1950" s="91"/>
      <c r="Z1950" s="81">
        <v>0.78187462000550001</v>
      </c>
      <c r="AA1950" s="81">
        <v>5.7849968979769163E-2</v>
      </c>
      <c r="AB1950" s="81">
        <v>0.76590757201444437</v>
      </c>
      <c r="AC1950" s="81">
        <v>3.3109404190351209E-2</v>
      </c>
      <c r="AD1950" s="81">
        <v>0.90000000000000058</v>
      </c>
      <c r="AE1950" s="81">
        <v>0.19112886382932204</v>
      </c>
      <c r="AF1950" s="67"/>
      <c r="AG1950" s="69">
        <f t="shared" si="6"/>
        <v>1950</v>
      </c>
      <c r="AH1950" s="160"/>
      <c r="AI1950" s="542">
        <v>0.816582488</v>
      </c>
      <c r="AJ1950" s="541">
        <v>4.7923586693852591E-2</v>
      </c>
      <c r="AK1950" s="543">
        <v>0.80925997199999999</v>
      </c>
      <c r="AL1950" s="541">
        <v>5.5661852459383154E-2</v>
      </c>
      <c r="AM1950" s="69">
        <f t="shared" si="7"/>
        <v>1950</v>
      </c>
      <c r="AN1950" s="91"/>
      <c r="AO1950" s="91"/>
      <c r="AP1950" s="91"/>
      <c r="AQ1950" s="91"/>
      <c r="AR1950" s="91"/>
      <c r="AS1950" s="91"/>
      <c r="AT1950" s="91"/>
      <c r="AU1950" s="91"/>
      <c r="AV1950" s="91"/>
      <c r="AW1950" s="91"/>
      <c r="AX1950" s="91"/>
      <c r="AY1950" s="91"/>
      <c r="AZ1950" s="91"/>
      <c r="BA1950" s="91"/>
      <c r="BB1950" s="91"/>
      <c r="BC1950" s="91"/>
      <c r="BD1950" s="91"/>
      <c r="BE1950" s="91"/>
      <c r="BF1950" s="91"/>
      <c r="BG1950" s="91"/>
      <c r="BH1950" s="91"/>
      <c r="BI1950" s="91"/>
      <c r="BJ1950" s="91"/>
      <c r="BK1950" s="91"/>
      <c r="BL1950" s="91"/>
      <c r="BM1950" s="91"/>
      <c r="BN1950" s="91"/>
      <c r="BO1950" s="91"/>
    </row>
    <row r="1951" spans="25:67" hidden="1" x14ac:dyDescent="0.25">
      <c r="Y1951" s="91"/>
      <c r="Z1951" s="81">
        <v>0.79740461206675417</v>
      </c>
      <c r="AA1951" s="81">
        <v>4.7393718289806264E-2</v>
      </c>
      <c r="AB1951" s="81">
        <v>0.78452696663837029</v>
      </c>
      <c r="AC1951" s="81">
        <v>2.7035868817673808E-2</v>
      </c>
      <c r="AD1951" s="81">
        <v>0.91000000000000059</v>
      </c>
      <c r="AE1951" s="81">
        <v>0.17293312783727244</v>
      </c>
      <c r="AF1951" s="67"/>
      <c r="AG1951" s="69">
        <f t="shared" si="6"/>
        <v>1951</v>
      </c>
      <c r="AH1951" s="160"/>
      <c r="AI1951" s="542">
        <v>0.83081252000000005</v>
      </c>
      <c r="AJ1951" s="541">
        <v>3.9212775654974857E-2</v>
      </c>
      <c r="AK1951" s="543">
        <v>0.823404158</v>
      </c>
      <c r="AL1951" s="541">
        <v>4.55889958123546E-2</v>
      </c>
      <c r="AM1951" s="69">
        <f t="shared" si="7"/>
        <v>1951</v>
      </c>
      <c r="AN1951" s="91"/>
      <c r="AO1951" s="91"/>
      <c r="AP1951" s="91"/>
      <c r="AQ1951" s="91"/>
      <c r="AR1951" s="91"/>
      <c r="AS1951" s="91"/>
      <c r="AT1951" s="91"/>
      <c r="AU1951" s="91"/>
      <c r="AV1951" s="91"/>
      <c r="AW1951" s="91"/>
      <c r="AX1951" s="91"/>
      <c r="AY1951" s="91"/>
      <c r="AZ1951" s="91"/>
      <c r="BA1951" s="91"/>
      <c r="BB1951" s="91"/>
      <c r="BC1951" s="91"/>
      <c r="BD1951" s="91"/>
      <c r="BE1951" s="91"/>
      <c r="BF1951" s="91"/>
      <c r="BG1951" s="91"/>
      <c r="BH1951" s="91"/>
      <c r="BI1951" s="91"/>
      <c r="BJ1951" s="91"/>
      <c r="BK1951" s="91"/>
      <c r="BL1951" s="91"/>
      <c r="BM1951" s="91"/>
      <c r="BN1951" s="91"/>
      <c r="BO1951" s="91"/>
    </row>
    <row r="1952" spans="25:67" hidden="1" x14ac:dyDescent="0.25">
      <c r="Y1952" s="91"/>
      <c r="Z1952" s="81">
        <v>0.81417558914578092</v>
      </c>
      <c r="AA1952" s="81">
        <v>3.7869796903505774E-2</v>
      </c>
      <c r="AB1952" s="81">
        <v>0.80412930424992346</v>
      </c>
      <c r="AC1952" s="81">
        <v>2.1533329573264686E-2</v>
      </c>
      <c r="AD1952" s="81">
        <v>0.9200000000000006</v>
      </c>
      <c r="AE1952" s="81">
        <v>0.15453365781873363</v>
      </c>
      <c r="AF1952" s="67"/>
      <c r="AG1952" s="69">
        <f t="shared" si="6"/>
        <v>1952</v>
      </c>
      <c r="AH1952" s="160"/>
      <c r="AI1952" s="542">
        <v>0.84586254900000002</v>
      </c>
      <c r="AJ1952" s="541">
        <v>3.1294772217622988E-2</v>
      </c>
      <c r="AK1952" s="543">
        <v>0.83852140500000005</v>
      </c>
      <c r="AL1952" s="541">
        <v>3.6418284351690942E-2</v>
      </c>
      <c r="AM1952" s="69">
        <f t="shared" si="7"/>
        <v>1952</v>
      </c>
      <c r="AN1952" s="91"/>
      <c r="AO1952" s="91"/>
      <c r="AP1952" s="91"/>
      <c r="AQ1952" s="91"/>
      <c r="AR1952" s="91"/>
      <c r="AS1952" s="91"/>
      <c r="AT1952" s="91"/>
      <c r="AU1952" s="91"/>
      <c r="AV1952" s="91"/>
      <c r="AW1952" s="91"/>
      <c r="AX1952" s="91"/>
      <c r="AY1952" s="91"/>
      <c r="AZ1952" s="91"/>
      <c r="BA1952" s="91"/>
      <c r="BB1952" s="91"/>
      <c r="BC1952" s="91"/>
      <c r="BD1952" s="91"/>
      <c r="BE1952" s="91"/>
      <c r="BF1952" s="91"/>
      <c r="BG1952" s="91"/>
      <c r="BH1952" s="91"/>
      <c r="BI1952" s="91"/>
      <c r="BJ1952" s="91"/>
      <c r="BK1952" s="91"/>
      <c r="BL1952" s="91"/>
      <c r="BM1952" s="91"/>
      <c r="BN1952" s="91"/>
      <c r="BO1952" s="91"/>
    </row>
    <row r="1953" spans="25:67" hidden="1" x14ac:dyDescent="0.25">
      <c r="Y1953" s="91"/>
      <c r="Z1953" s="81">
        <v>0.8322457273557653</v>
      </c>
      <c r="AA1953" s="81">
        <v>2.9317852481326453E-2</v>
      </c>
      <c r="AB1953" s="81">
        <v>0.82474513524329618</v>
      </c>
      <c r="AC1953" s="81">
        <v>1.6617879155160102E-2</v>
      </c>
      <c r="AD1953" s="81">
        <v>0.9300000000000006</v>
      </c>
      <c r="AE1953" s="81">
        <v>0.13593042429772917</v>
      </c>
      <c r="AF1953" s="67"/>
      <c r="AG1953" s="69">
        <f t="shared" si="6"/>
        <v>1953</v>
      </c>
      <c r="AH1953" s="160"/>
      <c r="AI1953" s="542">
        <v>0.86176771699999999</v>
      </c>
      <c r="AJ1953" s="541">
        <v>2.4198811228682501E-2</v>
      </c>
      <c r="AK1953" s="543">
        <v>0.854657632</v>
      </c>
      <c r="AL1953" s="541">
        <v>2.8186969582596172E-2</v>
      </c>
      <c r="AM1953" s="69">
        <f t="shared" si="7"/>
        <v>1953</v>
      </c>
      <c r="AN1953" s="91"/>
      <c r="AO1953" s="91"/>
      <c r="AP1953" s="91"/>
      <c r="AQ1953" s="91"/>
      <c r="AR1953" s="91"/>
      <c r="AS1953" s="91"/>
      <c r="AT1953" s="91"/>
      <c r="AU1953" s="91"/>
      <c r="AV1953" s="91"/>
      <c r="AW1953" s="91"/>
      <c r="AX1953" s="91"/>
      <c r="AY1953" s="91"/>
      <c r="AZ1953" s="91"/>
      <c r="BA1953" s="91"/>
      <c r="BB1953" s="91"/>
      <c r="BC1953" s="91"/>
      <c r="BD1953" s="91"/>
      <c r="BE1953" s="91"/>
      <c r="BF1953" s="91"/>
      <c r="BG1953" s="91"/>
      <c r="BH1953" s="91"/>
      <c r="BI1953" s="91"/>
      <c r="BJ1953" s="91"/>
      <c r="BK1953" s="91"/>
      <c r="BL1953" s="91"/>
      <c r="BM1953" s="91"/>
      <c r="BN1953" s="91"/>
      <c r="BO1953" s="91"/>
    </row>
    <row r="1954" spans="25:67" hidden="1" x14ac:dyDescent="0.25">
      <c r="Y1954" s="91"/>
      <c r="Z1954" s="81">
        <v>0.85167320280989223</v>
      </c>
      <c r="AA1954" s="81">
        <v>2.1777532683727067E-2</v>
      </c>
      <c r="AB1954" s="81">
        <v>0.84640501001268076</v>
      </c>
      <c r="AC1954" s="81">
        <v>1.2305610261396304E-2</v>
      </c>
      <c r="AD1954" s="81">
        <v>0.94000000000000061</v>
      </c>
      <c r="AE1954" s="81">
        <v>0.11712339811276495</v>
      </c>
      <c r="AF1954" s="67"/>
      <c r="AG1954" s="69">
        <f t="shared" si="6"/>
        <v>1954</v>
      </c>
      <c r="AH1954" s="160"/>
      <c r="AI1954" s="542">
        <v>0.878563172</v>
      </c>
      <c r="AJ1954" s="541">
        <v>1.7954127535038895E-2</v>
      </c>
      <c r="AK1954" s="543">
        <v>0.87185875999999995</v>
      </c>
      <c r="AL1954" s="541">
        <v>2.0932303010274333E-2</v>
      </c>
      <c r="AM1954" s="69">
        <f t="shared" si="7"/>
        <v>1954</v>
      </c>
      <c r="AN1954" s="91"/>
      <c r="AO1954" s="91"/>
      <c r="AP1954" s="91"/>
      <c r="AQ1954" s="91"/>
      <c r="AR1954" s="91"/>
      <c r="AS1954" s="91"/>
      <c r="AT1954" s="91"/>
      <c r="AU1954" s="91"/>
      <c r="AV1954" s="91"/>
      <c r="AW1954" s="91"/>
      <c r="AX1954" s="91"/>
      <c r="AY1954" s="91"/>
      <c r="AZ1954" s="91"/>
      <c r="BA1954" s="91"/>
      <c r="BB1954" s="91"/>
      <c r="BC1954" s="91"/>
      <c r="BD1954" s="91"/>
      <c r="BE1954" s="91"/>
      <c r="BF1954" s="91"/>
      <c r="BG1954" s="91"/>
      <c r="BH1954" s="91"/>
      <c r="BI1954" s="91"/>
      <c r="BJ1954" s="91"/>
      <c r="BK1954" s="91"/>
      <c r="BL1954" s="91"/>
      <c r="BM1954" s="91"/>
      <c r="BN1954" s="91"/>
      <c r="BO1954" s="91"/>
    </row>
    <row r="1955" spans="25:67" hidden="1" x14ac:dyDescent="0.25">
      <c r="Y1955" s="91"/>
      <c r="Z1955" s="81">
        <v>0.87251619162134653</v>
      </c>
      <c r="AA1955" s="81">
        <v>1.528848517116637E-2</v>
      </c>
      <c r="AB1955" s="81">
        <v>0.86913947895226928</v>
      </c>
      <c r="AC1955" s="81">
        <v>8.61261559000954E-3</v>
      </c>
      <c r="AD1955" s="81">
        <v>0.95000000000000062</v>
      </c>
      <c r="AE1955" s="81">
        <v>9.8112550410145327E-2</v>
      </c>
      <c r="AF1955" s="67"/>
      <c r="AG1955" s="69">
        <f t="shared" si="6"/>
        <v>1955</v>
      </c>
      <c r="AH1955" s="160"/>
      <c r="AI1955" s="542">
        <v>0.89628405600000005</v>
      </c>
      <c r="AJ1955" s="541">
        <v>1.2589955983577669E-2</v>
      </c>
      <c r="AK1955" s="543">
        <v>0.89017070899999995</v>
      </c>
      <c r="AL1955" s="541">
        <v>1.4691536139929441E-2</v>
      </c>
      <c r="AM1955" s="69">
        <f t="shared" si="7"/>
        <v>1955</v>
      </c>
      <c r="AN1955" s="91"/>
      <c r="AO1955" s="91"/>
      <c r="AP1955" s="91"/>
      <c r="AQ1955" s="91"/>
      <c r="AR1955" s="91"/>
      <c r="AS1955" s="91"/>
      <c r="AT1955" s="91"/>
      <c r="AU1955" s="91"/>
      <c r="AV1955" s="91"/>
      <c r="AW1955" s="91"/>
      <c r="AX1955" s="91"/>
      <c r="AY1955" s="91"/>
      <c r="AZ1955" s="91"/>
      <c r="BA1955" s="91"/>
      <c r="BB1955" s="91"/>
      <c r="BC1955" s="91"/>
      <c r="BD1955" s="91"/>
      <c r="BE1955" s="91"/>
      <c r="BF1955" s="91"/>
      <c r="BG1955" s="91"/>
      <c r="BH1955" s="91"/>
      <c r="BI1955" s="91"/>
      <c r="BJ1955" s="91"/>
      <c r="BK1955" s="91"/>
      <c r="BL1955" s="91"/>
      <c r="BM1955" s="91"/>
      <c r="BN1955" s="91"/>
      <c r="BO1955" s="91"/>
    </row>
    <row r="1956" spans="25:67" hidden="1" x14ac:dyDescent="0.25">
      <c r="Y1956" s="91"/>
      <c r="Z1956" s="81">
        <v>0.89483286990331323</v>
      </c>
      <c r="AA1956" s="81">
        <v>9.8903576041031362E-3</v>
      </c>
      <c r="AB1956" s="81">
        <v>0.89297909245625429</v>
      </c>
      <c r="AC1956" s="81">
        <v>5.5549878390360619E-3</v>
      </c>
      <c r="AD1956" s="81">
        <v>0.96000000000000063</v>
      </c>
      <c r="AE1956" s="81">
        <v>7.8897852637501154E-2</v>
      </c>
      <c r="AF1956" s="67"/>
      <c r="AG1956" s="69">
        <f t="shared" si="6"/>
        <v>1956</v>
      </c>
      <c r="AH1956" s="160"/>
      <c r="AI1956" s="542">
        <v>0.91496551500000001</v>
      </c>
      <c r="AJ1956" s="541">
        <v>8.1355314211843353E-3</v>
      </c>
      <c r="AK1956" s="543">
        <v>0.90963940099999996</v>
      </c>
      <c r="AL1956" s="541">
        <v>9.5019204767655234E-3</v>
      </c>
      <c r="AM1956" s="69">
        <f t="shared" si="7"/>
        <v>1956</v>
      </c>
      <c r="AN1956" s="91"/>
      <c r="AO1956" s="91"/>
      <c r="AP1956" s="91"/>
      <c r="AQ1956" s="91"/>
      <c r="AR1956" s="91"/>
      <c r="AS1956" s="91"/>
      <c r="AT1956" s="91"/>
      <c r="AU1956" s="91"/>
      <c r="AV1956" s="91"/>
      <c r="AW1956" s="91"/>
      <c r="AX1956" s="91"/>
      <c r="AY1956" s="91"/>
      <c r="AZ1956" s="91"/>
      <c r="BA1956" s="91"/>
      <c r="BB1956" s="91"/>
      <c r="BC1956" s="91"/>
      <c r="BD1956" s="91"/>
      <c r="BE1956" s="91"/>
      <c r="BF1956" s="91"/>
      <c r="BG1956" s="91"/>
      <c r="BH1956" s="91"/>
      <c r="BI1956" s="91"/>
      <c r="BJ1956" s="91"/>
      <c r="BK1956" s="91"/>
      <c r="BL1956" s="91"/>
      <c r="BM1956" s="91"/>
      <c r="BN1956" s="91"/>
      <c r="BO1956" s="91"/>
    </row>
    <row r="1957" spans="25:67" hidden="1" x14ac:dyDescent="0.25">
      <c r="Y1957" s="91"/>
      <c r="Z1957" s="81">
        <v>0.91868141376897705</v>
      </c>
      <c r="AA1957" s="81">
        <v>5.6227976429961187E-3</v>
      </c>
      <c r="AB1957" s="81">
        <v>0.91795440091882763</v>
      </c>
      <c r="AC1957" s="81">
        <v>3.1488197065121198E-3</v>
      </c>
      <c r="AD1957" s="81">
        <v>0.97000000000000064</v>
      </c>
      <c r="AE1957" s="81">
        <v>5.9479276537520609E-2</v>
      </c>
      <c r="AF1957" s="67"/>
      <c r="AG1957" s="69">
        <f t="shared" si="6"/>
        <v>1957</v>
      </c>
      <c r="AH1957" s="160"/>
      <c r="AI1957" s="542">
        <v>0.93464269499999997</v>
      </c>
      <c r="AJ1957" s="541">
        <v>4.6200886947443971E-3</v>
      </c>
      <c r="AK1957" s="543">
        <v>0.93031075500000004</v>
      </c>
      <c r="AL1957" s="541">
        <v>5.4007075259865974E-3</v>
      </c>
      <c r="AM1957" s="69">
        <f t="shared" si="7"/>
        <v>1957</v>
      </c>
      <c r="AN1957" s="91"/>
      <c r="AO1957" s="91"/>
      <c r="AP1957" s="91"/>
      <c r="AQ1957" s="91"/>
      <c r="AR1957" s="91"/>
      <c r="AS1957" s="91"/>
      <c r="AT1957" s="91"/>
      <c r="AU1957" s="91"/>
      <c r="AV1957" s="91"/>
      <c r="AW1957" s="91"/>
      <c r="AX1957" s="91"/>
      <c r="AY1957" s="91"/>
      <c r="AZ1957" s="91"/>
      <c r="BA1957" s="91"/>
      <c r="BB1957" s="91"/>
      <c r="BC1957" s="91"/>
      <c r="BD1957" s="91"/>
      <c r="BE1957" s="91"/>
      <c r="BF1957" s="91"/>
      <c r="BG1957" s="91"/>
      <c r="BH1957" s="91"/>
      <c r="BI1957" s="91"/>
      <c r="BJ1957" s="91"/>
      <c r="BK1957" s="91"/>
      <c r="BL1957" s="91"/>
      <c r="BM1957" s="91"/>
      <c r="BN1957" s="91"/>
      <c r="BO1957" s="91"/>
    </row>
    <row r="1958" spans="25:67" hidden="1" x14ac:dyDescent="0.25">
      <c r="Y1958" s="91"/>
      <c r="Z1958" s="81">
        <v>0.94411999933152291</v>
      </c>
      <c r="AA1958" s="81">
        <v>2.5254529483040825E-3</v>
      </c>
      <c r="AB1958" s="81">
        <v>0.94409595473418206</v>
      </c>
      <c r="AC1958" s="81">
        <v>1.410203890473962E-3</v>
      </c>
      <c r="AD1958" s="81">
        <v>0.98000000000000065</v>
      </c>
      <c r="AE1958" s="81">
        <v>3.9856794141872487E-2</v>
      </c>
      <c r="AF1958" s="67"/>
      <c r="AG1958" s="69">
        <f t="shared" si="6"/>
        <v>1958</v>
      </c>
      <c r="AH1958" s="160"/>
      <c r="AI1958" s="542">
        <v>0.955350739</v>
      </c>
      <c r="AJ1958" s="541">
        <v>2.0728626511433575E-3</v>
      </c>
      <c r="AK1958" s="543">
        <v>0.95223069299999996</v>
      </c>
      <c r="AL1958" s="541">
        <v>2.4251487927966862E-3</v>
      </c>
      <c r="AM1958" s="69">
        <f t="shared" si="7"/>
        <v>1958</v>
      </c>
      <c r="AN1958" s="91"/>
      <c r="AO1958" s="91"/>
      <c r="AP1958" s="91"/>
      <c r="AQ1958" s="91"/>
      <c r="AR1958" s="91"/>
      <c r="AS1958" s="91"/>
      <c r="AT1958" s="91"/>
      <c r="AU1958" s="91"/>
      <c r="AV1958" s="91"/>
      <c r="AW1958" s="91"/>
      <c r="AX1958" s="91"/>
      <c r="AY1958" s="91"/>
      <c r="AZ1958" s="91"/>
      <c r="BA1958" s="91"/>
      <c r="BB1958" s="91"/>
      <c r="BC1958" s="91"/>
      <c r="BD1958" s="91"/>
      <c r="BE1958" s="91"/>
      <c r="BF1958" s="91"/>
      <c r="BG1958" s="91"/>
      <c r="BH1958" s="91"/>
      <c r="BI1958" s="91"/>
      <c r="BJ1958" s="91"/>
      <c r="BK1958" s="91"/>
      <c r="BL1958" s="91"/>
      <c r="BM1958" s="91"/>
      <c r="BN1958" s="91"/>
      <c r="BO1958" s="91"/>
    </row>
    <row r="1959" spans="25:67" hidden="1" x14ac:dyDescent="0.25">
      <c r="Y1959" s="91"/>
      <c r="Z1959" s="81">
        <v>0.97120680270413606</v>
      </c>
      <c r="AA1959" s="81">
        <v>6.3797118048578862E-4</v>
      </c>
      <c r="AB1959" s="81">
        <v>0.97143430429650934</v>
      </c>
      <c r="AC1959" s="81">
        <v>3.5523308895783875E-4</v>
      </c>
      <c r="AD1959" s="81">
        <v>0.99000000000000066</v>
      </c>
      <c r="AE1959" s="81">
        <v>2.0030377765317908E-2</v>
      </c>
      <c r="AF1959" s="67"/>
      <c r="AG1959" s="69">
        <f t="shared" si="6"/>
        <v>1959</v>
      </c>
      <c r="AH1959" s="160"/>
      <c r="AI1959" s="542">
        <v>0.97712479200000002</v>
      </c>
      <c r="AJ1959" s="541">
        <v>5.2308813726672403E-4</v>
      </c>
      <c r="AK1959" s="543">
        <v>0.97544513399999999</v>
      </c>
      <c r="AL1959" s="541">
        <v>6.1249578239981346E-4</v>
      </c>
      <c r="AM1959" s="69">
        <f t="shared" si="7"/>
        <v>1959</v>
      </c>
      <c r="AN1959" s="91"/>
      <c r="AO1959" s="91"/>
      <c r="AP1959" s="91"/>
      <c r="AQ1959" s="91"/>
      <c r="AR1959" s="91"/>
      <c r="AS1959" s="91"/>
      <c r="AT1959" s="91"/>
      <c r="AU1959" s="91"/>
      <c r="AV1959" s="91"/>
      <c r="AW1959" s="91"/>
      <c r="AX1959" s="91"/>
      <c r="AY1959" s="91"/>
      <c r="AZ1959" s="91"/>
      <c r="BA1959" s="91"/>
      <c r="BB1959" s="91"/>
      <c r="BC1959" s="91"/>
      <c r="BD1959" s="91"/>
      <c r="BE1959" s="91"/>
      <c r="BF1959" s="91"/>
      <c r="BG1959" s="91"/>
      <c r="BH1959" s="91"/>
      <c r="BI1959" s="91"/>
      <c r="BJ1959" s="91"/>
      <c r="BK1959" s="91"/>
      <c r="BL1959" s="91"/>
      <c r="BM1959" s="91"/>
      <c r="BN1959" s="91"/>
      <c r="BO1959" s="91"/>
    </row>
    <row r="1960" spans="25:67" hidden="1" x14ac:dyDescent="0.25">
      <c r="Y1960" s="91"/>
      <c r="Z1960" s="81">
        <v>1.0000000000000011</v>
      </c>
      <c r="AA1960" s="81">
        <v>7.4394280591573158E-31</v>
      </c>
      <c r="AB1960" s="81">
        <v>1.0000000000000022</v>
      </c>
      <c r="AC1960" s="81">
        <v>1.9803876708640074E-30</v>
      </c>
      <c r="AD1960" s="81">
        <v>1.0000000000000007</v>
      </c>
      <c r="AE1960" s="81">
        <v>-1.3322676295501878E-15</v>
      </c>
      <c r="AF1960" s="67"/>
      <c r="AG1960" s="69">
        <f t="shared" si="6"/>
        <v>1960</v>
      </c>
      <c r="AH1960" s="79"/>
      <c r="AI1960" s="542">
        <v>1</v>
      </c>
      <c r="AJ1960" s="541">
        <v>2.040788681911231E-30</v>
      </c>
      <c r="AK1960" s="543">
        <v>1</v>
      </c>
      <c r="AL1960" s="541">
        <v>1.3197458408386735E-30</v>
      </c>
      <c r="AM1960" s="69">
        <f t="shared" si="7"/>
        <v>1960</v>
      </c>
      <c r="AN1960" s="91"/>
      <c r="AO1960" s="91"/>
      <c r="AP1960" s="91"/>
      <c r="AQ1960" s="91"/>
      <c r="AR1960" s="91"/>
      <c r="AS1960" s="91"/>
      <c r="AT1960" s="91"/>
      <c r="AU1960" s="91"/>
      <c r="AV1960" s="91"/>
      <c r="AW1960" s="67"/>
      <c r="AX1960" s="160"/>
      <c r="AY1960" s="160"/>
      <c r="AZ1960" s="160"/>
      <c r="BA1960" s="160"/>
      <c r="BB1960" s="160"/>
      <c r="BC1960" s="160"/>
      <c r="BD1960" s="160"/>
      <c r="BE1960" s="160"/>
      <c r="BF1960" s="160"/>
      <c r="BG1960" s="160"/>
      <c r="BH1960" s="160"/>
      <c r="BI1960" s="106"/>
      <c r="BJ1960" s="106"/>
      <c r="BK1960" s="106"/>
      <c r="BL1960" s="106"/>
      <c r="BM1960" s="106"/>
      <c r="BN1960" s="106"/>
      <c r="BO1960" s="106"/>
    </row>
    <row r="1961" spans="25:67" hidden="1" x14ac:dyDescent="0.25">
      <c r="Y1961" s="91"/>
      <c r="Z1961" s="446"/>
      <c r="AA1961" s="67"/>
      <c r="AB1961" s="67"/>
      <c r="AC1961" s="67"/>
      <c r="AD1961" s="67"/>
      <c r="AE1961" s="67"/>
      <c r="AF1961" s="67"/>
      <c r="AG1961" s="79"/>
      <c r="AH1961" s="79"/>
      <c r="AI1961" s="423"/>
      <c r="AJ1961" s="69"/>
      <c r="AK1961" s="65"/>
      <c r="AL1961" s="65"/>
      <c r="AM1961" s="433"/>
      <c r="AN1961" s="91"/>
      <c r="AO1961" s="91"/>
      <c r="AP1961" s="91"/>
      <c r="AQ1961" s="91"/>
      <c r="AR1961" s="91"/>
      <c r="AS1961" s="91"/>
      <c r="AT1961" s="91"/>
      <c r="AU1961" s="91"/>
      <c r="AV1961" s="91"/>
      <c r="AW1961" s="67"/>
      <c r="AX1961" s="160"/>
      <c r="AY1961" s="160"/>
      <c r="AZ1961" s="160"/>
      <c r="BA1961" s="160"/>
      <c r="BB1961" s="160"/>
      <c r="BC1961" s="160"/>
      <c r="BD1961" s="160"/>
      <c r="BE1961" s="160"/>
      <c r="BF1961" s="160"/>
      <c r="BG1961" s="160"/>
      <c r="BH1961" s="160"/>
      <c r="BI1961" s="106"/>
      <c r="BJ1961" s="106"/>
      <c r="BK1961" s="106"/>
      <c r="BL1961" s="106"/>
      <c r="BM1961" s="106"/>
      <c r="BN1961" s="106"/>
      <c r="BO1961" s="106"/>
    </row>
    <row r="1962" spans="25:67" hidden="1" x14ac:dyDescent="0.25">
      <c r="Y1962" s="69"/>
      <c r="Z1962" s="432" t="s">
        <v>1012</v>
      </c>
      <c r="AA1962" s="65"/>
      <c r="AB1962" s="65"/>
      <c r="AC1962" s="65"/>
      <c r="AD1962" s="67"/>
      <c r="AE1962" s="67"/>
      <c r="AF1962" s="67"/>
      <c r="AG1962" s="79"/>
      <c r="AH1962" s="79"/>
      <c r="AI1962" s="423" t="s">
        <v>1013</v>
      </c>
      <c r="AJ1962" s="69"/>
      <c r="AK1962" s="65"/>
      <c r="AL1962" s="65"/>
      <c r="AM1962" s="433"/>
      <c r="AN1962" s="91"/>
      <c r="AO1962" s="91"/>
      <c r="AP1962" s="91"/>
      <c r="AQ1962" s="91"/>
      <c r="AR1962" s="91"/>
      <c r="AS1962" s="91"/>
      <c r="AT1962" s="91"/>
      <c r="AU1962" s="91"/>
      <c r="AV1962" s="91"/>
      <c r="AW1962" s="67"/>
      <c r="AX1962" s="160"/>
      <c r="AY1962" s="160"/>
      <c r="AZ1962" s="160"/>
      <c r="BA1962" s="160"/>
      <c r="BB1962" s="160"/>
      <c r="BC1962" s="160"/>
      <c r="BD1962" s="160"/>
      <c r="BE1962" s="160"/>
      <c r="BF1962" s="160"/>
      <c r="BG1962" s="160"/>
      <c r="BH1962" s="160"/>
      <c r="BI1962" s="106"/>
      <c r="BJ1962" s="106"/>
      <c r="BK1962" s="106"/>
      <c r="BL1962" s="106"/>
      <c r="BM1962" s="106"/>
      <c r="BN1962" s="106"/>
      <c r="BO1962" s="106"/>
    </row>
    <row r="1963" spans="25:67" hidden="1" x14ac:dyDescent="0.25">
      <c r="Y1963" s="69"/>
      <c r="Z1963" s="527" t="s">
        <v>1014</v>
      </c>
      <c r="AA1963" s="527" t="s">
        <v>1015</v>
      </c>
      <c r="AB1963" s="527" t="s">
        <v>1014</v>
      </c>
      <c r="AC1963" s="527" t="s">
        <v>1016</v>
      </c>
      <c r="AD1963" s="67"/>
      <c r="AE1963" s="67"/>
      <c r="AF1963" s="67"/>
      <c r="AG1963" s="79"/>
      <c r="AH1963" s="101" t="s">
        <v>1017</v>
      </c>
      <c r="AI1963" s="527" t="s">
        <v>1014</v>
      </c>
      <c r="AJ1963" s="527" t="s">
        <v>1015</v>
      </c>
      <c r="AK1963" s="527" t="s">
        <v>1014</v>
      </c>
      <c r="AL1963" s="527" t="s">
        <v>1016</v>
      </c>
      <c r="AM1963" s="433"/>
      <c r="AN1963" s="91"/>
      <c r="AO1963" s="91"/>
      <c r="AP1963" s="91"/>
      <c r="AQ1963" s="91"/>
      <c r="AR1963" s="91"/>
      <c r="AS1963" s="91"/>
      <c r="AT1963" s="91"/>
      <c r="AU1963" s="91"/>
      <c r="AV1963" s="91"/>
      <c r="AW1963" s="67"/>
      <c r="AX1963" s="160"/>
      <c r="AY1963" s="160"/>
      <c r="AZ1963" s="160"/>
      <c r="BA1963" s="160"/>
      <c r="BB1963" s="160"/>
      <c r="BC1963" s="160"/>
      <c r="BD1963" s="160"/>
      <c r="BE1963" s="160"/>
      <c r="BF1963" s="160"/>
      <c r="BG1963" s="160"/>
      <c r="BH1963" s="160"/>
      <c r="BI1963" s="106"/>
      <c r="BJ1963" s="106"/>
      <c r="BK1963" s="106"/>
      <c r="BL1963" s="106"/>
      <c r="BM1963" s="106"/>
      <c r="BN1963" s="106"/>
      <c r="BO1963" s="106"/>
    </row>
    <row r="1964" spans="25:67" hidden="1" x14ac:dyDescent="0.25">
      <c r="Y1964" s="69" t="s">
        <v>1017</v>
      </c>
      <c r="Z1964" s="528" t="e">
        <f ca="1">INDIRECT(CONCATENATE("Y",VLOOKUP(Ene01_10,$Z$1860:$AG$1960,7,TRUE)),1)</f>
        <v>#REF!</v>
      </c>
      <c r="AA1964" s="528" t="e">
        <f ca="1">INDIRECT(CONCATENATE("Z",VLOOKUP(Ene01_10,$Z$1860:$AG$1960,7,TRUE)),1)</f>
        <v>#REF!</v>
      </c>
      <c r="AB1964" s="528" t="e">
        <f ca="1">INDIRECT(CONCATENATE("AA",VLOOKUP(Ene01_11,$AB$1860:$AG$1960,5,TRUE)),1)</f>
        <v>#REF!</v>
      </c>
      <c r="AC1964" s="528" t="e">
        <f ca="1">INDIRECT(CONCATENATE("AB",VLOOKUP(Ene01_11,$AB$1860:$AG$1960,5,TRUE)),1)</f>
        <v>#REF!</v>
      </c>
      <c r="AD1964" s="67"/>
      <c r="AE1964" s="67"/>
      <c r="AF1964" s="67"/>
      <c r="AG1964" s="79"/>
      <c r="AH1964" s="101" t="s">
        <v>1018</v>
      </c>
      <c r="AI1964" s="528">
        <f ca="1">INDIRECT(CONCATENATE("AG",VLOOKUP($AC$1821,$AI$1860:$AM$1960,5,TRUE)),1)</f>
        <v>1960</v>
      </c>
      <c r="AJ1964" s="528">
        <f ca="1">INDIRECT(CONCATENATE("AH",VLOOKUP($AC$1821,$AI$1860:$AM$1960,5,TRUE)),1)</f>
        <v>0</v>
      </c>
      <c r="AK1964" s="528">
        <f ca="1">INDIRECT(CONCATENATE("AI",VLOOKUP($AC$1822,$AK$1860:$AM$1960,3,TRUE)),1)</f>
        <v>1</v>
      </c>
      <c r="AL1964" s="528">
        <f ca="1">INDIRECT(CONCATENATE("AJ",VLOOKUP($AC$1822,$AK$1860:$AM$1960,3,TRUE)),1)</f>
        <v>2.040788681911231E-30</v>
      </c>
      <c r="AM1964" s="433"/>
      <c r="AN1964" s="91"/>
      <c r="AO1964" s="91"/>
      <c r="AP1964" s="91"/>
      <c r="AQ1964" s="91"/>
      <c r="AR1964" s="91"/>
      <c r="AS1964" s="91"/>
      <c r="AT1964" s="91"/>
      <c r="AU1964" s="91"/>
      <c r="AV1964" s="91"/>
      <c r="AW1964" s="67"/>
      <c r="AX1964" s="160"/>
      <c r="AY1964" s="160"/>
      <c r="AZ1964" s="160"/>
      <c r="BA1964" s="160"/>
      <c r="BB1964" s="160"/>
      <c r="BC1964" s="160"/>
      <c r="BD1964" s="160"/>
      <c r="BE1964" s="160"/>
      <c r="BF1964" s="160"/>
      <c r="BG1964" s="160"/>
      <c r="BH1964" s="160"/>
      <c r="BI1964" s="106"/>
      <c r="BJ1964" s="106"/>
      <c r="BK1964" s="106"/>
      <c r="BL1964" s="106"/>
      <c r="BM1964" s="106"/>
      <c r="BN1964" s="106"/>
      <c r="BO1964" s="106"/>
    </row>
    <row r="1965" spans="25:67" hidden="1" x14ac:dyDescent="0.25">
      <c r="Y1965" s="69" t="s">
        <v>1018</v>
      </c>
      <c r="Z1965" s="528">
        <f ca="1">INDIRECT(CONCATENATE("Y",VLOOKUP(Ene01_10,$Z$1860:$AG$1960,7,TRUE)+1),1)</f>
        <v>0</v>
      </c>
      <c r="AA1965" s="528">
        <f ca="1">INDIRECT(CONCATENATE("Z",VLOOKUP(Ene01_10,$Z$1860:$AG$1960,7,TRUE)+1),1)</f>
        <v>0</v>
      </c>
      <c r="AB1965" s="528">
        <f ca="1">INDIRECT(CONCATENATE("AA",VLOOKUP(Ene01_11,$AB$1860:$AG$1960,5,TRUE)+1),1)</f>
        <v>0</v>
      </c>
      <c r="AC1965" s="528">
        <f ca="1">INDIRECT(CONCATENATE("AB",VLOOKUP(Ene01_11,$AB$1860:$AG$1960,5,TRUE)+1),1)</f>
        <v>0</v>
      </c>
      <c r="AD1965" s="67"/>
      <c r="AE1965" s="67"/>
      <c r="AF1965" s="67"/>
      <c r="AG1965" s="79"/>
      <c r="AH1965" s="101" t="s">
        <v>1019</v>
      </c>
      <c r="AI1965" s="528">
        <f ca="1">INDIRECT(CONCATENATE("AG",VLOOKUP($AC$1821,$AI$1860:$AM$1960,5,TRUE)+1),1)</f>
        <v>0</v>
      </c>
      <c r="AJ1965" s="528">
        <f ca="1">INDIRECT(CONCATENATE("AH",VLOOKUP($AC$1821,$AI$1860:$AM$1960,5,TRUE)+1),1)</f>
        <v>0</v>
      </c>
      <c r="AK1965" s="528">
        <f ca="1">INDIRECT(CONCATENATE("AI",VLOOKUP($AC$1822,$AK$1860:$AM$1960,3,TRUE)+1),1)</f>
        <v>0</v>
      </c>
      <c r="AL1965" s="528">
        <f ca="1">INDIRECT(CONCATENATE("AJ",VLOOKUP($AC$1822,$AK$1860:$AM$1960,3,TRUE)+1),1)</f>
        <v>0</v>
      </c>
      <c r="AM1965" s="433"/>
      <c r="AN1965" s="91"/>
      <c r="AO1965" s="91"/>
      <c r="AP1965" s="91"/>
      <c r="AQ1965" s="91"/>
      <c r="AR1965" s="91"/>
      <c r="AS1965" s="91"/>
      <c r="AT1965" s="91"/>
      <c r="AU1965" s="91"/>
      <c r="AV1965" s="91"/>
      <c r="AW1965" s="67"/>
      <c r="AX1965" s="160"/>
      <c r="AY1965" s="160"/>
      <c r="AZ1965" s="160"/>
      <c r="BA1965" s="160"/>
      <c r="BB1965" s="160"/>
      <c r="BC1965" s="160"/>
      <c r="BD1965" s="160"/>
      <c r="BE1965" s="160"/>
      <c r="BF1965" s="160"/>
      <c r="BG1965" s="160"/>
      <c r="BH1965" s="160"/>
      <c r="BI1965" s="106"/>
      <c r="BJ1965" s="106"/>
      <c r="BK1965" s="106"/>
      <c r="BL1965" s="106"/>
      <c r="BM1965" s="106"/>
      <c r="BN1965" s="106"/>
      <c r="BO1965" s="106"/>
    </row>
    <row r="1966" spans="25:67" hidden="1" x14ac:dyDescent="0.25">
      <c r="Y1966" s="69" t="s">
        <v>1019</v>
      </c>
      <c r="Z1966" s="528">
        <f>Ene01_10</f>
        <v>1</v>
      </c>
      <c r="AA1966" s="529" t="e">
        <f ca="1">FORECAST(Z1966,AA1964:AA1965,Z1964:Z1965)</f>
        <v>#REF!</v>
      </c>
      <c r="AB1966" s="528">
        <f>Ene01_11</f>
        <v>1</v>
      </c>
      <c r="AC1966" s="529" t="e">
        <f ca="1">FORECAST(AB1966,AC1964:AC1965,AB1964:AB1965)</f>
        <v>#REF!</v>
      </c>
      <c r="AD1966" s="67"/>
      <c r="AE1966" s="67"/>
      <c r="AF1966" s="67"/>
      <c r="AG1966" s="79"/>
      <c r="AH1966" s="79"/>
      <c r="AI1966" s="544">
        <f>AC1821</f>
        <v>1</v>
      </c>
      <c r="AJ1966" s="529">
        <f ca="1">FORECAST(AI1966,AJ1964:AJ1965,AI1964:AI1965)</f>
        <v>0</v>
      </c>
      <c r="AK1966" s="545">
        <f>AC1822</f>
        <v>1</v>
      </c>
      <c r="AL1966" s="529">
        <f ca="1">FORECAST(AK1966,AL1964:AL1965,AK1964:AK1965)</f>
        <v>2.040788681911231E-30</v>
      </c>
      <c r="AM1966" s="433"/>
      <c r="AN1966" s="91"/>
      <c r="AO1966" s="91"/>
      <c r="AP1966" s="91"/>
      <c r="AQ1966" s="91"/>
      <c r="AR1966" s="91"/>
      <c r="AS1966" s="91"/>
      <c r="AT1966" s="91"/>
      <c r="AU1966" s="91"/>
      <c r="AV1966" s="91"/>
      <c r="AW1966" s="67"/>
      <c r="AX1966" s="160"/>
      <c r="AY1966" s="160"/>
      <c r="AZ1966" s="160"/>
      <c r="BA1966" s="160"/>
      <c r="BB1966" s="160"/>
      <c r="BC1966" s="160"/>
      <c r="BD1966" s="160"/>
      <c r="BE1966" s="160"/>
      <c r="BF1966" s="160"/>
      <c r="BG1966" s="160"/>
      <c r="BH1966" s="160"/>
      <c r="BI1966" s="106"/>
      <c r="BJ1966" s="106"/>
      <c r="BK1966" s="106"/>
      <c r="BL1966" s="106"/>
      <c r="BM1966" s="106"/>
      <c r="BN1966" s="106"/>
      <c r="BO1966" s="106"/>
    </row>
    <row r="1967" spans="25:67" hidden="1" x14ac:dyDescent="0.25">
      <c r="Y1967" s="91"/>
      <c r="Z1967" s="67"/>
      <c r="AA1967" s="67"/>
      <c r="AB1967" s="67"/>
      <c r="AC1967" s="67"/>
      <c r="AD1967" s="67"/>
      <c r="AE1967" s="67"/>
      <c r="AF1967" s="67"/>
      <c r="AG1967" s="79"/>
      <c r="AH1967" s="79"/>
      <c r="AI1967" s="69"/>
      <c r="AJ1967" s="69"/>
      <c r="AK1967" s="65"/>
      <c r="AL1967" s="65"/>
      <c r="AM1967" s="433"/>
      <c r="AN1967" s="91"/>
      <c r="AO1967" s="91"/>
      <c r="AP1967" s="91"/>
      <c r="AQ1967" s="91"/>
      <c r="AR1967" s="91"/>
      <c r="AS1967" s="91"/>
      <c r="AT1967" s="91"/>
      <c r="AU1967" s="91"/>
      <c r="AV1967" s="91"/>
      <c r="AW1967" s="67"/>
      <c r="AX1967" s="160"/>
      <c r="AY1967" s="160"/>
      <c r="AZ1967" s="160"/>
      <c r="BA1967" s="160"/>
      <c r="BB1967" s="160"/>
      <c r="BC1967" s="160"/>
      <c r="BD1967" s="160"/>
      <c r="BE1967" s="160"/>
      <c r="BF1967" s="160"/>
      <c r="BG1967" s="160"/>
      <c r="BH1967" s="160"/>
      <c r="BI1967" s="106"/>
      <c r="BJ1967" s="106"/>
      <c r="BK1967" s="106"/>
      <c r="BL1967" s="106"/>
      <c r="BM1967" s="106"/>
      <c r="BN1967" s="106"/>
      <c r="BO1967" s="106"/>
    </row>
    <row r="1968" spans="25:67" hidden="1" x14ac:dyDescent="0.25">
      <c r="Y1968" s="91"/>
      <c r="Z1968" s="91"/>
      <c r="AA1968" s="91"/>
      <c r="AB1968" s="91"/>
      <c r="AC1968" s="91"/>
      <c r="AD1968" s="67"/>
      <c r="AE1968" s="66"/>
      <c r="AF1968" s="66"/>
      <c r="AG1968" s="67"/>
      <c r="AH1968" s="79"/>
      <c r="AI1968" s="79"/>
      <c r="AJ1968" s="79"/>
      <c r="AK1968" s="67"/>
      <c r="AL1968" s="67"/>
      <c r="AM1968" s="433"/>
      <c r="AN1968" s="91"/>
      <c r="AO1968" s="91"/>
      <c r="AP1968" s="91"/>
      <c r="AQ1968" s="91"/>
      <c r="AR1968" s="91"/>
      <c r="AS1968" s="91"/>
      <c r="AT1968" s="91"/>
      <c r="AU1968" s="91"/>
      <c r="AV1968" s="91"/>
      <c r="AW1968" s="67"/>
      <c r="AX1968" s="160"/>
      <c r="AY1968" s="160"/>
      <c r="AZ1968" s="160"/>
      <c r="BA1968" s="160"/>
      <c r="BB1968" s="160"/>
      <c r="BC1968" s="160"/>
      <c r="BD1968" s="160"/>
      <c r="BE1968" s="160"/>
      <c r="BF1968" s="160"/>
      <c r="BG1968" s="160"/>
      <c r="BH1968" s="160"/>
      <c r="BI1968" s="106"/>
      <c r="BJ1968" s="106"/>
      <c r="BK1968" s="106"/>
      <c r="BL1968" s="106"/>
      <c r="BM1968" s="106"/>
      <c r="BN1968" s="106"/>
      <c r="BO1968" s="106"/>
    </row>
    <row r="1969" spans="25:67" hidden="1" x14ac:dyDescent="0.25">
      <c r="Y1969" s="91"/>
      <c r="Z1969" s="637" t="s">
        <v>1020</v>
      </c>
      <c r="AA1969" s="78"/>
      <c r="AB1969" s="78"/>
      <c r="AC1969" s="79"/>
      <c r="AD1969" s="79"/>
      <c r="AE1969" s="79"/>
      <c r="AF1969" s="79"/>
      <c r="AG1969" s="79"/>
      <c r="AH1969" s="79"/>
      <c r="AI1969" s="79"/>
      <c r="AJ1969" s="79"/>
      <c r="AK1969" s="79"/>
      <c r="AL1969" s="79"/>
      <c r="AM1969" s="91"/>
      <c r="AN1969" s="79"/>
      <c r="AO1969" s="79"/>
      <c r="AP1969" s="79"/>
      <c r="AQ1969" s="79"/>
      <c r="AR1969" s="79"/>
      <c r="AS1969" s="79"/>
      <c r="AT1969" s="79"/>
      <c r="AU1969" s="79"/>
      <c r="AV1969" s="79"/>
      <c r="AW1969" s="80"/>
      <c r="AX1969" s="80"/>
      <c r="AY1969" s="80"/>
      <c r="AZ1969" s="80"/>
      <c r="BA1969" s="80"/>
      <c r="BB1969" s="80"/>
      <c r="BC1969" s="80"/>
      <c r="BD1969" s="80"/>
      <c r="BE1969" s="80"/>
      <c r="BF1969" s="80"/>
      <c r="BG1969" s="80"/>
      <c r="BH1969" s="80"/>
      <c r="BI1969" s="80"/>
      <c r="BJ1969" s="106"/>
      <c r="BK1969" s="106"/>
      <c r="BL1969" s="106"/>
      <c r="BM1969" s="106"/>
      <c r="BN1969" s="106"/>
      <c r="BO1969" s="106"/>
    </row>
    <row r="1970" spans="25:67" hidden="1" x14ac:dyDescent="0.25">
      <c r="Y1970" s="91"/>
      <c r="Z1970" s="91"/>
      <c r="AA1970" s="91"/>
      <c r="AB1970" s="91"/>
      <c r="AC1970" s="91"/>
      <c r="AD1970" s="91"/>
      <c r="AE1970" s="91"/>
      <c r="AF1970" s="91"/>
      <c r="AG1970" s="91"/>
      <c r="AH1970" s="91"/>
      <c r="AI1970" s="91"/>
      <c r="AJ1970" s="91"/>
      <c r="AK1970" s="91"/>
      <c r="AL1970" s="91"/>
      <c r="AM1970" s="91"/>
      <c r="AN1970" s="91"/>
      <c r="AO1970" s="91"/>
      <c r="AP1970" s="91"/>
      <c r="AQ1970" s="91"/>
      <c r="AR1970" s="91"/>
      <c r="AS1970" s="91"/>
      <c r="AT1970" s="91"/>
      <c r="AU1970" s="91"/>
      <c r="AV1970" s="91"/>
      <c r="AW1970" s="67"/>
      <c r="AX1970" s="160"/>
      <c r="AY1970" s="160"/>
      <c r="AZ1970" s="160"/>
      <c r="BA1970" s="160"/>
      <c r="BB1970" s="160"/>
      <c r="BC1970" s="160"/>
      <c r="BD1970" s="160"/>
      <c r="BE1970" s="160"/>
      <c r="BF1970" s="160"/>
      <c r="BG1970" s="160"/>
      <c r="BH1970" s="160"/>
      <c r="BI1970" s="106"/>
      <c r="BJ1970" s="106"/>
      <c r="BK1970" s="106"/>
      <c r="BL1970" s="106"/>
      <c r="BM1970" s="106"/>
      <c r="BN1970" s="106"/>
      <c r="BO1970" s="106"/>
    </row>
    <row r="1971" spans="25:67" hidden="1" x14ac:dyDescent="0.25">
      <c r="Y1971" s="91"/>
      <c r="Z1971" s="71" t="s">
        <v>488</v>
      </c>
      <c r="AA1971" s="91"/>
      <c r="AB1971" s="91"/>
      <c r="AC1971" s="91"/>
      <c r="AD1971" s="71" t="str">
        <f>IF(ENE04_01=AIS_option13,"Please select","")</f>
        <v/>
      </c>
      <c r="AE1971" s="91"/>
      <c r="AF1971" s="91"/>
      <c r="AG1971" s="71" t="s">
        <v>488</v>
      </c>
      <c r="AH1971" s="91"/>
      <c r="AI1971" s="91"/>
      <c r="AJ1971" s="74" t="s">
        <v>925</v>
      </c>
      <c r="AK1971" s="71" t="s">
        <v>1021</v>
      </c>
      <c r="AL1971" s="91"/>
      <c r="AM1971" s="91"/>
      <c r="AN1971" s="91"/>
      <c r="AO1971" s="91"/>
      <c r="AP1971" s="91"/>
      <c r="AQ1971" s="91"/>
      <c r="AR1971" s="91"/>
      <c r="AS1971" s="91"/>
      <c r="AT1971" s="91"/>
      <c r="AU1971" s="91"/>
      <c r="AV1971" s="91"/>
      <c r="AW1971" s="67"/>
      <c r="AX1971" s="160"/>
      <c r="AY1971" s="160"/>
      <c r="AZ1971" s="160"/>
      <c r="BA1971" s="160"/>
      <c r="BB1971" s="160"/>
      <c r="BC1971" s="160"/>
      <c r="BD1971" s="160"/>
      <c r="BE1971" s="160"/>
      <c r="BF1971" s="160"/>
      <c r="BG1971" s="160"/>
      <c r="BH1971" s="160"/>
      <c r="BI1971" s="106"/>
      <c r="BJ1971" s="106"/>
      <c r="BK1971" s="106"/>
      <c r="BL1971" s="106"/>
      <c r="BM1971" s="106"/>
      <c r="BN1971" s="106"/>
      <c r="BO1971" s="106"/>
    </row>
    <row r="1972" spans="25:67" hidden="1" x14ac:dyDescent="0.25">
      <c r="Y1972" s="91"/>
      <c r="Z1972" s="71" t="s">
        <v>1022</v>
      </c>
      <c r="AA1972" s="91"/>
      <c r="AB1972" s="91"/>
      <c r="AC1972" s="91"/>
      <c r="AD1972" s="71" t="str">
        <f>IF(ENE04_01=AIS_option13,"Wind","")</f>
        <v/>
      </c>
      <c r="AE1972" s="91"/>
      <c r="AF1972" s="91"/>
      <c r="AG1972" s="71" t="str">
        <f>IF(Hea03_05=0,AIS_statement23,"Building does not require any form of cooling i.e. naturally ventilated")</f>
        <v>Free cooling - credit not achievable (see note)</v>
      </c>
      <c r="AH1972" s="91"/>
      <c r="AI1972" s="91"/>
      <c r="AJ1972" s="71">
        <v>0</v>
      </c>
      <c r="AK1972" s="71">
        <v>0</v>
      </c>
      <c r="AL1972" s="91"/>
      <c r="AM1972" s="91"/>
      <c r="AN1972" s="91"/>
      <c r="AO1972" s="91"/>
      <c r="AP1972" s="91"/>
      <c r="AQ1972" s="91"/>
      <c r="AR1972" s="91"/>
      <c r="AS1972" s="91"/>
      <c r="AT1972" s="91"/>
      <c r="AU1972" s="91"/>
      <c r="AV1972" s="91"/>
      <c r="AW1972" s="67"/>
      <c r="AX1972" s="160"/>
      <c r="AY1972" s="160"/>
      <c r="AZ1972" s="160"/>
      <c r="BA1972" s="160"/>
      <c r="BB1972" s="160"/>
      <c r="BC1972" s="160"/>
      <c r="BD1972" s="160"/>
      <c r="BE1972" s="160"/>
      <c r="BF1972" s="160"/>
      <c r="BG1972" s="160"/>
      <c r="BH1972" s="160"/>
      <c r="BI1972" s="106"/>
      <c r="BJ1972" s="106"/>
      <c r="BK1972" s="106"/>
      <c r="BL1972" s="106"/>
      <c r="BM1972" s="106"/>
      <c r="BN1972" s="106"/>
      <c r="BO1972" s="106"/>
    </row>
    <row r="1973" spans="25:67" hidden="1" x14ac:dyDescent="0.25">
      <c r="Y1973" s="91"/>
      <c r="Z1973" s="71" t="s">
        <v>1023</v>
      </c>
      <c r="AA1973" s="91"/>
      <c r="AB1973" s="91"/>
      <c r="AC1973" s="91"/>
      <c r="AD1973" s="71" t="str">
        <f>IF(ENE04_01=AIS_option13,"Solar","")</f>
        <v/>
      </c>
      <c r="AE1973" s="91"/>
      <c r="AF1973" s="91"/>
      <c r="AG1973" s="71" t="str">
        <f>IF(Hea03_05=0,"","Building is cooled mechanically, not utilising ‘free’ cooling")</f>
        <v/>
      </c>
      <c r="AH1973" s="91"/>
      <c r="AI1973" s="91"/>
      <c r="AJ1973" s="71">
        <v>10</v>
      </c>
      <c r="AK1973" s="71">
        <v>1</v>
      </c>
      <c r="AL1973" s="91"/>
      <c r="AM1973" s="91"/>
      <c r="AN1973" s="91"/>
      <c r="AO1973" s="91"/>
      <c r="AP1973" s="91"/>
      <c r="AQ1973" s="91"/>
      <c r="AR1973" s="91"/>
      <c r="AS1973" s="91"/>
      <c r="AT1973" s="91"/>
      <c r="AU1973" s="91"/>
      <c r="AV1973" s="91"/>
      <c r="AW1973" s="67"/>
      <c r="AX1973" s="160"/>
      <c r="AY1973" s="160"/>
      <c r="AZ1973" s="160"/>
      <c r="BA1973" s="160"/>
      <c r="BB1973" s="160"/>
      <c r="BC1973" s="160"/>
      <c r="BD1973" s="160"/>
      <c r="BE1973" s="160"/>
      <c r="BF1973" s="160"/>
      <c r="BG1973" s="160"/>
      <c r="BH1973" s="160"/>
      <c r="BI1973" s="106"/>
      <c r="BJ1973" s="106"/>
      <c r="BK1973" s="106"/>
      <c r="BL1973" s="106"/>
      <c r="BM1973" s="106"/>
      <c r="BN1973" s="106"/>
      <c r="BO1973" s="106"/>
    </row>
    <row r="1974" spans="25:67" hidden="1" x14ac:dyDescent="0.25">
      <c r="Y1974" s="91"/>
      <c r="Z1974" s="71" t="s">
        <v>1024</v>
      </c>
      <c r="AA1974" s="91"/>
      <c r="AB1974" s="91"/>
      <c r="AC1974" s="91"/>
      <c r="AD1974" s="71" t="str">
        <f>IF(ENE04_01=AIS_option13,"Aerothermal","")</f>
        <v/>
      </c>
      <c r="AE1974" s="91"/>
      <c r="AF1974" s="91"/>
      <c r="AG1974" s="71" t="str">
        <f>IF(Hea03_05=0,"","Absorption cooling, using waste heat")</f>
        <v/>
      </c>
      <c r="AH1974" s="91"/>
      <c r="AI1974" s="91"/>
      <c r="AJ1974" s="71">
        <v>15</v>
      </c>
      <c r="AK1974" s="71">
        <v>2</v>
      </c>
      <c r="AL1974" s="91"/>
      <c r="AM1974" s="91"/>
      <c r="AN1974" s="91"/>
      <c r="AO1974" s="91"/>
      <c r="AP1974" s="91"/>
      <c r="AQ1974" s="91"/>
      <c r="AR1974" s="91"/>
      <c r="AS1974" s="91"/>
      <c r="AT1974" s="91"/>
      <c r="AU1974" s="91"/>
      <c r="AV1974" s="91"/>
    </row>
    <row r="1975" spans="25:67" hidden="1" x14ac:dyDescent="0.25">
      <c r="Y1975" s="91"/>
      <c r="Z1975" s="91"/>
      <c r="AA1975" s="91"/>
      <c r="AB1975" s="91"/>
      <c r="AC1975" s="91"/>
      <c r="AD1975" s="71" t="str">
        <f>IF(ENE04_01=AIS_option13,"Geothermal","")</f>
        <v/>
      </c>
      <c r="AE1975" s="91"/>
      <c r="AF1975" s="91"/>
      <c r="AG1975" s="71" t="str">
        <f>IF(Hea03_05=0,"","Displacement ventilation")</f>
        <v/>
      </c>
      <c r="AH1975" s="91"/>
      <c r="AI1975" s="91"/>
      <c r="AJ1975" s="71">
        <v>50</v>
      </c>
      <c r="AK1975" s="71">
        <v>3</v>
      </c>
      <c r="AL1975" s="91"/>
      <c r="AM1975" s="91"/>
      <c r="AN1975" s="91"/>
      <c r="AO1975" s="91"/>
      <c r="AP1975" s="91"/>
      <c r="AQ1975" s="91"/>
      <c r="AR1975" s="91"/>
      <c r="AS1975" s="91"/>
      <c r="AT1975" s="91"/>
      <c r="AU1975" s="91"/>
      <c r="AV1975" s="91"/>
      <c r="AW1975" s="501"/>
    </row>
    <row r="1976" spans="25:67" hidden="1" x14ac:dyDescent="0.25">
      <c r="Y1976" s="91"/>
      <c r="Z1976" s="71" t="s">
        <v>1025</v>
      </c>
      <c r="AA1976" s="91"/>
      <c r="AB1976" s="91"/>
      <c r="AC1976" s="91"/>
      <c r="AD1976" s="71" t="str">
        <f>IF(ENE04_01=AIS_option13,"Hydrothermal","")</f>
        <v/>
      </c>
      <c r="AE1976" s="91"/>
      <c r="AF1976" s="91"/>
      <c r="AG1976" s="71" t="str">
        <f>IF(Hea03_05=0,"","Desiccant dehumidification and evaporative cooling, using waste heat")</f>
        <v/>
      </c>
      <c r="AH1976" s="91"/>
      <c r="AI1976" s="91"/>
      <c r="AJ1976" s="71">
        <v>100</v>
      </c>
      <c r="AK1976" s="71">
        <v>4</v>
      </c>
      <c r="AL1976" s="91"/>
      <c r="AM1976" s="91"/>
      <c r="AN1976" s="91"/>
      <c r="AO1976" s="91"/>
      <c r="AP1976" s="91"/>
      <c r="AQ1976" s="91"/>
      <c r="AR1976" s="91"/>
      <c r="AS1976" s="91"/>
      <c r="AT1976" s="91"/>
      <c r="AU1976" s="91"/>
      <c r="AV1976" s="91"/>
      <c r="AW1976" s="501"/>
    </row>
    <row r="1977" spans="25:67" hidden="1" x14ac:dyDescent="0.25">
      <c r="Y1977" s="91"/>
      <c r="Z1977" s="91"/>
      <c r="AA1977" s="91"/>
      <c r="AB1977" s="91"/>
      <c r="AC1977" s="91"/>
      <c r="AD1977" s="71" t="str">
        <f>IF(ENE04_01=AIS_option13,"Hyrdopower","")</f>
        <v/>
      </c>
      <c r="AE1977" s="91"/>
      <c r="AF1977" s="91"/>
      <c r="AG1977" s="71" t="str">
        <f>IF(Hea03_05=0,"","Evaporative cooling, direct or indirect")</f>
        <v/>
      </c>
      <c r="AH1977" s="91"/>
      <c r="AI1977" s="91"/>
      <c r="AJ1977" s="91"/>
      <c r="AK1977" s="91"/>
      <c r="AL1977" s="91"/>
      <c r="AM1977" s="91"/>
      <c r="AN1977" s="91"/>
      <c r="AO1977" s="91"/>
      <c r="AP1977" s="91"/>
      <c r="AQ1977" s="91"/>
      <c r="AR1977" s="91"/>
      <c r="AS1977" s="91"/>
      <c r="AT1977" s="91"/>
      <c r="AU1977" s="91"/>
      <c r="AV1977" s="91"/>
      <c r="AW1977" s="501"/>
    </row>
    <row r="1978" spans="25:67" hidden="1" x14ac:dyDescent="0.25">
      <c r="Y1978" s="91"/>
      <c r="Z1978" s="71" t="s">
        <v>488</v>
      </c>
      <c r="AA1978" s="91"/>
      <c r="AB1978" s="91"/>
      <c r="AC1978" s="91"/>
      <c r="AD1978" s="71" t="str">
        <f>IF(ENE04_01=AIS_option13,"Biomass","")</f>
        <v/>
      </c>
      <c r="AE1978" s="91"/>
      <c r="AF1978" s="91"/>
      <c r="AG1978" s="71" t="str">
        <f>IF(Hea03_05=0,"","Ground coupled air cooling")</f>
        <v/>
      </c>
      <c r="AH1978" s="91"/>
      <c r="AI1978" s="91"/>
      <c r="AJ1978" s="66" t="s">
        <v>1026</v>
      </c>
      <c r="AK1978" s="91">
        <f>VLOOKUP(Ene04_Perc,AJ1972:AK1976,2,TRUE)</f>
        <v>0</v>
      </c>
      <c r="AL1978" s="91"/>
      <c r="AM1978" s="91"/>
      <c r="AN1978" s="91"/>
      <c r="AO1978" s="91"/>
      <c r="AP1978" s="91"/>
      <c r="AQ1978" s="91"/>
      <c r="AR1978" s="91"/>
      <c r="AS1978" s="91"/>
      <c r="AT1978" s="91"/>
      <c r="AU1978" s="91"/>
      <c r="AV1978" s="91"/>
      <c r="AW1978" s="501"/>
    </row>
    <row r="1979" spans="25:67" hidden="1" x14ac:dyDescent="0.25">
      <c r="Y1979" s="91"/>
      <c r="Z1979" s="71" t="str">
        <f>IF(ENE04_01=AIS_option13,"Whole life cycle carbon savings/emissions","")</f>
        <v/>
      </c>
      <c r="AA1979" s="91"/>
      <c r="AB1979" s="91"/>
      <c r="AC1979" s="91"/>
      <c r="AD1979" s="71" t="str">
        <f>IF(ENE04_01=AIS_option13,"Biogas","")</f>
        <v/>
      </c>
      <c r="AE1979" s="91"/>
      <c r="AF1979" s="91"/>
      <c r="AG1979" s="71" t="str">
        <f>IF(Hea03_05=0,"","Ground water cooling")</f>
        <v/>
      </c>
      <c r="AH1979" s="91"/>
      <c r="AI1979" s="91"/>
      <c r="AJ1979" s="66" t="s">
        <v>1027</v>
      </c>
      <c r="AK1979" s="91">
        <f>IF(AND(AK1978=AK1976,Ene04_TZC=AIS_Yes),1,0)</f>
        <v>0</v>
      </c>
      <c r="AL1979" s="91"/>
      <c r="AM1979" s="91"/>
      <c r="AN1979" s="91"/>
      <c r="AO1979" s="91"/>
      <c r="AP1979" s="91"/>
      <c r="AQ1979" s="91"/>
      <c r="AR1979" s="91"/>
      <c r="AS1979" s="91"/>
      <c r="AT1979" s="91"/>
      <c r="AU1979" s="91"/>
      <c r="AV1979" s="91"/>
      <c r="AW1979" s="501"/>
    </row>
    <row r="1980" spans="25:67" hidden="1" x14ac:dyDescent="0.25">
      <c r="Y1980" s="91"/>
      <c r="Z1980" s="71" t="str">
        <f>IF(ENE04_01=AIS_option13,"Operational stage carbon savings/emissions","")</f>
        <v/>
      </c>
      <c r="AA1980" s="91"/>
      <c r="AB1980" s="91"/>
      <c r="AC1980" s="91"/>
      <c r="AD1980" s="71" t="str">
        <f>IF(ENE04_01=AIS_option13,"Mains gas via compliant CHP plant","")</f>
        <v/>
      </c>
      <c r="AE1980" s="91"/>
      <c r="AF1980" s="91"/>
      <c r="AG1980" s="71" t="str">
        <f>IF(Hea03_05=0,"","Night-time cooling")</f>
        <v/>
      </c>
      <c r="AH1980" s="91"/>
      <c r="AI1980" s="91"/>
      <c r="AJ1980" s="91"/>
      <c r="AK1980" s="91">
        <f>SUM(AK1978:AK1979)</f>
        <v>0</v>
      </c>
      <c r="AL1980" s="91"/>
      <c r="AM1980" s="91"/>
      <c r="AN1980" s="91"/>
      <c r="AO1980" s="91"/>
      <c r="AP1980" s="91"/>
      <c r="AQ1980" s="91"/>
      <c r="AR1980" s="91"/>
      <c r="AS1980" s="91"/>
      <c r="AT1980" s="91"/>
      <c r="AU1980" s="91"/>
      <c r="AV1980" s="91"/>
      <c r="AW1980" s="501"/>
    </row>
    <row r="1981" spans="25:67" hidden="1" x14ac:dyDescent="0.25">
      <c r="Y1981" s="91"/>
      <c r="Z1981" s="91"/>
      <c r="AA1981" s="91"/>
      <c r="AB1981" s="91"/>
      <c r="AC1981" s="91"/>
      <c r="AD1981" s="71" t="str">
        <f>IF(ENE04_01=AIS_option13,"Combination of one or more LZC energy sources","")</f>
        <v/>
      </c>
      <c r="AE1981" s="91"/>
      <c r="AF1981" s="91"/>
      <c r="AG1981" s="71" t="str">
        <f>IF(Hea03_05=0,"","Surface water cooling")</f>
        <v/>
      </c>
      <c r="AH1981" s="91"/>
      <c r="AI1981" s="91"/>
      <c r="AJ1981" s="91"/>
      <c r="AK1981" s="91"/>
      <c r="AL1981" s="91"/>
      <c r="AM1981" s="91"/>
      <c r="AN1981" s="91"/>
      <c r="AO1981" s="91"/>
      <c r="AP1981" s="91"/>
      <c r="AQ1981" s="91"/>
      <c r="AR1981" s="91"/>
      <c r="AS1981" s="91"/>
      <c r="AT1981" s="91"/>
      <c r="AU1981" s="91"/>
      <c r="AV1981" s="91"/>
      <c r="AW1981" s="501"/>
    </row>
    <row r="1982" spans="25:67" hidden="1" x14ac:dyDescent="0.25">
      <c r="Y1982" s="91"/>
      <c r="Z1982" s="71" t="s">
        <v>1028</v>
      </c>
      <c r="AA1982" s="91"/>
      <c r="AB1982" s="91"/>
      <c r="AC1982" s="91"/>
      <c r="AD1982" s="91"/>
      <c r="AE1982" s="91"/>
      <c r="AF1982" s="91"/>
      <c r="AG1982" s="71" t="str">
        <f>IF(Hea03_05=0,"","Other compliant free cooling strategy")</f>
        <v/>
      </c>
      <c r="AH1982" s="91"/>
      <c r="AI1982" s="91"/>
      <c r="AJ1982" s="91"/>
      <c r="AK1982" s="91"/>
      <c r="AL1982" s="91"/>
      <c r="AM1982" s="91"/>
      <c r="AN1982" s="91"/>
      <c r="AO1982" s="91"/>
      <c r="AP1982" s="91"/>
      <c r="AQ1982" s="91"/>
      <c r="AR1982" s="91"/>
      <c r="AS1982" s="91"/>
      <c r="AT1982" s="91"/>
      <c r="AU1982" s="91"/>
      <c r="AV1982" s="91"/>
      <c r="AW1982" s="501"/>
    </row>
    <row r="1983" spans="25:67" hidden="1" x14ac:dyDescent="0.25">
      <c r="Y1983" s="91"/>
      <c r="Z1983" s="71" t="s">
        <v>1029</v>
      </c>
      <c r="AA1983" s="91"/>
      <c r="AB1983" s="91"/>
      <c r="AC1983" s="91"/>
      <c r="AD1983" s="91"/>
      <c r="AE1983" s="91"/>
      <c r="AF1983" s="91"/>
      <c r="AG1983" s="91"/>
      <c r="AH1983" s="91"/>
      <c r="AI1983" s="91"/>
      <c r="AJ1983" s="91"/>
      <c r="AK1983" s="91"/>
      <c r="AL1983" s="91"/>
      <c r="AM1983" s="91"/>
      <c r="AN1983" s="91"/>
      <c r="AO1983" s="91"/>
      <c r="AP1983" s="91"/>
      <c r="AQ1983" s="91"/>
      <c r="AR1983" s="91"/>
      <c r="AS1983" s="91"/>
      <c r="AT1983" s="91"/>
      <c r="AU1983" s="91"/>
      <c r="AV1983" s="91"/>
      <c r="AW1983" s="501"/>
    </row>
    <row r="1984" spans="25:67" hidden="1" x14ac:dyDescent="0.25">
      <c r="Y1984" s="91"/>
      <c r="Z1984" s="71" t="s">
        <v>1030</v>
      </c>
      <c r="AA1984" s="91"/>
      <c r="AB1984" s="91"/>
      <c r="AC1984" s="91"/>
      <c r="AD1984" s="91"/>
      <c r="AE1984" s="91"/>
      <c r="AF1984" s="91"/>
      <c r="AG1984" s="91"/>
      <c r="AH1984" s="91"/>
      <c r="AI1984" s="91"/>
      <c r="AJ1984" s="91"/>
      <c r="AK1984" s="91"/>
      <c r="AL1984" s="91"/>
      <c r="AM1984" s="91"/>
      <c r="AN1984" s="91"/>
      <c r="AO1984" s="91"/>
      <c r="AP1984" s="91"/>
      <c r="AQ1984" s="91"/>
      <c r="AR1984" s="91"/>
      <c r="AS1984" s="91"/>
      <c r="AT1984" s="91"/>
      <c r="AU1984" s="91"/>
      <c r="AV1984" s="91"/>
      <c r="AW1984" s="501"/>
    </row>
    <row r="1985" spans="25:49" hidden="1" x14ac:dyDescent="0.25">
      <c r="Y1985" s="91"/>
      <c r="Z1985" s="91"/>
      <c r="AA1985" s="91"/>
      <c r="AB1985" s="91"/>
      <c r="AC1985" s="91"/>
      <c r="AD1985" s="91"/>
      <c r="AE1985" s="91"/>
      <c r="AF1985" s="91"/>
      <c r="AG1985" s="91"/>
      <c r="AH1985" s="91"/>
      <c r="AI1985" s="91"/>
      <c r="AJ1985" s="91"/>
      <c r="AK1985" s="91"/>
      <c r="AL1985" s="91"/>
      <c r="AM1985" s="91"/>
      <c r="AN1985" s="91"/>
      <c r="AO1985" s="91"/>
      <c r="AP1985" s="91"/>
      <c r="AQ1985" s="91"/>
      <c r="AR1985" s="91"/>
      <c r="AS1985" s="91"/>
      <c r="AT1985" s="91"/>
      <c r="AU1985" s="91"/>
      <c r="AV1985" s="91"/>
      <c r="AW1985" s="501"/>
    </row>
    <row r="1986" spans="25:49" hidden="1" x14ac:dyDescent="0.25">
      <c r="Y1986" s="91"/>
      <c r="Z1986" s="91"/>
      <c r="AA1986" s="91"/>
      <c r="AB1986" s="91"/>
      <c r="AC1986" s="91"/>
      <c r="AD1986" s="91"/>
      <c r="AE1986" s="91"/>
      <c r="AF1986" s="91"/>
      <c r="AG1986" s="91"/>
      <c r="AH1986" s="91"/>
      <c r="AI1986" s="91"/>
      <c r="AJ1986" s="91"/>
      <c r="AK1986" s="91"/>
      <c r="AL1986" s="91"/>
      <c r="AM1986" s="91"/>
      <c r="AN1986" s="91"/>
      <c r="AO1986" s="91"/>
      <c r="AP1986" s="91"/>
      <c r="AQ1986" s="91"/>
      <c r="AR1986" s="91"/>
      <c r="AS1986" s="91"/>
      <c r="AT1986" s="91"/>
      <c r="AU1986" s="91"/>
      <c r="AV1986" s="91"/>
      <c r="AW1986" s="501"/>
    </row>
    <row r="1987" spans="25:49" hidden="1" x14ac:dyDescent="0.25">
      <c r="Y1987" s="91"/>
      <c r="Z1987" s="87">
        <v>0</v>
      </c>
      <c r="AA1987" s="81">
        <v>0</v>
      </c>
      <c r="AB1987" s="91"/>
      <c r="AC1987" s="91"/>
      <c r="AD1987" s="91"/>
      <c r="AE1987" s="91"/>
      <c r="AF1987" s="91"/>
      <c r="AG1987" s="91"/>
      <c r="AH1987" s="91"/>
      <c r="AI1987" s="91"/>
      <c r="AJ1987" s="91"/>
      <c r="AK1987" s="91"/>
      <c r="AL1987" s="91"/>
      <c r="AM1987" s="91"/>
      <c r="AN1987" s="91"/>
      <c r="AO1987" s="91"/>
      <c r="AP1987" s="91"/>
      <c r="AQ1987" s="91"/>
      <c r="AR1987" s="91"/>
      <c r="AS1987" s="91"/>
      <c r="AT1987" s="91"/>
      <c r="AU1987" s="91"/>
      <c r="AV1987" s="91"/>
      <c r="AW1987" s="501"/>
    </row>
    <row r="1988" spans="25:49" hidden="1" x14ac:dyDescent="0.25">
      <c r="Y1988" s="91"/>
      <c r="Z1988" s="87">
        <v>0.1</v>
      </c>
      <c r="AA1988" s="81">
        <v>1</v>
      </c>
      <c r="AB1988" s="91"/>
      <c r="AC1988" s="91"/>
      <c r="AD1988" s="91"/>
      <c r="AE1988" s="91"/>
      <c r="AF1988" s="91"/>
      <c r="AG1988" s="91"/>
      <c r="AH1988" s="91"/>
      <c r="AI1988" s="91"/>
      <c r="AJ1988" s="91"/>
      <c r="AK1988" s="91"/>
      <c r="AL1988" s="91"/>
      <c r="AM1988" s="91"/>
      <c r="AN1988" s="91"/>
      <c r="AO1988" s="91"/>
      <c r="AP1988" s="91"/>
      <c r="AQ1988" s="91"/>
      <c r="AR1988" s="91"/>
      <c r="AS1988" s="91"/>
      <c r="AT1988" s="91"/>
      <c r="AU1988" s="91"/>
      <c r="AV1988" s="91"/>
      <c r="AW1988" s="501"/>
    </row>
    <row r="1989" spans="25:49" hidden="1" x14ac:dyDescent="0.25">
      <c r="Y1989" s="91"/>
      <c r="Z1989" s="447">
        <v>0.2</v>
      </c>
      <c r="AA1989" s="81">
        <v>2</v>
      </c>
      <c r="AB1989" s="91"/>
      <c r="AC1989" s="91"/>
      <c r="AD1989" s="91"/>
      <c r="AE1989" s="91"/>
      <c r="AF1989" s="91"/>
      <c r="AG1989" s="91"/>
      <c r="AH1989" s="91"/>
      <c r="AI1989" s="91"/>
      <c r="AJ1989" s="91"/>
      <c r="AK1989" s="91"/>
      <c r="AL1989" s="91"/>
      <c r="AM1989" s="91"/>
      <c r="AN1989" s="91"/>
      <c r="AO1989" s="91"/>
      <c r="AP1989" s="91"/>
      <c r="AQ1989" s="91"/>
      <c r="AR1989" s="91"/>
      <c r="AS1989" s="91"/>
      <c r="AT1989" s="91"/>
      <c r="AU1989" s="91"/>
      <c r="AV1989" s="91"/>
      <c r="AW1989" s="501"/>
    </row>
    <row r="1990" spans="25:49" hidden="1" x14ac:dyDescent="0.25">
      <c r="Y1990" s="91"/>
      <c r="Z1990" s="447">
        <v>0.3</v>
      </c>
      <c r="AA1990" s="81">
        <v>1</v>
      </c>
      <c r="AB1990" s="91"/>
      <c r="AC1990" s="91"/>
      <c r="AD1990" s="91"/>
      <c r="AE1990" s="91"/>
      <c r="AF1990" s="91"/>
      <c r="AG1990" s="91"/>
      <c r="AH1990" s="91"/>
      <c r="AI1990" s="91"/>
      <c r="AJ1990" s="91"/>
      <c r="AK1990" s="91"/>
      <c r="AL1990" s="91"/>
      <c r="AM1990" s="91"/>
      <c r="AN1990" s="91"/>
      <c r="AO1990" s="91"/>
      <c r="AP1990" s="91"/>
      <c r="AQ1990" s="91"/>
      <c r="AR1990" s="91"/>
      <c r="AS1990" s="91"/>
      <c r="AT1990" s="91"/>
      <c r="AU1990" s="91"/>
      <c r="AV1990" s="91"/>
      <c r="AW1990" s="501"/>
    </row>
    <row r="1991" spans="25:49" hidden="1" x14ac:dyDescent="0.25">
      <c r="Y1991" s="91"/>
      <c r="Z1991" s="91"/>
      <c r="AA1991" s="91"/>
      <c r="AB1991" s="91"/>
      <c r="AC1991" s="91"/>
      <c r="AD1991" s="91"/>
      <c r="AE1991" s="91"/>
      <c r="AF1991" s="91"/>
      <c r="AG1991" s="91"/>
      <c r="AH1991" s="91"/>
      <c r="AI1991" s="91"/>
      <c r="AJ1991" s="91"/>
      <c r="AK1991" s="91"/>
      <c r="AL1991" s="91"/>
      <c r="AM1991" s="91"/>
      <c r="AN1991" s="91"/>
      <c r="AO1991" s="91"/>
      <c r="AP1991" s="91"/>
      <c r="AQ1991" s="91"/>
      <c r="AR1991" s="91"/>
      <c r="AS1991" s="91"/>
      <c r="AT1991" s="91"/>
      <c r="AU1991" s="91"/>
      <c r="AV1991" s="91"/>
    </row>
    <row r="1992" spans="25:49" hidden="1" x14ac:dyDescent="0.25">
      <c r="Y1992" s="91"/>
      <c r="Z1992" s="91"/>
      <c r="AA1992" s="91"/>
      <c r="AB1992" s="91"/>
      <c r="AC1992" s="91"/>
      <c r="AD1992" s="91"/>
      <c r="AE1992" s="91"/>
      <c r="AF1992" s="91"/>
      <c r="AG1992" s="91"/>
      <c r="AH1992" s="91"/>
      <c r="AI1992" s="91"/>
      <c r="AJ1992" s="91"/>
      <c r="AK1992" s="91"/>
      <c r="AL1992" s="91"/>
      <c r="AM1992" s="79"/>
      <c r="AN1992" s="91"/>
      <c r="AO1992" s="91"/>
      <c r="AP1992" s="91"/>
      <c r="AQ1992" s="91"/>
      <c r="AR1992" s="91"/>
      <c r="AS1992" s="91"/>
      <c r="AT1992" s="91"/>
      <c r="AU1992" s="91"/>
      <c r="AV1992" s="91"/>
    </row>
    <row r="1993" spans="25:49" hidden="1" x14ac:dyDescent="0.25">
      <c r="Y1993" s="91"/>
      <c r="Z1993" s="78" t="s">
        <v>1031</v>
      </c>
      <c r="AA1993" s="78"/>
      <c r="AB1993" s="78"/>
      <c r="AC1993" s="79"/>
      <c r="AD1993" s="79"/>
      <c r="AE1993" s="79"/>
      <c r="AF1993" s="79"/>
      <c r="AG1993" s="79" t="s">
        <v>1032</v>
      </c>
      <c r="AH1993" s="79"/>
      <c r="AI1993" s="79"/>
      <c r="AJ1993" s="79"/>
      <c r="AK1993" s="79"/>
      <c r="AL1993" s="79"/>
      <c r="AM1993" s="91"/>
      <c r="AN1993" s="79"/>
      <c r="AO1993" s="79"/>
      <c r="AP1993" s="79"/>
      <c r="AQ1993" s="79"/>
      <c r="AR1993" s="79"/>
      <c r="AS1993" s="79"/>
      <c r="AT1993" s="79"/>
      <c r="AU1993" s="79"/>
      <c r="AV1993" s="79"/>
      <c r="AW1993" s="523"/>
    </row>
    <row r="1994" spans="25:49" hidden="1" x14ac:dyDescent="0.25">
      <c r="Y1994" s="91"/>
      <c r="Z1994" s="91"/>
      <c r="AA1994" s="91"/>
      <c r="AB1994" s="91"/>
      <c r="AC1994" s="91"/>
      <c r="AD1994" s="91"/>
      <c r="AE1994" s="91"/>
      <c r="AF1994" s="91"/>
      <c r="AG1994" s="91"/>
      <c r="AH1994" s="91"/>
      <c r="AI1994" s="91"/>
      <c r="AJ1994" s="91"/>
      <c r="AK1994" s="91"/>
      <c r="AL1994" s="91"/>
      <c r="AM1994" s="91"/>
      <c r="AN1994" s="91"/>
      <c r="AO1994" s="91"/>
      <c r="AP1994" s="91"/>
      <c r="AQ1994" s="91"/>
      <c r="AR1994" s="91"/>
      <c r="AS1994" s="91"/>
      <c r="AT1994" s="91"/>
      <c r="AU1994" s="91"/>
      <c r="AV1994" s="91"/>
    </row>
    <row r="1995" spans="25:49" hidden="1" x14ac:dyDescent="0.25">
      <c r="Y1995" s="91"/>
      <c r="Z1995" s="66"/>
      <c r="AA1995" s="66" t="s">
        <v>1033</v>
      </c>
      <c r="AB1995" s="88">
        <f>IF(Ene07_10=AD_Yes,1,0)</f>
        <v>0</v>
      </c>
      <c r="AC1995" s="91"/>
      <c r="AD1995" s="91"/>
      <c r="AE1995" s="91"/>
      <c r="AF1995" s="91"/>
      <c r="AG1995" s="66" t="s">
        <v>1034</v>
      </c>
      <c r="AH1995" s="91" t="e">
        <f>IF(AND(Ene06_02=AIS_Yes,OR(Ene06_08=AIS_option00,Ene06_08=AIS_option01,Ene06_08=AIS_option03,Ene06_08=AIS_option05)),Ene06_04,IF(AND(Ene06_02=AIS_Yes,Ene06_08=AIS_option02),Ene06_04*0.5,0))</f>
        <v>#REF!</v>
      </c>
      <c r="AI1995" s="91"/>
      <c r="AJ1995" s="91"/>
      <c r="AK1995" s="91"/>
      <c r="AL1995" s="91"/>
      <c r="AM1995" s="91"/>
      <c r="AN1995" s="91"/>
      <c r="AO1995" s="91"/>
      <c r="AP1995" s="91"/>
      <c r="AQ1995" s="91"/>
      <c r="AR1995" s="91"/>
      <c r="AS1995" s="91"/>
      <c r="AT1995" s="91"/>
      <c r="AU1995" s="91"/>
      <c r="AV1995" s="91"/>
    </row>
    <row r="1996" spans="25:49" hidden="1" x14ac:dyDescent="0.25">
      <c r="Y1996" s="91"/>
      <c r="Z1996" s="66"/>
      <c r="AA1996" s="66" t="s">
        <v>1035</v>
      </c>
      <c r="AB1996" s="88">
        <f>IF(ADFume_option01=AIS_No,AIS_NA,IF(Ene07_11=AD_Yes,0.5,0))</f>
        <v>0</v>
      </c>
      <c r="AC1996" s="91"/>
      <c r="AD1996" s="65"/>
      <c r="AE1996" s="65"/>
      <c r="AF1996" s="65"/>
      <c r="AG1996" s="66" t="s">
        <v>1036</v>
      </c>
      <c r="AH1996" s="91" t="e">
        <f>IF(AND(ENE06_02a=AIS_Yes,OR(Ene06_08=AIS_option00,Ene06_08=AIS_option01,Ene06_08=AIS_option03,Ene06_08=AIS_option05)),Ene06_04,IF(AND(ENE06_02a=AIS_Yes,Ene06_08=AIS_option02),Ene06_04*0.5,0))</f>
        <v>#NAME?</v>
      </c>
      <c r="AI1996" s="65"/>
      <c r="AJ1996" s="91"/>
      <c r="AK1996" s="91"/>
      <c r="AL1996" s="91"/>
      <c r="AM1996" s="91"/>
      <c r="AN1996" s="91"/>
      <c r="AO1996" s="91"/>
      <c r="AP1996" s="91"/>
      <c r="AQ1996" s="91"/>
      <c r="AR1996" s="91"/>
      <c r="AS1996" s="91"/>
      <c r="AT1996" s="91"/>
      <c r="AU1996" s="91"/>
      <c r="AV1996" s="91"/>
    </row>
    <row r="1997" spans="25:49" hidden="1" x14ac:dyDescent="0.25">
      <c r="Y1997" s="91"/>
      <c r="Z1997" s="66"/>
      <c r="AA1997" s="66" t="s">
        <v>1037</v>
      </c>
      <c r="AB1997" s="88">
        <f>IF(Ene07_12=AD_Yes,0.5,0)</f>
        <v>0</v>
      </c>
      <c r="AC1997" s="65"/>
      <c r="AD1997" s="65"/>
      <c r="AE1997" s="65"/>
      <c r="AF1997" s="65"/>
      <c r="AG1997" s="65"/>
      <c r="AH1997" s="65"/>
      <c r="AI1997" s="65"/>
      <c r="AJ1997" s="91"/>
      <c r="AK1997" s="91"/>
      <c r="AL1997" s="91"/>
      <c r="AM1997" s="91"/>
      <c r="AN1997" s="91"/>
      <c r="AO1997" s="91"/>
      <c r="AP1997" s="91"/>
      <c r="AQ1997" s="91"/>
      <c r="AR1997" s="91"/>
      <c r="AS1997" s="91"/>
      <c r="AT1997" s="91"/>
      <c r="AU1997" s="91"/>
      <c r="AV1997" s="91"/>
    </row>
    <row r="1998" spans="25:49" hidden="1" x14ac:dyDescent="0.25">
      <c r="Y1998" s="91"/>
      <c r="Z1998" s="66"/>
      <c r="AA1998" s="66" t="s">
        <v>1038</v>
      </c>
      <c r="AB1998" s="88">
        <f>IF(Ene07_13=AD_Yes,0.5,0)</f>
        <v>0</v>
      </c>
      <c r="AC1998" s="65"/>
      <c r="AD1998" s="65"/>
      <c r="AE1998" s="65"/>
      <c r="AF1998" s="65"/>
      <c r="AG1998" s="65"/>
      <c r="AH1998" s="65"/>
      <c r="AI1998" s="65"/>
      <c r="AJ1998" s="91"/>
      <c r="AK1998" s="91"/>
      <c r="AL1998" s="91"/>
      <c r="AM1998" s="91"/>
      <c r="AN1998" s="91"/>
      <c r="AO1998" s="91"/>
      <c r="AP1998" s="91"/>
      <c r="AQ1998" s="91"/>
      <c r="AR1998" s="91"/>
      <c r="AS1998" s="91"/>
      <c r="AT1998" s="91"/>
      <c r="AU1998" s="91"/>
      <c r="AV1998" s="91"/>
    </row>
    <row r="1999" spans="25:49" hidden="1" x14ac:dyDescent="0.25">
      <c r="Y1999" s="91"/>
      <c r="Z1999" s="66"/>
      <c r="AA1999" s="66" t="s">
        <v>1039</v>
      </c>
      <c r="AB1999" s="88">
        <f>IF(Ene07_14=AD_Yes,0.5,0)</f>
        <v>0</v>
      </c>
      <c r="AC1999" s="65"/>
      <c r="AD1999" s="65"/>
      <c r="AE1999" s="65"/>
      <c r="AF1999" s="65"/>
      <c r="AG1999" s="65"/>
      <c r="AH1999" s="65"/>
      <c r="AI1999" s="65"/>
      <c r="AJ1999" s="91"/>
      <c r="AK1999" s="91"/>
      <c r="AL1999" s="91"/>
      <c r="AM1999" s="91"/>
      <c r="AN1999" s="91"/>
      <c r="AO1999" s="91"/>
      <c r="AP1999" s="91"/>
      <c r="AQ1999" s="91"/>
      <c r="AR1999" s="91"/>
      <c r="AS1999" s="91"/>
      <c r="AT1999" s="91"/>
      <c r="AU1999" s="91"/>
      <c r="AV1999" s="91"/>
    </row>
    <row r="2000" spans="25:49" hidden="1" x14ac:dyDescent="0.25">
      <c r="Y2000" s="91"/>
      <c r="Z2000" s="66"/>
      <c r="AA2000" s="66" t="s">
        <v>1040</v>
      </c>
      <c r="AB2000" s="88">
        <f>IF(Ene07_15=AD_Yes,0.5,0)</f>
        <v>0</v>
      </c>
      <c r="AC2000" s="65"/>
      <c r="AD2000" s="65"/>
      <c r="AE2000" s="65"/>
      <c r="AF2000" s="65"/>
      <c r="AG2000" s="65"/>
      <c r="AH2000" s="65"/>
      <c r="AI2000" s="65"/>
      <c r="AJ2000" s="91"/>
      <c r="AK2000" s="91"/>
      <c r="AL2000" s="91"/>
      <c r="AM2000" s="91"/>
      <c r="AN2000" s="91"/>
      <c r="AO2000" s="91"/>
      <c r="AP2000" s="91"/>
      <c r="AQ2000" s="91"/>
      <c r="AR2000" s="91"/>
      <c r="AS2000" s="91"/>
      <c r="AT2000" s="91"/>
      <c r="AU2000" s="91"/>
      <c r="AV2000" s="91"/>
    </row>
    <row r="2001" spans="25:49" hidden="1" x14ac:dyDescent="0.25">
      <c r="Y2001" s="91"/>
      <c r="Z2001" s="66"/>
      <c r="AA2001" s="66" t="s">
        <v>1041</v>
      </c>
      <c r="AB2001" s="88">
        <f>IF(Ene07_16=AD_Yes,0.5,0)</f>
        <v>0</v>
      </c>
      <c r="AC2001" s="65"/>
      <c r="AD2001" s="65"/>
      <c r="AE2001" s="65"/>
      <c r="AF2001" s="65"/>
      <c r="AG2001" s="65"/>
      <c r="AH2001" s="65"/>
      <c r="AI2001" s="65"/>
      <c r="AJ2001" s="91"/>
      <c r="AK2001" s="91"/>
      <c r="AL2001" s="91"/>
      <c r="AM2001" s="91"/>
      <c r="AN2001" s="91"/>
      <c r="AO2001" s="91"/>
      <c r="AP2001" s="91"/>
      <c r="AQ2001" s="91"/>
      <c r="AR2001" s="91"/>
      <c r="AS2001" s="91"/>
      <c r="AT2001" s="91"/>
      <c r="AU2001" s="91"/>
      <c r="AV2001" s="91"/>
    </row>
    <row r="2002" spans="25:49" hidden="1" x14ac:dyDescent="0.25">
      <c r="Y2002" s="91"/>
      <c r="Z2002" s="66"/>
      <c r="AA2002" s="66" t="s">
        <v>1042</v>
      </c>
      <c r="AB2002" s="88">
        <f>IF(Ene07_17=AD_Yes,0.5,0)</f>
        <v>0</v>
      </c>
      <c r="AC2002" s="65"/>
      <c r="AD2002" s="65"/>
      <c r="AE2002" s="65"/>
      <c r="AF2002" s="65"/>
      <c r="AG2002" s="65"/>
      <c r="AH2002" s="65"/>
      <c r="AI2002" s="65"/>
      <c r="AJ2002" s="91"/>
      <c r="AK2002" s="91"/>
      <c r="AL2002" s="91"/>
      <c r="AM2002" s="91"/>
      <c r="AN2002" s="91"/>
      <c r="AO2002" s="91"/>
      <c r="AP2002" s="91"/>
      <c r="AQ2002" s="91"/>
      <c r="AR2002" s="91"/>
      <c r="AS2002" s="91"/>
      <c r="AT2002" s="91"/>
      <c r="AU2002" s="91"/>
      <c r="AV2002" s="91"/>
    </row>
    <row r="2003" spans="25:49" hidden="1" x14ac:dyDescent="0.25">
      <c r="Y2003" s="91"/>
      <c r="Z2003" s="66"/>
      <c r="AA2003" s="66" t="s">
        <v>1043</v>
      </c>
      <c r="AB2003" s="88">
        <f>IF(Ene07_18=AD_Yes,0.5,0)</f>
        <v>0</v>
      </c>
      <c r="AC2003" s="91"/>
      <c r="AD2003" s="91"/>
      <c r="AE2003" s="91"/>
      <c r="AF2003" s="91"/>
      <c r="AG2003" s="91"/>
      <c r="AH2003" s="91"/>
      <c r="AI2003" s="91"/>
      <c r="AJ2003" s="91"/>
      <c r="AK2003" s="91"/>
      <c r="AL2003" s="91"/>
      <c r="AM2003" s="91"/>
      <c r="AN2003" s="91"/>
      <c r="AO2003" s="91"/>
      <c r="AP2003" s="91"/>
      <c r="AQ2003" s="91"/>
      <c r="AR2003" s="91"/>
      <c r="AS2003" s="91"/>
      <c r="AT2003" s="91"/>
      <c r="AU2003" s="91"/>
      <c r="AV2003" s="91"/>
    </row>
    <row r="2004" spans="25:49" hidden="1" x14ac:dyDescent="0.25">
      <c r="Y2004" s="91"/>
      <c r="Z2004" s="66"/>
      <c r="AA2004" s="66" t="s">
        <v>1044</v>
      </c>
      <c r="AB2004" s="88">
        <f>IF(Ene07_19=AD_Yes,0.5,0)</f>
        <v>0</v>
      </c>
      <c r="AC2004" s="91"/>
      <c r="AD2004" s="91"/>
      <c r="AE2004" s="91"/>
      <c r="AF2004" s="91"/>
      <c r="AG2004" s="91"/>
      <c r="AH2004" s="91"/>
      <c r="AI2004" s="91"/>
      <c r="AJ2004" s="91"/>
      <c r="AK2004" s="91"/>
      <c r="AL2004" s="91"/>
      <c r="AM2004" s="91"/>
      <c r="AN2004" s="91"/>
      <c r="AO2004" s="91"/>
      <c r="AP2004" s="91"/>
      <c r="AQ2004" s="91"/>
      <c r="AR2004" s="91"/>
      <c r="AS2004" s="91"/>
      <c r="AT2004" s="91"/>
      <c r="AU2004" s="91"/>
      <c r="AV2004" s="91"/>
    </row>
    <row r="2005" spans="25:49" hidden="1" x14ac:dyDescent="0.25">
      <c r="Y2005" s="91"/>
      <c r="Z2005" s="66"/>
      <c r="AA2005" s="66" t="s">
        <v>1045</v>
      </c>
      <c r="AB2005" s="88">
        <f>IF(Ene07_20=AD_Yes,0.5,0)</f>
        <v>0</v>
      </c>
      <c r="AC2005" s="91"/>
      <c r="AD2005" s="91"/>
      <c r="AE2005" s="91"/>
      <c r="AF2005" s="91"/>
      <c r="AG2005" s="91"/>
      <c r="AH2005" s="91"/>
      <c r="AI2005" s="91"/>
      <c r="AJ2005" s="91"/>
      <c r="AK2005" s="91"/>
      <c r="AL2005" s="91"/>
      <c r="AM2005" s="91"/>
      <c r="AN2005" s="91"/>
      <c r="AO2005" s="91"/>
      <c r="AP2005" s="91"/>
      <c r="AQ2005" s="91"/>
      <c r="AR2005" s="91"/>
      <c r="AS2005" s="91"/>
      <c r="AT2005" s="91"/>
      <c r="AU2005" s="91"/>
      <c r="AV2005" s="91"/>
    </row>
    <row r="2006" spans="25:49" hidden="1" x14ac:dyDescent="0.25">
      <c r="Y2006" s="91"/>
      <c r="Z2006" s="91"/>
      <c r="AA2006" s="91"/>
      <c r="AB2006" s="81" t="str">
        <f>IF(Ene07_01=AIS_statement32,AIS_NA,IF(Ene07_08=AIS_NA,AIS_NA,ROUNDDOWN(SUM(AB1995:AB2005),0)))</f>
        <v>N/A</v>
      </c>
      <c r="AC2006" s="91"/>
      <c r="AD2006" s="91"/>
      <c r="AE2006" s="91"/>
      <c r="AF2006" s="91"/>
      <c r="AG2006" s="91"/>
      <c r="AH2006" s="91"/>
      <c r="AI2006" s="91"/>
      <c r="AJ2006" s="91"/>
      <c r="AK2006" s="91"/>
      <c r="AL2006" s="91"/>
      <c r="AM2006" s="91"/>
      <c r="AN2006" s="91"/>
      <c r="AO2006" s="91"/>
      <c r="AP2006" s="91"/>
      <c r="AQ2006" s="91"/>
      <c r="AR2006" s="91"/>
      <c r="AS2006" s="91"/>
      <c r="AT2006" s="91"/>
      <c r="AU2006" s="91"/>
      <c r="AV2006" s="91"/>
    </row>
    <row r="2007" spans="25:49" hidden="1" x14ac:dyDescent="0.25">
      <c r="Y2007" s="91"/>
      <c r="Z2007" s="91"/>
      <c r="AA2007" s="66" t="s">
        <v>199</v>
      </c>
      <c r="AB2007" s="81">
        <f>IF(Ene07_04=1,IF(Ene07_03=AIS_No,0,IF(AND(Ene07_04=1,Ene07_03=AIS_Yes),IF(Ene07_21&gt;Ene07_08,Ene07_08,Ene07_21))),IF(Ene07_21&gt;Ene07_08,Ene07_08,Ene07_21))</f>
        <v>0</v>
      </c>
      <c r="AC2007" s="91"/>
      <c r="AD2007" s="91"/>
      <c r="AE2007" s="91"/>
      <c r="AF2007" s="91"/>
      <c r="AG2007" s="91"/>
      <c r="AH2007" s="91"/>
      <c r="AI2007" s="91"/>
      <c r="AJ2007" s="91"/>
      <c r="AK2007" s="91"/>
      <c r="AL2007" s="91"/>
      <c r="AM2007" s="91"/>
      <c r="AN2007" s="91"/>
      <c r="AO2007" s="91"/>
      <c r="AP2007" s="91"/>
      <c r="AQ2007" s="91"/>
      <c r="AR2007" s="91"/>
      <c r="AS2007" s="91"/>
      <c r="AT2007" s="91"/>
      <c r="AU2007" s="91"/>
      <c r="AV2007" s="91"/>
    </row>
    <row r="2008" spans="25:49" hidden="1" x14ac:dyDescent="0.25">
      <c r="Y2008" s="91"/>
      <c r="Z2008" s="91"/>
      <c r="AA2008" s="66"/>
      <c r="AB2008" s="66"/>
      <c r="AC2008" s="91"/>
      <c r="AD2008" s="91"/>
      <c r="AE2008" s="91"/>
      <c r="AF2008" s="91"/>
      <c r="AG2008" s="91"/>
      <c r="AH2008" s="91"/>
      <c r="AI2008" s="91"/>
      <c r="AJ2008" s="91"/>
      <c r="AK2008" s="91"/>
      <c r="AL2008" s="91"/>
      <c r="AM2008" s="91"/>
      <c r="AN2008" s="91"/>
      <c r="AO2008" s="91"/>
      <c r="AP2008" s="91"/>
      <c r="AQ2008" s="91"/>
      <c r="AR2008" s="91"/>
      <c r="AS2008" s="91"/>
      <c r="AT2008" s="91"/>
      <c r="AU2008" s="91"/>
      <c r="AV2008" s="91"/>
    </row>
    <row r="2009" spans="25:49" hidden="1" x14ac:dyDescent="0.25">
      <c r="Y2009" s="91"/>
      <c r="Z2009" s="91"/>
      <c r="AA2009" s="91"/>
      <c r="AB2009" s="91"/>
      <c r="AC2009" s="91"/>
      <c r="AD2009" s="91"/>
      <c r="AE2009" s="91"/>
      <c r="AF2009" s="91"/>
      <c r="AG2009" s="91"/>
      <c r="AH2009" s="91"/>
      <c r="AI2009" s="91"/>
      <c r="AJ2009" s="91"/>
      <c r="AK2009" s="91"/>
      <c r="AL2009" s="91"/>
      <c r="AM2009" s="79"/>
      <c r="AN2009" s="91"/>
      <c r="AO2009" s="91"/>
      <c r="AP2009" s="91"/>
      <c r="AQ2009" s="91"/>
      <c r="AR2009" s="91"/>
      <c r="AS2009" s="91"/>
      <c r="AT2009" s="91"/>
      <c r="AU2009" s="91"/>
      <c r="AV2009" s="91"/>
    </row>
    <row r="2010" spans="25:49" hidden="1" x14ac:dyDescent="0.25">
      <c r="Y2010" s="91"/>
      <c r="Z2010" s="650" t="s">
        <v>1046</v>
      </c>
      <c r="AA2010" s="78"/>
      <c r="AB2010" s="78"/>
      <c r="AC2010" s="79"/>
      <c r="AD2010" s="79" t="s">
        <v>1047</v>
      </c>
      <c r="AE2010" s="79"/>
      <c r="AF2010" s="79"/>
      <c r="AG2010" s="79"/>
      <c r="AH2010" s="79"/>
      <c r="AI2010" s="79"/>
      <c r="AJ2010" s="79"/>
      <c r="AK2010" s="79"/>
      <c r="AL2010" s="79"/>
      <c r="AM2010" s="91"/>
      <c r="AN2010" s="79"/>
      <c r="AO2010" s="79"/>
      <c r="AP2010" s="79"/>
      <c r="AQ2010" s="79"/>
      <c r="AR2010" s="79"/>
      <c r="AS2010" s="79"/>
      <c r="AT2010" s="79"/>
      <c r="AU2010" s="79"/>
      <c r="AV2010" s="79"/>
      <c r="AW2010" s="523"/>
    </row>
    <row r="2011" spans="25:49" hidden="1" x14ac:dyDescent="0.25">
      <c r="Y2011" s="91"/>
      <c r="Z2011" s="91"/>
      <c r="AA2011" s="91"/>
      <c r="AB2011" s="91"/>
      <c r="AC2011" s="91"/>
      <c r="AD2011" s="91"/>
      <c r="AE2011" s="91"/>
      <c r="AF2011" s="91"/>
      <c r="AG2011" s="91"/>
      <c r="AH2011" s="91"/>
      <c r="AI2011" s="91"/>
      <c r="AJ2011" s="91"/>
      <c r="AK2011" s="91"/>
      <c r="AL2011" s="91"/>
      <c r="AM2011" s="91"/>
      <c r="AN2011" s="91"/>
      <c r="AO2011" s="91"/>
      <c r="AP2011" s="91"/>
      <c r="AQ2011" s="91"/>
      <c r="AR2011" s="91"/>
      <c r="AS2011" s="91"/>
      <c r="AT2011" s="91"/>
      <c r="AU2011" s="91"/>
      <c r="AV2011" s="91"/>
    </row>
    <row r="2012" spans="25:49" hidden="1" x14ac:dyDescent="0.25">
      <c r="Y2012" s="91"/>
      <c r="Z2012" s="71" t="s">
        <v>1048</v>
      </c>
      <c r="AA2012" s="91"/>
      <c r="AB2012" s="73">
        <f>IF(Ene08_25=AIS_statement36,AIS_Missing_data,IF(Ene08_23=AIS_statement35,AIS_Missing_data,IF(AND(Ene08_17=AIS_Yes,Ene08_24=AIS_statement34,Ene08_22=AIS_option24),1,IF(Ene08_17=AIS_Yes,Ene08_18,0))))</f>
        <v>0</v>
      </c>
      <c r="AC2012" s="91"/>
      <c r="AD2012" s="91" t="s">
        <v>1049</v>
      </c>
      <c r="AE2012" s="91" t="str">
        <f>IF(Ene09_06=AIS_statement32,AIS_NA,IF(OR(ADBT0=ADBT8,ADBT0=ADBT9),1,AIS_NA))</f>
        <v>N/A</v>
      </c>
      <c r="AF2012" s="91"/>
      <c r="AG2012" s="91"/>
      <c r="AH2012" s="91"/>
      <c r="AI2012" s="91"/>
      <c r="AJ2012" s="91"/>
      <c r="AK2012" s="91"/>
      <c r="AL2012" s="91"/>
      <c r="AM2012" s="91"/>
      <c r="AN2012" s="91"/>
      <c r="AO2012" s="91"/>
      <c r="AP2012" s="91"/>
      <c r="AQ2012" s="91"/>
      <c r="AR2012" s="91"/>
      <c r="AS2012" s="91"/>
      <c r="AT2012" s="91"/>
      <c r="AU2012" s="91"/>
      <c r="AV2012" s="91"/>
    </row>
    <row r="2013" spans="25:49" hidden="1" x14ac:dyDescent="0.25">
      <c r="Y2013" s="91"/>
      <c r="Z2013" s="71" t="s">
        <v>1050</v>
      </c>
      <c r="AA2013" s="91"/>
      <c r="AB2013" s="91"/>
      <c r="AC2013" s="91"/>
      <c r="AD2013" s="91"/>
      <c r="AE2013" s="91"/>
      <c r="AF2013" s="91"/>
      <c r="AG2013" s="91"/>
      <c r="AH2013" s="91"/>
      <c r="AI2013" s="91"/>
      <c r="AJ2013" s="91"/>
      <c r="AK2013" s="91"/>
      <c r="AL2013" s="91"/>
      <c r="AM2013" s="91"/>
      <c r="AN2013" s="91"/>
      <c r="AO2013" s="91"/>
      <c r="AP2013" s="91"/>
      <c r="AQ2013" s="91"/>
      <c r="AR2013" s="91"/>
      <c r="AS2013" s="91"/>
      <c r="AT2013" s="91"/>
      <c r="AU2013" s="91"/>
      <c r="AV2013" s="91"/>
    </row>
    <row r="2014" spans="25:49" hidden="1" x14ac:dyDescent="0.25">
      <c r="Y2014" s="91"/>
      <c r="Z2014" s="91"/>
      <c r="AA2014" s="91"/>
      <c r="AB2014" s="91">
        <f>IF(OR(Ene08_09=AIS_Yes,Ene08_10=AIS_Yes,Ene08_11=AIS_Yes,Ene08_12=AIS_Yes,Ene08_13=AIS_Yes,Ene08_14=AIS_Yes,Ene08_15=AIS_Yes,Ene08_16=AIS_Yes),1,0)</f>
        <v>0</v>
      </c>
      <c r="AC2014" s="91"/>
      <c r="AD2014" s="91"/>
      <c r="AE2014" s="91"/>
      <c r="AF2014" s="91"/>
      <c r="AG2014" s="91"/>
      <c r="AH2014" s="91"/>
      <c r="AI2014" s="91"/>
      <c r="AJ2014" s="91"/>
      <c r="AK2014" s="91"/>
      <c r="AL2014" s="91"/>
      <c r="AM2014" s="79"/>
      <c r="AN2014" s="91"/>
      <c r="AO2014" s="91"/>
      <c r="AP2014" s="91"/>
      <c r="AQ2014" s="91"/>
      <c r="AR2014" s="91"/>
      <c r="AS2014" s="91"/>
      <c r="AT2014" s="91"/>
      <c r="AU2014" s="91"/>
      <c r="AV2014" s="91"/>
    </row>
    <row r="2015" spans="25:49" hidden="1" x14ac:dyDescent="0.25">
      <c r="Y2015" s="91"/>
      <c r="Z2015" s="650" t="s">
        <v>1051</v>
      </c>
      <c r="AA2015" s="78"/>
      <c r="AB2015" s="78"/>
      <c r="AC2015" s="79"/>
      <c r="AD2015" s="79"/>
      <c r="AE2015" s="79"/>
      <c r="AF2015" s="79"/>
      <c r="AG2015" s="79"/>
      <c r="AH2015" s="79"/>
      <c r="AI2015" s="79"/>
      <c r="AJ2015" s="79"/>
      <c r="AK2015" s="79"/>
      <c r="AL2015" s="79"/>
      <c r="AM2015" s="91"/>
      <c r="AN2015" s="79"/>
      <c r="AO2015" s="79"/>
      <c r="AP2015" s="79"/>
      <c r="AQ2015" s="79"/>
      <c r="AR2015" s="79"/>
      <c r="AS2015" s="79"/>
      <c r="AT2015" s="79"/>
      <c r="AU2015" s="79"/>
      <c r="AV2015" s="79"/>
      <c r="AW2015" s="523"/>
    </row>
    <row r="2016" spans="25:49" hidden="1" x14ac:dyDescent="0.25">
      <c r="Y2016" s="91"/>
      <c r="Z2016" s="91"/>
      <c r="AA2016" s="91"/>
      <c r="AB2016" s="91"/>
      <c r="AC2016" s="91"/>
      <c r="AD2016" s="91"/>
      <c r="AE2016" s="91"/>
      <c r="AF2016" s="91"/>
      <c r="AG2016" s="91"/>
      <c r="AH2016" s="91"/>
      <c r="AI2016" s="91"/>
      <c r="AJ2016" s="91"/>
      <c r="AK2016" s="91"/>
      <c r="AL2016" s="91"/>
      <c r="AM2016" s="91"/>
      <c r="AN2016" s="91"/>
      <c r="AO2016" s="91"/>
      <c r="AP2016" s="91"/>
      <c r="AQ2016" s="91"/>
      <c r="AR2016" s="91"/>
      <c r="AS2016" s="91"/>
      <c r="AT2016" s="91"/>
      <c r="AU2016" s="91"/>
      <c r="AV2016" s="91"/>
    </row>
    <row r="2017" spans="25:49" hidden="1" x14ac:dyDescent="0.25">
      <c r="Y2017" s="91"/>
      <c r="Z2017" s="71" t="s">
        <v>488</v>
      </c>
      <c r="AA2017" s="81"/>
      <c r="AB2017" s="85" t="s">
        <v>1052</v>
      </c>
      <c r="AC2017" s="647" t="s">
        <v>1053</v>
      </c>
      <c r="AD2017" s="81" t="s">
        <v>1054</v>
      </c>
      <c r="AE2017" s="3"/>
      <c r="AF2017" s="81" t="s">
        <v>1053</v>
      </c>
      <c r="AG2017" s="81" t="s">
        <v>1055</v>
      </c>
      <c r="AH2017" s="3"/>
      <c r="AI2017" s="81" t="s">
        <v>1053</v>
      </c>
      <c r="AJ2017" s="81" t="s">
        <v>1056</v>
      </c>
      <c r="AK2017" s="3"/>
      <c r="AL2017" s="81" t="s">
        <v>1053</v>
      </c>
      <c r="AM2017" s="81" t="s">
        <v>1057</v>
      </c>
      <c r="AN2017" s="3"/>
      <c r="AO2017" s="81" t="s">
        <v>1053</v>
      </c>
      <c r="AP2017" s="81" t="s">
        <v>1058</v>
      </c>
      <c r="AQ2017" s="91"/>
      <c r="AR2017" s="91"/>
      <c r="AS2017" s="91"/>
      <c r="AT2017" s="91"/>
      <c r="AU2017" s="91"/>
      <c r="AV2017" s="91"/>
    </row>
    <row r="2018" spans="25:49" hidden="1" x14ac:dyDescent="0.25">
      <c r="Y2018" s="91"/>
      <c r="Z2018" s="71" t="s">
        <v>1059</v>
      </c>
      <c r="AA2018" s="640" t="s">
        <v>1054</v>
      </c>
      <c r="AB2018" s="85">
        <v>3</v>
      </c>
      <c r="AC2018" s="647">
        <v>0</v>
      </c>
      <c r="AD2018" s="89">
        <v>0</v>
      </c>
      <c r="AE2018" s="3"/>
      <c r="AF2018" s="81">
        <v>0</v>
      </c>
      <c r="AG2018" s="89">
        <v>0</v>
      </c>
      <c r="AH2018" s="3"/>
      <c r="AI2018" s="81">
        <v>0</v>
      </c>
      <c r="AJ2018" s="89">
        <v>0</v>
      </c>
      <c r="AK2018" s="3"/>
      <c r="AL2018" s="81">
        <v>0</v>
      </c>
      <c r="AM2018" s="81">
        <v>0</v>
      </c>
      <c r="AN2018" s="3"/>
      <c r="AO2018" s="81">
        <v>0</v>
      </c>
      <c r="AP2018" s="89">
        <v>0</v>
      </c>
      <c r="AQ2018" s="91"/>
      <c r="AR2018" s="91"/>
      <c r="AS2018" s="91"/>
      <c r="AT2018" s="91"/>
      <c r="AU2018" s="91"/>
      <c r="AV2018" s="91"/>
    </row>
    <row r="2019" spans="25:49" hidden="1" x14ac:dyDescent="0.25">
      <c r="Y2019" s="91"/>
      <c r="Z2019" s="71" t="s">
        <v>1060</v>
      </c>
      <c r="AA2019" s="640" t="s">
        <v>1054</v>
      </c>
      <c r="AB2019" s="85">
        <v>3</v>
      </c>
      <c r="AC2019" s="647">
        <v>0.5</v>
      </c>
      <c r="AD2019" s="89">
        <v>0</v>
      </c>
      <c r="AE2019" s="3"/>
      <c r="AF2019" s="81">
        <v>0.5</v>
      </c>
      <c r="AG2019" s="89">
        <v>0</v>
      </c>
      <c r="AH2019" s="3"/>
      <c r="AI2019" s="81">
        <v>0.5</v>
      </c>
      <c r="AJ2019" s="89">
        <v>0</v>
      </c>
      <c r="AK2019" s="3"/>
      <c r="AL2019" s="81">
        <v>0.5</v>
      </c>
      <c r="AM2019" s="81">
        <v>1</v>
      </c>
      <c r="AN2019" s="3"/>
      <c r="AO2019" s="81">
        <v>0.5</v>
      </c>
      <c r="AP2019" s="89">
        <v>0</v>
      </c>
      <c r="AQ2019" s="91"/>
      <c r="AR2019" s="91"/>
      <c r="AS2019" s="91"/>
      <c r="AT2019" s="91"/>
      <c r="AU2019" s="91"/>
      <c r="AV2019" s="91"/>
    </row>
    <row r="2020" spans="25:49" hidden="1" x14ac:dyDescent="0.25">
      <c r="Y2020" s="91"/>
      <c r="Z2020" s="71" t="s">
        <v>1061</v>
      </c>
      <c r="AA2020" s="640" t="s">
        <v>1054</v>
      </c>
      <c r="AB2020" s="85">
        <v>3</v>
      </c>
      <c r="AC2020" s="647">
        <v>1</v>
      </c>
      <c r="AD2020" s="89">
        <v>0</v>
      </c>
      <c r="AE2020" s="3"/>
      <c r="AF2020" s="81">
        <v>1</v>
      </c>
      <c r="AG2020" s="89">
        <v>0</v>
      </c>
      <c r="AH2020" s="3"/>
      <c r="AI2020" s="81">
        <v>1</v>
      </c>
      <c r="AJ2020" s="89">
        <v>0</v>
      </c>
      <c r="AK2020" s="3"/>
      <c r="AL2020" s="81">
        <v>1</v>
      </c>
      <c r="AM2020" s="81">
        <v>2</v>
      </c>
      <c r="AN2020" s="3"/>
      <c r="AO2020" s="81">
        <v>1</v>
      </c>
      <c r="AP2020" s="81">
        <v>1</v>
      </c>
      <c r="AQ2020" s="91"/>
      <c r="AR2020" s="91"/>
      <c r="AS2020" s="91"/>
      <c r="AT2020" s="91"/>
      <c r="AU2020" s="91"/>
      <c r="AV2020" s="91"/>
    </row>
    <row r="2021" spans="25:49" hidden="1" x14ac:dyDescent="0.25">
      <c r="Y2021" s="91"/>
      <c r="Z2021" s="71" t="s">
        <v>1062</v>
      </c>
      <c r="AA2021" s="640" t="s">
        <v>1054</v>
      </c>
      <c r="AB2021" s="85">
        <v>3</v>
      </c>
      <c r="AC2021" s="647">
        <v>2</v>
      </c>
      <c r="AD2021" s="81">
        <v>1</v>
      </c>
      <c r="AE2021" s="3"/>
      <c r="AF2021" s="81">
        <v>2</v>
      </c>
      <c r="AG2021" s="81">
        <v>1</v>
      </c>
      <c r="AH2021" s="3"/>
      <c r="AI2021" s="81">
        <v>2</v>
      </c>
      <c r="AJ2021" s="81">
        <v>1</v>
      </c>
      <c r="AK2021" s="3"/>
      <c r="AL2021" s="81">
        <v>2</v>
      </c>
      <c r="AM2021" s="89">
        <v>2</v>
      </c>
      <c r="AN2021" s="3"/>
      <c r="AO2021" s="81">
        <v>2</v>
      </c>
      <c r="AP2021" s="81">
        <v>2</v>
      </c>
      <c r="AQ2021" s="91"/>
      <c r="AR2021" s="91"/>
      <c r="AS2021" s="91"/>
      <c r="AT2021" s="91"/>
      <c r="AU2021" s="91"/>
      <c r="AV2021" s="91"/>
    </row>
    <row r="2022" spans="25:49" hidden="1" x14ac:dyDescent="0.25">
      <c r="Y2022" s="91"/>
      <c r="Z2022" s="71" t="s">
        <v>88</v>
      </c>
      <c r="AA2022" s="641" t="s">
        <v>1055</v>
      </c>
      <c r="AB2022" s="85">
        <v>5</v>
      </c>
      <c r="AC2022" s="647">
        <v>4</v>
      </c>
      <c r="AD2022" s="81">
        <v>2</v>
      </c>
      <c r="AE2022" s="3"/>
      <c r="AF2022" s="81">
        <v>4</v>
      </c>
      <c r="AG2022" s="81">
        <v>2</v>
      </c>
      <c r="AH2022" s="3"/>
      <c r="AI2022" s="81">
        <v>4</v>
      </c>
      <c r="AJ2022" s="81">
        <v>2</v>
      </c>
      <c r="AK2022" s="3"/>
      <c r="AL2022" s="81">
        <v>4</v>
      </c>
      <c r="AM2022" s="89">
        <v>2</v>
      </c>
      <c r="AN2022" s="3"/>
      <c r="AO2022" s="81">
        <v>4</v>
      </c>
      <c r="AP2022" s="81">
        <v>3</v>
      </c>
      <c r="AQ2022" s="91"/>
      <c r="AR2022" s="91"/>
      <c r="AS2022" s="91"/>
      <c r="AT2022" s="91"/>
      <c r="AU2022" s="91"/>
      <c r="AV2022" s="91"/>
    </row>
    <row r="2023" spans="25:49" hidden="1" x14ac:dyDescent="0.25">
      <c r="Y2023" s="91"/>
      <c r="Z2023" s="71" t="s">
        <v>1063</v>
      </c>
      <c r="AA2023" s="641" t="s">
        <v>1055</v>
      </c>
      <c r="AB2023" s="85">
        <v>5</v>
      </c>
      <c r="AC2023" s="647">
        <v>8</v>
      </c>
      <c r="AD2023" s="81">
        <v>3</v>
      </c>
      <c r="AE2023" s="3"/>
      <c r="AF2023" s="81">
        <v>8</v>
      </c>
      <c r="AG2023" s="81">
        <v>3</v>
      </c>
      <c r="AH2023" s="3"/>
      <c r="AI2023" s="81">
        <v>8</v>
      </c>
      <c r="AJ2023" s="81">
        <v>3</v>
      </c>
      <c r="AK2023" s="3"/>
      <c r="AL2023" s="81">
        <v>8</v>
      </c>
      <c r="AM2023" s="89">
        <v>2</v>
      </c>
      <c r="AN2023" s="3"/>
      <c r="AO2023" s="81">
        <v>8</v>
      </c>
      <c r="AP2023" s="81">
        <v>4</v>
      </c>
      <c r="AQ2023" s="91"/>
      <c r="AR2023" s="91"/>
      <c r="AS2023" s="91"/>
      <c r="AT2023" s="91"/>
      <c r="AU2023" s="91"/>
      <c r="AV2023" s="91"/>
    </row>
    <row r="2024" spans="25:49" hidden="1" x14ac:dyDescent="0.25">
      <c r="Y2024" s="91"/>
      <c r="Z2024" s="71" t="s">
        <v>1064</v>
      </c>
      <c r="AA2024" s="81" t="s">
        <v>1056</v>
      </c>
      <c r="AB2024" s="85">
        <v>5</v>
      </c>
      <c r="AC2024" s="647"/>
      <c r="AD2024" s="81"/>
      <c r="AE2024" s="3"/>
      <c r="AF2024" s="81">
        <v>10</v>
      </c>
      <c r="AG2024" s="81">
        <v>3</v>
      </c>
      <c r="AH2024" s="3"/>
      <c r="AI2024" s="81">
        <v>10</v>
      </c>
      <c r="AJ2024" s="81">
        <v>4</v>
      </c>
      <c r="AK2024" s="3"/>
      <c r="AL2024" s="81">
        <v>10</v>
      </c>
      <c r="AM2024" s="89">
        <v>2</v>
      </c>
      <c r="AN2024" s="3"/>
      <c r="AO2024" s="81">
        <v>10</v>
      </c>
      <c r="AP2024" s="81">
        <v>4</v>
      </c>
      <c r="AQ2024" s="91"/>
      <c r="AR2024" s="91"/>
      <c r="AS2024" s="91"/>
      <c r="AT2024" s="91"/>
      <c r="AU2024" s="91"/>
      <c r="AV2024" s="91"/>
    </row>
    <row r="2025" spans="25:49" hidden="1" x14ac:dyDescent="0.25">
      <c r="Y2025" s="91"/>
      <c r="Z2025" s="71" t="s">
        <v>1065</v>
      </c>
      <c r="AA2025" s="641" t="s">
        <v>1055</v>
      </c>
      <c r="AB2025" s="85">
        <v>5</v>
      </c>
      <c r="AC2025" s="647"/>
      <c r="AD2025" s="81"/>
      <c r="AE2025" s="3"/>
      <c r="AF2025" s="81">
        <v>12</v>
      </c>
      <c r="AG2025" s="81">
        <v>4</v>
      </c>
      <c r="AH2025" s="3"/>
      <c r="AI2025" s="81">
        <v>12</v>
      </c>
      <c r="AJ2025" s="81">
        <v>5</v>
      </c>
      <c r="AK2025" s="3"/>
      <c r="AL2025" s="81">
        <v>12</v>
      </c>
      <c r="AM2025" s="89">
        <v>2</v>
      </c>
      <c r="AN2025" s="3"/>
      <c r="AO2025" s="81">
        <v>12</v>
      </c>
      <c r="AP2025" s="81">
        <v>4</v>
      </c>
      <c r="AQ2025" s="91"/>
      <c r="AR2025" s="91"/>
      <c r="AS2025" s="91"/>
      <c r="AT2025" s="91"/>
      <c r="AU2025" s="91"/>
      <c r="AV2025" s="91"/>
    </row>
    <row r="2026" spans="25:49" hidden="1" x14ac:dyDescent="0.25">
      <c r="Y2026" s="91"/>
      <c r="Z2026" s="71" t="s">
        <v>1066</v>
      </c>
      <c r="AA2026" s="641" t="s">
        <v>1055</v>
      </c>
      <c r="AB2026" s="85">
        <v>5</v>
      </c>
      <c r="AC2026" s="647"/>
      <c r="AD2026" s="81"/>
      <c r="AE2026" s="3"/>
      <c r="AF2026" s="81">
        <v>18</v>
      </c>
      <c r="AG2026" s="81">
        <v>5</v>
      </c>
      <c r="AH2026" s="3"/>
      <c r="AI2026" s="81">
        <v>18</v>
      </c>
      <c r="AJ2026" s="81">
        <v>5</v>
      </c>
      <c r="AK2026" s="3"/>
      <c r="AL2026" s="81">
        <v>18</v>
      </c>
      <c r="AM2026" s="89">
        <v>2</v>
      </c>
      <c r="AN2026" s="3"/>
      <c r="AO2026" s="81">
        <v>18</v>
      </c>
      <c r="AP2026" s="81">
        <v>4</v>
      </c>
      <c r="AQ2026" s="91"/>
      <c r="AR2026" s="91"/>
      <c r="AS2026" s="91"/>
      <c r="AT2026" s="91"/>
      <c r="AU2026" s="91"/>
      <c r="AV2026" s="91"/>
    </row>
    <row r="2027" spans="25:49" hidden="1" x14ac:dyDescent="0.25">
      <c r="Y2027" s="91"/>
      <c r="Z2027" s="71" t="s">
        <v>1067</v>
      </c>
      <c r="AA2027" s="642" t="s">
        <v>1057</v>
      </c>
      <c r="AB2027" s="85">
        <v>2</v>
      </c>
      <c r="AC2027" s="91"/>
      <c r="AD2027" s="91"/>
      <c r="AE2027" s="91"/>
      <c r="AF2027" s="91"/>
      <c r="AG2027" s="91"/>
      <c r="AH2027" s="91"/>
      <c r="AI2027" s="91"/>
      <c r="AJ2027" s="91"/>
      <c r="AK2027" s="91"/>
      <c r="AL2027" s="91"/>
      <c r="AM2027" s="91"/>
      <c r="AN2027" s="91"/>
      <c r="AO2027" s="91"/>
      <c r="AP2027" s="91"/>
      <c r="AQ2027" s="91"/>
      <c r="AR2027" s="91"/>
      <c r="AS2027" s="91"/>
      <c r="AT2027" s="91"/>
      <c r="AU2027" s="91"/>
      <c r="AV2027" s="91"/>
    </row>
    <row r="2028" spans="25:49" hidden="1" x14ac:dyDescent="0.25">
      <c r="Y2028" s="91"/>
      <c r="Z2028" s="71" t="s">
        <v>1068</v>
      </c>
      <c r="AA2028" s="642" t="s">
        <v>1057</v>
      </c>
      <c r="AB2028" s="85">
        <v>2</v>
      </c>
      <c r="AC2028" s="643" t="s">
        <v>1069</v>
      </c>
      <c r="AD2028" s="645" t="e">
        <f>VLOOKUP(AD_tra01type,Z2018:AA2029,2,FALSE)</f>
        <v>#N/A</v>
      </c>
      <c r="AE2028" s="91"/>
      <c r="AF2028" s="91"/>
      <c r="AG2028" s="91"/>
      <c r="AH2028" s="91"/>
      <c r="AI2028" s="91"/>
      <c r="AJ2028" s="91"/>
      <c r="AK2028" s="91"/>
      <c r="AL2028" s="91"/>
      <c r="AM2028" s="79"/>
      <c r="AN2028" s="91"/>
      <c r="AO2028" s="91"/>
      <c r="AP2028" s="91"/>
      <c r="AQ2028" s="91"/>
      <c r="AR2028" s="91"/>
      <c r="AS2028" s="91"/>
      <c r="AT2028" s="91"/>
      <c r="AU2028" s="91"/>
      <c r="AV2028" s="91"/>
    </row>
    <row r="2029" spans="25:49" hidden="1" x14ac:dyDescent="0.25">
      <c r="Y2029" s="91"/>
      <c r="Z2029" s="71" t="s">
        <v>1070</v>
      </c>
      <c r="AA2029" s="81" t="s">
        <v>1058</v>
      </c>
      <c r="AB2029" s="85">
        <v>4</v>
      </c>
      <c r="AC2029" s="644" t="s">
        <v>923</v>
      </c>
      <c r="AD2029" s="645" t="e">
        <f>IF(AIS_Tra01_Type="Type 1",VLOOKUP(Tra01_03,AC2018:AD2023,2,TRUE),IF(AIS_Tra01_Type="Type 2",VLOOKUP(Tra01_03,AF2018:AG2026,2,TRUE),IF(AIS_Tra01_Type="Type 3",VLOOKUP(Tra01_03,AI2018:AJ2025,2,TRUE),IF(AIS_Tra01_Type="Type 4",VLOOKUP(Tra01_03,AL2018:AM2020,2,TRUE),IF(AIS_Tra01_Type="Type 5",VLOOKUP(Tra01_03,AO2018:AP2023,2,TRUE))))))</f>
        <v>#N/A</v>
      </c>
      <c r="AE2029" s="79"/>
      <c r="AF2029" s="79"/>
      <c r="AG2029" s="79"/>
      <c r="AH2029" s="79"/>
      <c r="AI2029" s="79"/>
      <c r="AJ2029" s="79"/>
      <c r="AK2029" s="79"/>
      <c r="AL2029" s="79"/>
      <c r="AM2029" s="91"/>
      <c r="AN2029" s="79"/>
      <c r="AO2029" s="79"/>
      <c r="AP2029" s="79"/>
      <c r="AQ2029" s="79"/>
      <c r="AR2029" s="79"/>
      <c r="AS2029" s="79"/>
      <c r="AT2029" s="79"/>
      <c r="AU2029" s="79"/>
      <c r="AV2029" s="79"/>
      <c r="AW2029" s="523"/>
    </row>
    <row r="2030" spans="25:49" hidden="1" x14ac:dyDescent="0.25">
      <c r="Y2030" s="91"/>
      <c r="Z2030" s="91"/>
      <c r="AA2030" s="91"/>
      <c r="AB2030" s="91"/>
      <c r="AC2030" s="644" t="s">
        <v>1052</v>
      </c>
      <c r="AD2030" s="646" t="e">
        <f>VLOOKUP(AD_tra01type,Z2018:AB2029,3,FALSE)</f>
        <v>#N/A</v>
      </c>
      <c r="AE2030" s="91"/>
      <c r="AF2030" s="91"/>
      <c r="AG2030" s="91"/>
      <c r="AH2030" s="91"/>
      <c r="AI2030" s="91"/>
      <c r="AJ2030" s="91"/>
      <c r="AK2030" s="91"/>
      <c r="AL2030" s="91"/>
      <c r="AM2030" s="91"/>
      <c r="AN2030" s="91"/>
      <c r="AO2030" s="91"/>
      <c r="AP2030" s="91"/>
      <c r="AQ2030" s="91"/>
      <c r="AR2030" s="91"/>
      <c r="AS2030" s="91"/>
      <c r="AT2030" s="91"/>
      <c r="AU2030" s="91"/>
      <c r="AV2030" s="91"/>
    </row>
    <row r="2031" spans="25:49" hidden="1" x14ac:dyDescent="0.25">
      <c r="Y2031" s="91"/>
      <c r="Z2031" s="81">
        <v>0</v>
      </c>
      <c r="AA2031" s="91"/>
      <c r="AB2031" s="91"/>
      <c r="AC2031" s="91"/>
      <c r="AD2031" s="91"/>
      <c r="AE2031" s="91"/>
      <c r="AF2031" s="91"/>
      <c r="AG2031" s="91"/>
      <c r="AH2031" s="91"/>
      <c r="AI2031" s="91"/>
      <c r="AJ2031" s="91"/>
      <c r="AK2031" s="91"/>
      <c r="AL2031" s="91"/>
      <c r="AM2031" s="91"/>
      <c r="AN2031" s="91"/>
      <c r="AO2031" s="91"/>
      <c r="AP2031" s="91"/>
      <c r="AQ2031" s="91"/>
      <c r="AR2031" s="91"/>
      <c r="AS2031" s="91"/>
      <c r="AT2031" s="91"/>
      <c r="AU2031" s="91"/>
      <c r="AV2031" s="91"/>
    </row>
    <row r="2032" spans="25:49" hidden="1" x14ac:dyDescent="0.25">
      <c r="Y2032" s="91"/>
      <c r="Z2032" s="81">
        <f>IF(Tra02_01=AIS_No,"",1)</f>
        <v>1</v>
      </c>
      <c r="AA2032" s="91"/>
      <c r="AB2032" s="91"/>
      <c r="AC2032" s="91"/>
      <c r="AD2032" s="91"/>
      <c r="AE2032" s="91"/>
      <c r="AF2032" s="91"/>
      <c r="AG2032" s="91"/>
      <c r="AH2032" s="91"/>
      <c r="AI2032" s="91"/>
      <c r="AJ2032" s="91"/>
      <c r="AK2032" s="91"/>
      <c r="AL2032" s="91"/>
      <c r="AM2032" s="91"/>
      <c r="AN2032" s="91"/>
      <c r="AO2032" s="91"/>
      <c r="AP2032" s="91"/>
      <c r="AQ2032" s="91"/>
      <c r="AR2032" s="91"/>
      <c r="AS2032" s="91"/>
      <c r="AT2032" s="91"/>
      <c r="AU2032" s="91"/>
      <c r="AV2032" s="91"/>
    </row>
    <row r="2033" spans="25:49" hidden="1" x14ac:dyDescent="0.25">
      <c r="Y2033" s="91"/>
      <c r="Z2033" s="81" t="str">
        <f>IF(Tra02_01=AIS_No,"",IF(OR(ADBT0=ADBT8,ADBT0=ADBT9),2,""))</f>
        <v/>
      </c>
      <c r="AA2033" s="91"/>
      <c r="AB2033" s="91"/>
      <c r="AC2033" s="91"/>
      <c r="AD2033" s="91"/>
      <c r="AE2033" s="91"/>
      <c r="AF2033" s="91"/>
      <c r="AG2033" s="91"/>
      <c r="AH2033" s="91"/>
      <c r="AI2033" s="91"/>
      <c r="AJ2033" s="91"/>
      <c r="AK2033" s="91"/>
      <c r="AL2033" s="91"/>
      <c r="AM2033" s="91"/>
      <c r="AN2033" s="91"/>
      <c r="AO2033" s="91"/>
      <c r="AP2033" s="91"/>
      <c r="AQ2033" s="91"/>
      <c r="AR2033" s="91"/>
      <c r="AS2033" s="91"/>
      <c r="AT2033" s="91"/>
      <c r="AU2033" s="91"/>
      <c r="AV2033" s="91"/>
    </row>
    <row r="2034" spans="25:49" hidden="1" x14ac:dyDescent="0.25">
      <c r="Y2034" s="91"/>
      <c r="Z2034" s="67"/>
      <c r="AA2034" s="91"/>
      <c r="AB2034" s="91"/>
      <c r="AC2034" s="91"/>
      <c r="AD2034" s="91"/>
      <c r="AE2034" s="91"/>
      <c r="AF2034" s="91"/>
      <c r="AG2034" s="91"/>
      <c r="AH2034" s="91"/>
      <c r="AI2034" s="91"/>
      <c r="AJ2034" s="91"/>
      <c r="AK2034" s="91"/>
      <c r="AL2034" s="91"/>
      <c r="AM2034" s="79"/>
      <c r="AN2034" s="91"/>
      <c r="AO2034" s="91"/>
      <c r="AP2034" s="91"/>
      <c r="AQ2034" s="91"/>
      <c r="AR2034" s="91"/>
      <c r="AS2034" s="91"/>
      <c r="AT2034" s="91"/>
      <c r="AU2034" s="91"/>
      <c r="AV2034" s="91"/>
    </row>
    <row r="2035" spans="25:49" hidden="1" x14ac:dyDescent="0.25">
      <c r="Y2035" s="91"/>
      <c r="Z2035" s="650" t="s">
        <v>1071</v>
      </c>
      <c r="AA2035" s="78"/>
      <c r="AB2035" s="78"/>
      <c r="AC2035" s="79"/>
      <c r="AD2035" s="79"/>
      <c r="AE2035" s="79"/>
      <c r="AF2035" s="79"/>
      <c r="AG2035" s="79"/>
      <c r="AH2035" s="79"/>
      <c r="AI2035" s="79"/>
      <c r="AJ2035" s="79"/>
      <c r="AK2035" s="79"/>
      <c r="AL2035" s="79"/>
      <c r="AM2035" s="91"/>
      <c r="AN2035" s="79"/>
      <c r="AO2035" s="79"/>
      <c r="AP2035" s="79"/>
      <c r="AQ2035" s="79"/>
      <c r="AR2035" s="79"/>
      <c r="AS2035" s="79"/>
      <c r="AT2035" s="79"/>
      <c r="AU2035" s="79"/>
      <c r="AV2035" s="79"/>
      <c r="AW2035" s="523"/>
    </row>
    <row r="2036" spans="25:49" hidden="1" x14ac:dyDescent="0.25">
      <c r="Y2036" s="91"/>
      <c r="Z2036" s="91"/>
      <c r="AA2036" s="91"/>
      <c r="AB2036" s="91"/>
      <c r="AC2036" s="91"/>
      <c r="AD2036" s="91"/>
      <c r="AE2036" s="91"/>
      <c r="AF2036" s="91"/>
      <c r="AG2036" s="91"/>
      <c r="AH2036" s="91"/>
      <c r="AI2036" s="91"/>
      <c r="AJ2036" s="91"/>
      <c r="AK2036" s="91"/>
      <c r="AL2036" s="91"/>
      <c r="AM2036" s="91"/>
      <c r="AN2036" s="91"/>
      <c r="AO2036" s="91"/>
      <c r="AP2036" s="91"/>
      <c r="AQ2036" s="91"/>
      <c r="AR2036" s="91"/>
      <c r="AS2036" s="91"/>
      <c r="AT2036" s="91"/>
      <c r="AU2036" s="91"/>
      <c r="AV2036" s="91"/>
    </row>
    <row r="2037" spans="25:49" hidden="1" x14ac:dyDescent="0.25">
      <c r="Y2037" s="91"/>
      <c r="Z2037" s="71" t="s">
        <v>488</v>
      </c>
      <c r="AA2037" s="91"/>
      <c r="AB2037" s="71" t="s">
        <v>488</v>
      </c>
      <c r="AC2037" s="91"/>
      <c r="AD2037" s="71" t="str">
        <f>IF(OR(Tra03_02=Tra03_option11,Tra03_02=Tra03_option16,Tra03_02=Tra03_option18),"","Please select")</f>
        <v>Please select</v>
      </c>
      <c r="AE2037" s="91"/>
      <c r="AF2037" s="91"/>
      <c r="AG2037" s="91" t="s">
        <v>1072</v>
      </c>
      <c r="AH2037" s="91"/>
      <c r="AI2037" s="91"/>
      <c r="AJ2037" s="91" t="s">
        <v>1073</v>
      </c>
      <c r="AK2037" s="91"/>
      <c r="AL2037" s="91"/>
      <c r="AM2037" s="91"/>
      <c r="AN2037" s="91"/>
      <c r="AO2037" s="91"/>
      <c r="AP2037" s="91"/>
      <c r="AQ2037" s="91"/>
      <c r="AR2037" s="91"/>
      <c r="AS2037" s="91"/>
      <c r="AT2037" s="91"/>
      <c r="AU2037" s="91"/>
      <c r="AV2037" s="91"/>
    </row>
    <row r="2038" spans="25:49" hidden="1" x14ac:dyDescent="0.25">
      <c r="Y2038" s="91"/>
      <c r="Z2038" s="90" t="s">
        <v>1074</v>
      </c>
      <c r="AA2038" s="91"/>
      <c r="AB2038" s="71" t="s">
        <v>1059</v>
      </c>
      <c r="AC2038" s="91"/>
      <c r="AD2038" s="71" t="str">
        <f>IF(OR(Tra03_02=Tra03_option11,Tra03_02=Tra03_option16,Tra03_02=Tra03_option18),"","Showers only")</f>
        <v>Showers only</v>
      </c>
      <c r="AE2038" s="91"/>
      <c r="AF2038" s="91"/>
      <c r="AG2038" s="648" t="s">
        <v>497</v>
      </c>
      <c r="AH2038" s="91"/>
      <c r="AI2038" s="91"/>
      <c r="AJ2038" s="648" t="s">
        <v>497</v>
      </c>
      <c r="AK2038" s="91"/>
      <c r="AL2038" s="91"/>
      <c r="AM2038" s="91"/>
      <c r="AN2038" s="91"/>
      <c r="AO2038" s="91"/>
      <c r="AP2038" s="91"/>
      <c r="AQ2038" s="91"/>
      <c r="AR2038" s="91"/>
      <c r="AS2038" s="91"/>
      <c r="AT2038" s="91"/>
      <c r="AU2038" s="91"/>
      <c r="AV2038" s="91"/>
    </row>
    <row r="2039" spans="25:49" hidden="1" x14ac:dyDescent="0.25">
      <c r="Y2039" s="91"/>
      <c r="Z2039" s="90" t="s">
        <v>1075</v>
      </c>
      <c r="AA2039" s="91"/>
      <c r="AB2039" s="71" t="s">
        <v>1060</v>
      </c>
      <c r="AC2039" s="91"/>
      <c r="AD2039" s="71" t="str">
        <f>IF(OR(Tra03_02=Tra03_option11,Tra03_02=Tra03_option16,Tra03_02=Tra03_option18),""," Showers and changing facilities")</f>
        <v xml:space="preserve"> Showers and changing facilities</v>
      </c>
      <c r="AE2039" s="91"/>
      <c r="AF2039" s="91"/>
      <c r="AG2039" s="648" t="s">
        <v>1076</v>
      </c>
      <c r="AH2039" s="91"/>
      <c r="AI2039" s="91"/>
      <c r="AJ2039" s="648" t="s">
        <v>1076</v>
      </c>
      <c r="AK2039" s="91"/>
      <c r="AL2039" s="91"/>
      <c r="AM2039" s="91"/>
      <c r="AN2039" s="91"/>
      <c r="AO2039" s="91"/>
      <c r="AP2039" s="91"/>
      <c r="AQ2039" s="91"/>
      <c r="AR2039" s="91"/>
      <c r="AS2039" s="91"/>
      <c r="AT2039" s="91"/>
      <c r="AU2039" s="91"/>
      <c r="AV2039" s="91"/>
    </row>
    <row r="2040" spans="25:49" hidden="1" x14ac:dyDescent="0.25">
      <c r="Y2040" s="91"/>
      <c r="Z2040" s="90" t="s">
        <v>1077</v>
      </c>
      <c r="AA2040" s="91"/>
      <c r="AB2040" s="71" t="s">
        <v>1061</v>
      </c>
      <c r="AC2040" s="91"/>
      <c r="AD2040" s="71" t="str">
        <f>IF(OR(Tra03_02=Tra03_option11,Tra03_02=Tra03_option16,Tra03_02=Tra03_option18),""," Showers and lockers")</f>
        <v xml:space="preserve"> Showers and lockers</v>
      </c>
      <c r="AE2040" s="91"/>
      <c r="AF2040" s="91">
        <f>IF(OR(Tra03_16=$AG$2039,Tra03_16=$AG$2040,Tra03_16=$AG$2041,Tra03_16=$AG$2042,Tra03_16=AG2044),2,IF(Tra03_16=Tra03_cycle,1,0))</f>
        <v>0</v>
      </c>
      <c r="AG2040" s="648" t="s">
        <v>1078</v>
      </c>
      <c r="AH2040" s="91"/>
      <c r="AI2040" s="91"/>
      <c r="AJ2040" s="648" t="s">
        <v>1078</v>
      </c>
      <c r="AK2040" s="91"/>
      <c r="AL2040" s="91"/>
      <c r="AM2040" s="91"/>
      <c r="AN2040" s="91"/>
      <c r="AO2040" s="91"/>
      <c r="AP2040" s="91"/>
      <c r="AQ2040" s="91"/>
      <c r="AR2040" s="91"/>
      <c r="AS2040" s="91"/>
      <c r="AT2040" s="91"/>
      <c r="AU2040" s="91"/>
      <c r="AV2040" s="91"/>
    </row>
    <row r="2041" spans="25:49" hidden="1" x14ac:dyDescent="0.25">
      <c r="Y2041" s="91"/>
      <c r="Z2041" s="90" t="s">
        <v>1079</v>
      </c>
      <c r="AA2041" s="91"/>
      <c r="AB2041" s="71" t="s">
        <v>1062</v>
      </c>
      <c r="AC2041" s="91"/>
      <c r="AD2041" s="71" t="str">
        <f>IF(OR(Tra03_02=Tra03_option11,Tra03_02=Tra03_option16,Tra03_02=Tra03_option18),"","Showers and drying space")</f>
        <v>Showers and drying space</v>
      </c>
      <c r="AE2041" s="91"/>
      <c r="AF2041" s="91"/>
      <c r="AG2041" s="648" t="s">
        <v>1080</v>
      </c>
      <c r="AH2041" s="91"/>
      <c r="AI2041" s="91"/>
      <c r="AJ2041" s="648" t="s">
        <v>1080</v>
      </c>
      <c r="AK2041" s="91"/>
      <c r="AL2041" s="91"/>
      <c r="AM2041" s="91"/>
      <c r="AN2041" s="91"/>
      <c r="AO2041" s="91"/>
      <c r="AP2041" s="91"/>
      <c r="AQ2041" s="91"/>
      <c r="AR2041" s="91"/>
      <c r="AS2041" s="91"/>
      <c r="AT2041" s="91"/>
      <c r="AU2041" s="91"/>
      <c r="AV2041" s="91"/>
    </row>
    <row r="2042" spans="25:49" hidden="1" x14ac:dyDescent="0.25">
      <c r="Y2042" s="91"/>
      <c r="Z2042" s="90" t="s">
        <v>1081</v>
      </c>
      <c r="AA2042" s="91"/>
      <c r="AB2042" s="71" t="s">
        <v>88</v>
      </c>
      <c r="AC2042" s="91"/>
      <c r="AD2042" s="71" t="str">
        <f>IF(OR(Tra03_02=Tra03_option11,Tra03_02=Tra03_option16,Tra03_02=Tra03_option18),"","Showers and changing facilities and lockers")</f>
        <v>Showers and changing facilities and lockers</v>
      </c>
      <c r="AE2042" s="91"/>
      <c r="AF2042" s="91"/>
      <c r="AG2042" s="648" t="s">
        <v>1082</v>
      </c>
      <c r="AH2042" s="91"/>
      <c r="AI2042" s="91"/>
      <c r="AJ2042" s="648" t="s">
        <v>1083</v>
      </c>
      <c r="AK2042" s="91"/>
      <c r="AL2042" s="91"/>
      <c r="AM2042" s="91"/>
      <c r="AN2042" s="91"/>
      <c r="AO2042" s="91"/>
      <c r="AP2042" s="91"/>
      <c r="AQ2042" s="91"/>
      <c r="AR2042" s="91"/>
      <c r="AS2042" s="91"/>
      <c r="AT2042" s="91"/>
      <c r="AU2042" s="91"/>
      <c r="AV2042" s="91"/>
    </row>
    <row r="2043" spans="25:49" hidden="1" x14ac:dyDescent="0.25">
      <c r="Y2043" s="91"/>
      <c r="Z2043" s="90"/>
      <c r="AA2043" s="91"/>
      <c r="AB2043" s="71" t="s">
        <v>1063</v>
      </c>
      <c r="AC2043" s="91"/>
      <c r="AD2043" s="71" t="str">
        <f>IF(OR(Tra03_02=Tra03_option11,Tra03_02=Tra03_option16,Tra03_02=Tra03_option18),"","Showers, changing facilities and drying space")</f>
        <v>Showers, changing facilities and drying space</v>
      </c>
      <c r="AE2043" s="91"/>
      <c r="AF2043" s="91"/>
      <c r="AG2043" s="648" t="s">
        <v>1084</v>
      </c>
      <c r="AH2043" s="91"/>
      <c r="AI2043" s="91"/>
      <c r="AJ2043" s="648" t="s">
        <v>1085</v>
      </c>
      <c r="AK2043" s="91"/>
      <c r="AL2043" s="91"/>
      <c r="AM2043" s="91"/>
      <c r="AN2043" s="91"/>
      <c r="AO2043" s="91"/>
      <c r="AP2043" s="91"/>
      <c r="AQ2043" s="91"/>
      <c r="AR2043" s="91"/>
      <c r="AS2043" s="91"/>
      <c r="AT2043" s="91"/>
      <c r="AU2043" s="91"/>
      <c r="AV2043" s="91"/>
    </row>
    <row r="2044" spans="25:49" hidden="1" x14ac:dyDescent="0.25">
      <c r="Y2044" s="91"/>
      <c r="Z2044" s="90" t="s">
        <v>88</v>
      </c>
      <c r="AA2044" s="91"/>
      <c r="AB2044" s="71" t="s">
        <v>1064</v>
      </c>
      <c r="AC2044" s="91"/>
      <c r="AD2044" s="71" t="str">
        <f>IF(OR(Tra03_02=Tra03_option11,Tra03_02=Tra03_option16,Tra03_02=Tra03_option18),"","Showers, lockers and drying space")</f>
        <v>Showers, lockers and drying space</v>
      </c>
      <c r="AE2044" s="91"/>
      <c r="AF2044" s="91"/>
      <c r="AG2044" s="649" t="s">
        <v>1086</v>
      </c>
      <c r="AH2044" s="91"/>
      <c r="AI2044" s="91"/>
      <c r="AJ2044" s="649" t="s">
        <v>1087</v>
      </c>
      <c r="AK2044" s="91"/>
      <c r="AL2044" s="91"/>
      <c r="AM2044" s="91"/>
      <c r="AN2044" s="91"/>
      <c r="AO2044" s="91"/>
      <c r="AP2044" s="91"/>
      <c r="AQ2044" s="91"/>
      <c r="AR2044" s="91"/>
      <c r="AS2044" s="91"/>
      <c r="AT2044" s="91"/>
      <c r="AU2044" s="91"/>
      <c r="AV2044" s="91"/>
    </row>
    <row r="2045" spans="25:49" hidden="1" x14ac:dyDescent="0.25">
      <c r="Y2045" s="91"/>
      <c r="Z2045" s="90"/>
      <c r="AA2045" s="91"/>
      <c r="AB2045" s="71" t="s">
        <v>1065</v>
      </c>
      <c r="AC2045" s="91"/>
      <c r="AD2045" s="71" t="str">
        <f>IF(OR(Tra03_02=Tra03_option11,Tra03_02=Tra03_option16,Tra03_02=Tra03_option18),"","Changing facilities only")</f>
        <v>Changing facilities only</v>
      </c>
      <c r="AE2045" s="91"/>
      <c r="AF2045" s="91"/>
      <c r="AG2045" s="91"/>
      <c r="AH2045" s="91"/>
      <c r="AI2045" s="91"/>
      <c r="AJ2045" s="91"/>
      <c r="AK2045" s="91"/>
      <c r="AL2045" s="91"/>
      <c r="AM2045" s="91"/>
      <c r="AN2045" s="91"/>
      <c r="AO2045" s="91"/>
      <c r="AP2045" s="91"/>
      <c r="AQ2045" s="91"/>
      <c r="AR2045" s="91"/>
      <c r="AS2045" s="91"/>
      <c r="AT2045" s="91"/>
      <c r="AU2045" s="91"/>
      <c r="AV2045" s="91"/>
    </row>
    <row r="2046" spans="25:49" hidden="1" x14ac:dyDescent="0.25">
      <c r="Y2046" s="91"/>
      <c r="Z2046" s="90"/>
      <c r="AA2046" s="91"/>
      <c r="AB2046" s="71" t="s">
        <v>1066</v>
      </c>
      <c r="AC2046" s="91"/>
      <c r="AD2046" s="71" t="str">
        <f>IF(OR(Tra03_02=Tra03_option11,Tra03_02=Tra03_option16,Tra03_02=Tra03_option18),"","Changing facilities and lockers")</f>
        <v>Changing facilities and lockers</v>
      </c>
      <c r="AE2046" s="91"/>
      <c r="AF2046" s="91"/>
      <c r="AG2046" s="91"/>
      <c r="AH2046" s="91"/>
      <c r="AI2046" s="91"/>
      <c r="AJ2046" s="91"/>
      <c r="AK2046" s="91"/>
      <c r="AL2046" s="91"/>
      <c r="AM2046" s="91"/>
      <c r="AN2046" s="91"/>
      <c r="AO2046" s="91"/>
      <c r="AP2046" s="91"/>
      <c r="AQ2046" s="91"/>
      <c r="AR2046" s="91"/>
      <c r="AS2046" s="91"/>
      <c r="AT2046" s="91"/>
      <c r="AU2046" s="91"/>
      <c r="AV2046" s="91"/>
    </row>
    <row r="2047" spans="25:49" hidden="1" x14ac:dyDescent="0.25">
      <c r="Y2047" s="91"/>
      <c r="Z2047" s="90"/>
      <c r="AA2047" s="91"/>
      <c r="AB2047" s="71" t="s">
        <v>1067</v>
      </c>
      <c r="AC2047" s="91"/>
      <c r="AD2047" s="71" t="str">
        <f>IF(OR(Tra03_02=Tra03_option11,Tra03_02=Tra03_option16,Tra03_02=Tra03_option18),"","Changing facilities and drying space")</f>
        <v>Changing facilities and drying space</v>
      </c>
      <c r="AE2047" s="91"/>
      <c r="AF2047" s="91"/>
      <c r="AG2047" s="91"/>
      <c r="AH2047" s="91"/>
      <c r="AI2047" s="91"/>
      <c r="AJ2047" s="91"/>
      <c r="AK2047" s="91"/>
      <c r="AL2047" s="91"/>
      <c r="AM2047" s="91"/>
      <c r="AN2047" s="91"/>
      <c r="AO2047" s="91"/>
      <c r="AP2047" s="91"/>
      <c r="AQ2047" s="91"/>
      <c r="AR2047" s="91"/>
      <c r="AS2047" s="91"/>
      <c r="AT2047" s="91"/>
      <c r="AU2047" s="91"/>
      <c r="AV2047" s="91"/>
    </row>
    <row r="2048" spans="25:49" hidden="1" x14ac:dyDescent="0.25">
      <c r="Y2048" s="91"/>
      <c r="Z2048" s="90" t="s">
        <v>1088</v>
      </c>
      <c r="AA2048" s="91"/>
      <c r="AB2048" s="71" t="s">
        <v>1068</v>
      </c>
      <c r="AC2048" s="91"/>
      <c r="AD2048" s="71" t="str">
        <f>IF(OR(Tra03_02=Tra03_option11,Tra03_02=Tra03_option16,Tra03_02=Tra03_option18),"","Changing facilities and lockers and drying space")</f>
        <v>Changing facilities and lockers and drying space</v>
      </c>
      <c r="AE2048" s="91"/>
      <c r="AF2048" s="91"/>
      <c r="AG2048" s="91"/>
      <c r="AH2048" s="91"/>
      <c r="AI2048" s="91"/>
      <c r="AJ2048" s="91"/>
      <c r="AK2048" s="91"/>
      <c r="AL2048" s="91"/>
      <c r="AM2048" s="91"/>
      <c r="AN2048" s="91"/>
      <c r="AO2048" s="91"/>
      <c r="AP2048" s="91"/>
      <c r="AQ2048" s="91"/>
      <c r="AR2048" s="91"/>
      <c r="AS2048" s="91"/>
      <c r="AT2048" s="91"/>
      <c r="AU2048" s="91"/>
      <c r="AV2048" s="91"/>
    </row>
    <row r="2049" spans="25:49" hidden="1" x14ac:dyDescent="0.25">
      <c r="Y2049" s="91"/>
      <c r="Z2049" s="90" t="s">
        <v>1089</v>
      </c>
      <c r="AA2049" s="91"/>
      <c r="AB2049" s="71" t="s">
        <v>1070</v>
      </c>
      <c r="AC2049" s="91"/>
      <c r="AD2049" s="71" t="str">
        <f>IF(OR(Tra03_02=Tra03_option11,Tra03_02=Tra03_option16,Tra03_02=Tra03_option18),"","Lockers only")</f>
        <v>Lockers only</v>
      </c>
      <c r="AE2049" s="91"/>
      <c r="AF2049" s="91"/>
      <c r="AG2049" s="91"/>
      <c r="AH2049" s="91"/>
      <c r="AI2049" s="91"/>
      <c r="AJ2049" s="91"/>
      <c r="AK2049" s="91"/>
      <c r="AL2049" s="91"/>
      <c r="AM2049" s="91"/>
      <c r="AN2049" s="91"/>
      <c r="AO2049" s="91"/>
      <c r="AP2049" s="91"/>
      <c r="AQ2049" s="91"/>
      <c r="AR2049" s="91"/>
      <c r="AS2049" s="91"/>
      <c r="AT2049" s="91"/>
      <c r="AU2049" s="91"/>
      <c r="AV2049" s="91"/>
    </row>
    <row r="2050" spans="25:49" hidden="1" x14ac:dyDescent="0.25">
      <c r="Y2050" s="91"/>
      <c r="Z2050" s="90" t="s">
        <v>1090</v>
      </c>
      <c r="AA2050" s="91"/>
      <c r="AB2050" s="91"/>
      <c r="AC2050" s="91"/>
      <c r="AD2050" s="71" t="str">
        <f>IF(OR(Tra03_02=Tra03_option11,Tra03_02=Tra03_option16,Tra03_02=Tra03_option18),"","Lockers and drying space")</f>
        <v>Lockers and drying space</v>
      </c>
      <c r="AE2050" s="91"/>
      <c r="AF2050" s="91"/>
      <c r="AG2050" s="91"/>
      <c r="AH2050" s="91"/>
      <c r="AI2050" s="91"/>
      <c r="AJ2050" s="91"/>
      <c r="AK2050" s="91"/>
      <c r="AL2050" s="91"/>
      <c r="AM2050" s="91"/>
      <c r="AN2050" s="91"/>
      <c r="AO2050" s="91"/>
      <c r="AP2050" s="91"/>
      <c r="AQ2050" s="91"/>
      <c r="AR2050" s="91"/>
      <c r="AS2050" s="91"/>
      <c r="AT2050" s="91"/>
      <c r="AU2050" s="91"/>
      <c r="AV2050" s="91"/>
    </row>
    <row r="2051" spans="25:49" hidden="1" x14ac:dyDescent="0.25">
      <c r="Y2051" s="91"/>
      <c r="Z2051" s="90" t="s">
        <v>1091</v>
      </c>
      <c r="AA2051" s="91"/>
      <c r="AB2051" s="91"/>
      <c r="AC2051" s="91"/>
      <c r="AD2051" s="71" t="str">
        <f>IF(OR(Tra03_02=Tra03_option11,Tra03_02=Tra03_option16,Tra03_02=Tra03_option18),"","Drying space")</f>
        <v>Drying space</v>
      </c>
      <c r="AE2051" s="91"/>
      <c r="AF2051" s="91"/>
      <c r="AG2051" s="91"/>
      <c r="AH2051" s="91"/>
      <c r="AI2051" s="91"/>
      <c r="AJ2051" s="91"/>
      <c r="AK2051" s="91"/>
      <c r="AL2051" s="91"/>
      <c r="AM2051" s="91"/>
      <c r="AN2051" s="91"/>
      <c r="AO2051" s="91"/>
      <c r="AP2051" s="91"/>
      <c r="AQ2051" s="91"/>
      <c r="AR2051" s="91"/>
      <c r="AS2051" s="91"/>
      <c r="AT2051" s="91"/>
      <c r="AU2051" s="91"/>
      <c r="AV2051" s="91"/>
    </row>
    <row r="2052" spans="25:49" hidden="1" x14ac:dyDescent="0.25">
      <c r="Y2052" s="91"/>
      <c r="Z2052" s="90" t="s">
        <v>1092</v>
      </c>
      <c r="AA2052" s="91"/>
      <c r="AB2052" s="91"/>
      <c r="AC2052" s="91"/>
      <c r="AD2052" s="91"/>
      <c r="AE2052" s="91"/>
      <c r="AF2052" s="91"/>
      <c r="AG2052" s="91"/>
      <c r="AH2052" s="91"/>
      <c r="AI2052" s="91"/>
      <c r="AJ2052" s="91"/>
      <c r="AK2052" s="91"/>
      <c r="AL2052" s="91"/>
      <c r="AM2052" s="91"/>
      <c r="AN2052" s="91"/>
      <c r="AO2052" s="91"/>
      <c r="AP2052" s="91"/>
      <c r="AQ2052" s="91"/>
      <c r="AR2052" s="91"/>
      <c r="AS2052" s="91"/>
      <c r="AT2052" s="91"/>
      <c r="AU2052" s="91"/>
      <c r="AV2052" s="91"/>
    </row>
    <row r="2053" spans="25:49" hidden="1" x14ac:dyDescent="0.25">
      <c r="Y2053" s="91"/>
      <c r="Z2053" s="90"/>
      <c r="AA2053" s="91"/>
      <c r="AB2053" s="91"/>
      <c r="AC2053" s="91"/>
      <c r="AD2053" s="91"/>
      <c r="AE2053" s="91"/>
      <c r="AF2053" s="91"/>
      <c r="AG2053" s="91"/>
      <c r="AH2053" s="91"/>
      <c r="AI2053" s="91"/>
      <c r="AJ2053" s="91"/>
      <c r="AK2053" s="91"/>
      <c r="AL2053" s="91"/>
      <c r="AM2053" s="91"/>
      <c r="AN2053" s="91"/>
      <c r="AO2053" s="91"/>
      <c r="AP2053" s="91"/>
      <c r="AQ2053" s="91"/>
      <c r="AR2053" s="91"/>
      <c r="AS2053" s="91"/>
      <c r="AT2053" s="91"/>
      <c r="AU2053" s="91"/>
      <c r="AV2053" s="91"/>
    </row>
    <row r="2054" spans="25:49" hidden="1" x14ac:dyDescent="0.25">
      <c r="Y2054" s="91"/>
      <c r="Z2054" s="90"/>
      <c r="AA2054" s="91"/>
      <c r="AB2054" s="91"/>
      <c r="AC2054" s="91"/>
      <c r="AD2054" s="91"/>
      <c r="AE2054" s="91"/>
      <c r="AF2054" s="91"/>
      <c r="AG2054" s="91"/>
      <c r="AH2054" s="91"/>
      <c r="AI2054" s="91"/>
      <c r="AJ2054" s="91"/>
      <c r="AK2054" s="91"/>
      <c r="AL2054" s="91"/>
      <c r="AM2054" s="91"/>
      <c r="AN2054" s="91"/>
      <c r="AO2054" s="91"/>
      <c r="AP2054" s="91"/>
      <c r="AQ2054" s="91"/>
      <c r="AR2054" s="91"/>
      <c r="AS2054" s="91"/>
      <c r="AT2054" s="91"/>
      <c r="AU2054" s="91"/>
      <c r="AV2054" s="91"/>
    </row>
    <row r="2055" spans="25:49" hidden="1" x14ac:dyDescent="0.25">
      <c r="Y2055" s="91"/>
      <c r="Z2055" s="90"/>
      <c r="AA2055" s="91"/>
      <c r="AB2055" s="91"/>
      <c r="AC2055" s="91"/>
      <c r="AD2055" s="91"/>
      <c r="AE2055" s="91"/>
      <c r="AF2055" s="91"/>
      <c r="AG2055" s="91"/>
      <c r="AH2055" s="91"/>
      <c r="AI2055" s="91"/>
      <c r="AJ2055" s="91"/>
      <c r="AK2055" s="91"/>
      <c r="AL2055" s="91"/>
      <c r="AM2055" s="91"/>
      <c r="AN2055" s="91"/>
      <c r="AO2055" s="91"/>
      <c r="AP2055" s="91"/>
      <c r="AQ2055" s="91"/>
      <c r="AR2055" s="91"/>
      <c r="AS2055" s="91"/>
      <c r="AT2055" s="91"/>
      <c r="AU2055" s="91"/>
      <c r="AV2055" s="91"/>
    </row>
    <row r="2056" spans="25:49" hidden="1" x14ac:dyDescent="0.25">
      <c r="Y2056" s="91"/>
      <c r="Z2056" s="91"/>
      <c r="AA2056" s="91"/>
      <c r="AB2056" s="91"/>
      <c r="AC2056" s="91"/>
      <c r="AD2056" s="91"/>
      <c r="AE2056" s="91"/>
      <c r="AF2056" s="91"/>
      <c r="AG2056" s="91"/>
      <c r="AH2056" s="91"/>
      <c r="AI2056" s="91"/>
      <c r="AJ2056" s="91"/>
      <c r="AK2056" s="91"/>
      <c r="AL2056" s="91"/>
      <c r="AM2056" s="91"/>
      <c r="AN2056" s="91"/>
      <c r="AO2056" s="91"/>
      <c r="AP2056" s="91"/>
      <c r="AQ2056" s="91"/>
      <c r="AR2056" s="91"/>
      <c r="AS2056" s="91"/>
      <c r="AT2056" s="91"/>
      <c r="AU2056" s="91"/>
      <c r="AV2056" s="91"/>
    </row>
    <row r="2057" spans="25:49" hidden="1" x14ac:dyDescent="0.25">
      <c r="Y2057" s="91"/>
      <c r="Z2057" s="91"/>
      <c r="AA2057" s="91"/>
      <c r="AB2057" s="91"/>
      <c r="AC2057" s="91"/>
      <c r="AD2057" s="91"/>
      <c r="AE2057" s="91"/>
      <c r="AF2057" s="91"/>
      <c r="AG2057" s="91"/>
      <c r="AH2057" s="91"/>
      <c r="AI2057" s="91"/>
      <c r="AJ2057" s="91"/>
      <c r="AK2057" s="91"/>
      <c r="AL2057" s="91"/>
      <c r="AM2057" s="79"/>
      <c r="AN2057" s="91"/>
      <c r="AO2057" s="91"/>
      <c r="AP2057" s="91"/>
      <c r="AQ2057" s="91"/>
      <c r="AR2057" s="91"/>
      <c r="AS2057" s="91"/>
      <c r="AT2057" s="91"/>
      <c r="AU2057" s="91"/>
      <c r="AV2057" s="91"/>
    </row>
    <row r="2058" spans="25:49" hidden="1" x14ac:dyDescent="0.25">
      <c r="Y2058" s="91"/>
      <c r="Z2058" s="650" t="s">
        <v>1093</v>
      </c>
      <c r="AA2058" s="78"/>
      <c r="AB2058" s="78"/>
      <c r="AC2058" s="79"/>
      <c r="AD2058" s="79"/>
      <c r="AE2058" s="79"/>
      <c r="AF2058" s="79"/>
      <c r="AG2058" s="79"/>
      <c r="AH2058" s="79"/>
      <c r="AI2058" s="79"/>
      <c r="AJ2058" s="79"/>
      <c r="AK2058" s="79"/>
      <c r="AL2058" s="79"/>
      <c r="AM2058" s="91"/>
      <c r="AN2058" s="79"/>
      <c r="AO2058" s="79"/>
      <c r="AP2058" s="79"/>
      <c r="AQ2058" s="79"/>
      <c r="AR2058" s="79"/>
      <c r="AS2058" s="79"/>
      <c r="AT2058" s="79"/>
      <c r="AU2058" s="79"/>
      <c r="AV2058" s="79"/>
      <c r="AW2058" s="523"/>
    </row>
    <row r="2059" spans="25:49" hidden="1" x14ac:dyDescent="0.25">
      <c r="Y2059" s="91"/>
      <c r="Z2059" s="91"/>
      <c r="AA2059" s="91"/>
      <c r="AB2059" s="91"/>
      <c r="AC2059" s="91"/>
      <c r="AD2059" s="91"/>
      <c r="AE2059" s="91"/>
      <c r="AF2059" s="91"/>
      <c r="AG2059" s="91"/>
      <c r="AH2059" s="91"/>
      <c r="AI2059" s="91"/>
      <c r="AJ2059" s="91"/>
      <c r="AK2059" s="91"/>
      <c r="AL2059" s="91"/>
      <c r="AM2059" s="91"/>
      <c r="AN2059" s="91"/>
      <c r="AO2059" s="91"/>
      <c r="AP2059" s="91"/>
      <c r="AQ2059" s="91"/>
      <c r="AR2059" s="91"/>
      <c r="AS2059" s="91"/>
      <c r="AT2059" s="91"/>
      <c r="AU2059" s="91"/>
      <c r="AV2059" s="91"/>
    </row>
    <row r="2060" spans="25:49" hidden="1" x14ac:dyDescent="0.25">
      <c r="Y2060" s="91"/>
      <c r="Z2060" s="71" t="s">
        <v>514</v>
      </c>
      <c r="AA2060" s="91"/>
      <c r="AB2060" s="91"/>
      <c r="AC2060" s="91"/>
      <c r="AD2060" s="71" t="s">
        <v>1094</v>
      </c>
      <c r="AE2060" s="91"/>
      <c r="AF2060" s="91"/>
      <c r="AG2060" s="81" t="s">
        <v>524</v>
      </c>
      <c r="AH2060" s="81">
        <v>0</v>
      </c>
      <c r="AI2060" s="67"/>
      <c r="AJ2060" s="67"/>
      <c r="AK2060" s="91"/>
      <c r="AL2060" s="91"/>
      <c r="AM2060" s="91"/>
      <c r="AN2060" s="91"/>
      <c r="AO2060" s="91"/>
      <c r="AP2060" s="91"/>
      <c r="AQ2060" s="91"/>
      <c r="AR2060" s="91"/>
      <c r="AS2060" s="91"/>
      <c r="AT2060" s="91"/>
      <c r="AU2060" s="91"/>
      <c r="AV2060" s="91"/>
    </row>
    <row r="2061" spans="25:49" hidden="1" x14ac:dyDescent="0.25">
      <c r="Y2061" s="91"/>
      <c r="Z2061" s="71" t="s">
        <v>1095</v>
      </c>
      <c r="AA2061" s="91"/>
      <c r="AB2061" s="91"/>
      <c r="AC2061" s="91"/>
      <c r="AD2061" s="71" t="s">
        <v>524</v>
      </c>
      <c r="AE2061" s="91"/>
      <c r="AF2061" s="91"/>
      <c r="AG2061" s="81" t="s">
        <v>1096</v>
      </c>
      <c r="AH2061" s="81">
        <v>1</v>
      </c>
      <c r="AI2061" s="67"/>
      <c r="AJ2061" s="67"/>
      <c r="AK2061" s="91"/>
      <c r="AL2061" s="91"/>
      <c r="AM2061" s="91"/>
      <c r="AN2061" s="91"/>
      <c r="AO2061" s="91"/>
      <c r="AP2061" s="91"/>
      <c r="AQ2061" s="91"/>
      <c r="AR2061" s="91"/>
      <c r="AS2061" s="91"/>
      <c r="AT2061" s="91"/>
      <c r="AU2061" s="91"/>
      <c r="AV2061" s="91"/>
    </row>
    <row r="2062" spans="25:49" hidden="1" x14ac:dyDescent="0.25">
      <c r="Y2062" s="91"/>
      <c r="Z2062" s="91"/>
      <c r="AA2062" s="91"/>
      <c r="AB2062" s="91"/>
      <c r="AC2062" s="91"/>
      <c r="AD2062" s="71" t="s">
        <v>1096</v>
      </c>
      <c r="AE2062" s="91"/>
      <c r="AF2062" s="91"/>
      <c r="AG2062" s="81" t="s">
        <v>1097</v>
      </c>
      <c r="AH2062" s="81">
        <v>2</v>
      </c>
      <c r="AI2062" s="67"/>
      <c r="AJ2062" s="67"/>
      <c r="AK2062" s="91"/>
      <c r="AL2062" s="91"/>
      <c r="AM2062" s="91"/>
      <c r="AN2062" s="91"/>
      <c r="AO2062" s="91"/>
      <c r="AP2062" s="91"/>
      <c r="AQ2062" s="91"/>
      <c r="AR2062" s="91"/>
      <c r="AS2062" s="91"/>
      <c r="AT2062" s="91"/>
      <c r="AU2062" s="91"/>
      <c r="AV2062" s="91"/>
    </row>
    <row r="2063" spans="25:49" hidden="1" x14ac:dyDescent="0.25">
      <c r="Y2063" s="91"/>
      <c r="Z2063" s="71" t="s">
        <v>1098</v>
      </c>
      <c r="AA2063" s="91"/>
      <c r="AB2063" s="91"/>
      <c r="AC2063" s="91"/>
      <c r="AD2063" s="71" t="s">
        <v>1097</v>
      </c>
      <c r="AE2063" s="91"/>
      <c r="AF2063" s="91"/>
      <c r="AG2063" s="81" t="s">
        <v>1099</v>
      </c>
      <c r="AH2063" s="81">
        <v>3</v>
      </c>
      <c r="AI2063" s="447">
        <v>0</v>
      </c>
      <c r="AJ2063" s="81">
        <v>0</v>
      </c>
      <c r="AK2063" s="91"/>
      <c r="AL2063" s="91"/>
      <c r="AM2063" s="91"/>
      <c r="AN2063" s="91"/>
      <c r="AO2063" s="91"/>
      <c r="AP2063" s="91"/>
      <c r="AQ2063" s="91"/>
      <c r="AR2063" s="91"/>
      <c r="AS2063" s="91"/>
      <c r="AT2063" s="91"/>
      <c r="AU2063" s="91"/>
      <c r="AV2063" s="91"/>
    </row>
    <row r="2064" spans="25:49" hidden="1" x14ac:dyDescent="0.25">
      <c r="Y2064" s="91"/>
      <c r="Z2064" s="91"/>
      <c r="AA2064" s="91"/>
      <c r="AB2064" s="91"/>
      <c r="AC2064" s="91"/>
      <c r="AD2064" s="71" t="s">
        <v>1099</v>
      </c>
      <c r="AE2064" s="91"/>
      <c r="AF2064" s="91"/>
      <c r="AG2064" s="81" t="s">
        <v>1100</v>
      </c>
      <c r="AH2064" s="81">
        <v>3</v>
      </c>
      <c r="AI2064" s="447">
        <v>0.5</v>
      </c>
      <c r="AJ2064" s="81">
        <v>1</v>
      </c>
      <c r="AK2064" s="91"/>
      <c r="AL2064" s="91"/>
      <c r="AM2064" s="91"/>
      <c r="AN2064" s="91"/>
      <c r="AO2064" s="91"/>
      <c r="AP2064" s="91"/>
      <c r="AQ2064" s="91"/>
      <c r="AR2064" s="91"/>
      <c r="AS2064" s="91"/>
      <c r="AT2064" s="91"/>
      <c r="AU2064" s="91"/>
      <c r="AV2064" s="91"/>
    </row>
    <row r="2065" spans="25:49" hidden="1" x14ac:dyDescent="0.25">
      <c r="Y2065" s="91"/>
      <c r="Z2065" s="71" t="s">
        <v>1101</v>
      </c>
      <c r="AA2065" s="91"/>
      <c r="AB2065" s="91"/>
      <c r="AC2065" s="91"/>
      <c r="AD2065" s="71" t="s">
        <v>1100</v>
      </c>
      <c r="AE2065" s="91"/>
      <c r="AF2065" s="91"/>
      <c r="AG2065" s="81" t="s">
        <v>1102</v>
      </c>
      <c r="AH2065" s="81">
        <v>4</v>
      </c>
      <c r="AI2065" s="447">
        <v>0.75</v>
      </c>
      <c r="AJ2065" s="81">
        <v>2</v>
      </c>
      <c r="AK2065" s="91"/>
      <c r="AL2065" s="91"/>
      <c r="AM2065" s="91"/>
      <c r="AN2065" s="91"/>
      <c r="AO2065" s="91"/>
      <c r="AP2065" s="91"/>
      <c r="AQ2065" s="91"/>
      <c r="AR2065" s="91"/>
      <c r="AS2065" s="91"/>
      <c r="AT2065" s="91"/>
      <c r="AU2065" s="91"/>
      <c r="AV2065" s="91"/>
    </row>
    <row r="2066" spans="25:49" hidden="1" x14ac:dyDescent="0.25">
      <c r="Y2066" s="91"/>
      <c r="Z2066" s="71" t="s">
        <v>1103</v>
      </c>
      <c r="AA2066" s="91"/>
      <c r="AB2066" s="91"/>
      <c r="AC2066" s="91"/>
      <c r="AD2066" s="71" t="s">
        <v>1102</v>
      </c>
      <c r="AE2066" s="91"/>
      <c r="AF2066" s="91"/>
      <c r="AG2066" s="67" t="s">
        <v>1104</v>
      </c>
      <c r="AH2066" s="85" t="b">
        <f>IF(Wat01_01=AIS_option10,(VLOOKUP(Wat01_10,Wat01_Alt_bench,2,FALSE)+(VLOOKUP(Wat01_11,Wat01_Alt_bench01,2,TRUE))))</f>
        <v>0</v>
      </c>
      <c r="AI2066" s="447">
        <v>0.95</v>
      </c>
      <c r="AJ2066" s="81">
        <v>1</v>
      </c>
      <c r="AK2066" s="91"/>
      <c r="AL2066" s="91"/>
      <c r="AM2066" s="91"/>
      <c r="AN2066" s="91"/>
      <c r="AO2066" s="91"/>
      <c r="AP2066" s="91"/>
      <c r="AQ2066" s="91"/>
      <c r="AR2066" s="91"/>
      <c r="AS2066" s="91"/>
      <c r="AT2066" s="91"/>
      <c r="AU2066" s="91"/>
      <c r="AV2066" s="91"/>
    </row>
    <row r="2067" spans="25:49" hidden="1" x14ac:dyDescent="0.25">
      <c r="Y2067" s="91"/>
      <c r="Z2067" s="91"/>
      <c r="AA2067" s="91"/>
      <c r="AB2067" s="91"/>
      <c r="AC2067" s="91"/>
      <c r="AD2067" s="91"/>
      <c r="AE2067" s="91"/>
      <c r="AF2067" s="91"/>
      <c r="AG2067" s="67"/>
      <c r="AH2067" s="67"/>
      <c r="AI2067" s="67"/>
      <c r="AJ2067" s="67"/>
      <c r="AK2067" s="91"/>
      <c r="AL2067" s="91"/>
      <c r="AM2067" s="91"/>
      <c r="AN2067" s="91"/>
      <c r="AO2067" s="91"/>
      <c r="AP2067" s="91"/>
      <c r="AQ2067" s="91"/>
      <c r="AR2067" s="91"/>
      <c r="AS2067" s="91"/>
      <c r="AT2067" s="91"/>
      <c r="AU2067" s="91"/>
      <c r="AV2067" s="91"/>
    </row>
    <row r="2068" spans="25:49" hidden="1" x14ac:dyDescent="0.25">
      <c r="Y2068" s="91"/>
      <c r="Z2068" s="91"/>
      <c r="AA2068" s="91"/>
      <c r="AB2068" s="91"/>
      <c r="AC2068" s="91"/>
      <c r="AD2068" s="91"/>
      <c r="AE2068" s="91"/>
      <c r="AF2068" s="91"/>
      <c r="AG2068" s="67" t="s">
        <v>1105</v>
      </c>
      <c r="AH2068" s="81" t="b">
        <f>IF(Wat01_Alt_subtotal=6,5,Wat01_Alt_subtotal)</f>
        <v>0</v>
      </c>
      <c r="AI2068" s="67"/>
      <c r="AJ2068" s="67"/>
      <c r="AK2068" s="91"/>
      <c r="AL2068" s="91"/>
      <c r="AM2068" s="91"/>
      <c r="AN2068" s="91"/>
      <c r="AO2068" s="91"/>
      <c r="AP2068" s="91"/>
      <c r="AQ2068" s="91"/>
      <c r="AR2068" s="91"/>
      <c r="AS2068" s="91"/>
      <c r="AT2068" s="91"/>
      <c r="AU2068" s="91"/>
      <c r="AV2068" s="91"/>
    </row>
    <row r="2069" spans="25:49" hidden="1" x14ac:dyDescent="0.25">
      <c r="Y2069" s="91"/>
      <c r="Z2069" s="447">
        <v>0</v>
      </c>
      <c r="AA2069" s="81">
        <v>0</v>
      </c>
      <c r="AB2069" s="91"/>
      <c r="AC2069" s="91"/>
      <c r="AD2069" s="91"/>
      <c r="AE2069" s="91"/>
      <c r="AF2069" s="91"/>
      <c r="AG2069" s="67"/>
      <c r="AH2069" s="67"/>
      <c r="AI2069" s="67"/>
      <c r="AJ2069" s="67"/>
      <c r="AK2069" s="91"/>
      <c r="AL2069" s="91"/>
      <c r="AM2069" s="91"/>
      <c r="AN2069" s="91"/>
      <c r="AO2069" s="91"/>
      <c r="AP2069" s="91"/>
      <c r="AQ2069" s="91"/>
      <c r="AR2069" s="91"/>
      <c r="AS2069" s="91"/>
      <c r="AT2069" s="91"/>
      <c r="AU2069" s="91"/>
      <c r="AV2069" s="91"/>
    </row>
    <row r="2070" spans="25:49" hidden="1" x14ac:dyDescent="0.25">
      <c r="Y2070" s="91"/>
      <c r="Z2070" s="92">
        <v>0.125</v>
      </c>
      <c r="AA2070" s="89">
        <v>1</v>
      </c>
      <c r="AB2070" s="91"/>
      <c r="AC2070" s="91"/>
      <c r="AD2070" s="91"/>
      <c r="AE2070" s="91"/>
      <c r="AF2070" s="91"/>
      <c r="AG2070" s="91"/>
      <c r="AH2070" s="91"/>
      <c r="AI2070" s="91"/>
      <c r="AJ2070" s="91"/>
      <c r="AK2070" s="91"/>
      <c r="AL2070" s="91"/>
      <c r="AM2070" s="91"/>
      <c r="AN2070" s="91"/>
      <c r="AO2070" s="91"/>
      <c r="AP2070" s="91"/>
      <c r="AQ2070" s="91"/>
      <c r="AR2070" s="91"/>
      <c r="AS2070" s="91"/>
      <c r="AT2070" s="91"/>
      <c r="AU2070" s="91"/>
      <c r="AV2070" s="91"/>
    </row>
    <row r="2071" spans="25:49" hidden="1" x14ac:dyDescent="0.25">
      <c r="Y2071" s="91"/>
      <c r="Z2071" s="92">
        <v>0.25</v>
      </c>
      <c r="AA2071" s="89">
        <v>2</v>
      </c>
      <c r="AB2071" s="91"/>
      <c r="AC2071" s="91"/>
      <c r="AD2071" s="91"/>
      <c r="AE2071" s="91"/>
      <c r="AF2071" s="91"/>
      <c r="AG2071" s="91"/>
      <c r="AH2071" s="91"/>
      <c r="AI2071" s="91"/>
      <c r="AJ2071" s="91"/>
      <c r="AK2071" s="91"/>
      <c r="AL2071" s="91"/>
      <c r="AM2071" s="91"/>
      <c r="AN2071" s="91"/>
      <c r="AO2071" s="91"/>
      <c r="AP2071" s="91"/>
      <c r="AQ2071" s="91"/>
      <c r="AR2071" s="91"/>
      <c r="AS2071" s="91"/>
      <c r="AT2071" s="91"/>
      <c r="AU2071" s="91"/>
      <c r="AV2071" s="91"/>
    </row>
    <row r="2072" spans="25:49" hidden="1" x14ac:dyDescent="0.25">
      <c r="Y2072" s="91"/>
      <c r="Z2072" s="92">
        <v>0.4</v>
      </c>
      <c r="AA2072" s="89">
        <v>3</v>
      </c>
      <c r="AB2072" s="91"/>
      <c r="AC2072" s="91"/>
      <c r="AD2072" s="162" t="s">
        <v>525</v>
      </c>
      <c r="AE2072" s="91"/>
      <c r="AF2072" s="91"/>
      <c r="AG2072" s="91"/>
      <c r="AH2072" s="91"/>
      <c r="AI2072" s="91"/>
      <c r="AJ2072" s="91"/>
      <c r="AK2072" s="91"/>
      <c r="AL2072" s="91"/>
      <c r="AM2072" s="91"/>
      <c r="AN2072" s="91"/>
      <c r="AO2072" s="91"/>
      <c r="AP2072" s="91"/>
      <c r="AQ2072" s="91"/>
      <c r="AR2072" s="91"/>
      <c r="AS2072" s="91"/>
      <c r="AT2072" s="91"/>
      <c r="AU2072" s="91"/>
      <c r="AV2072" s="91"/>
    </row>
    <row r="2073" spans="25:49" hidden="1" x14ac:dyDescent="0.25">
      <c r="Y2073" s="91"/>
      <c r="Z2073" s="92">
        <v>0.5</v>
      </c>
      <c r="AA2073" s="89">
        <v>4</v>
      </c>
      <c r="AB2073" s="91"/>
      <c r="AC2073" s="91"/>
      <c r="AD2073" s="162" t="s">
        <v>1106</v>
      </c>
      <c r="AE2073" s="91"/>
      <c r="AF2073" s="91"/>
      <c r="AG2073" s="91"/>
      <c r="AH2073" s="91"/>
      <c r="AI2073" s="91"/>
      <c r="AJ2073" s="91"/>
      <c r="AK2073" s="91"/>
      <c r="AL2073" s="91"/>
      <c r="AM2073" s="91"/>
      <c r="AN2073" s="91"/>
      <c r="AO2073" s="91"/>
      <c r="AP2073" s="91"/>
      <c r="AQ2073" s="91"/>
      <c r="AR2073" s="91"/>
      <c r="AS2073" s="91"/>
      <c r="AT2073" s="91"/>
      <c r="AU2073" s="91"/>
      <c r="AV2073" s="91"/>
    </row>
    <row r="2074" spans="25:49" hidden="1" x14ac:dyDescent="0.25">
      <c r="Y2074" s="91"/>
      <c r="Z2074" s="92">
        <v>0.55000000000000004</v>
      </c>
      <c r="AA2074" s="89">
        <v>5</v>
      </c>
      <c r="AB2074" s="91"/>
      <c r="AC2074" s="91"/>
      <c r="AD2074" s="162" t="s">
        <v>1107</v>
      </c>
      <c r="AE2074" s="91"/>
      <c r="AF2074" s="91"/>
      <c r="AG2074" s="91"/>
      <c r="AH2074" s="91"/>
      <c r="AI2074" s="91"/>
      <c r="AJ2074" s="91"/>
      <c r="AK2074" s="91"/>
      <c r="AL2074" s="91"/>
      <c r="AM2074" s="91"/>
      <c r="AN2074" s="91"/>
      <c r="AO2074" s="91"/>
      <c r="AP2074" s="91"/>
      <c r="AQ2074" s="91"/>
      <c r="AR2074" s="91"/>
      <c r="AS2074" s="91"/>
      <c r="AT2074" s="91"/>
      <c r="AU2074" s="91"/>
      <c r="AV2074" s="91"/>
    </row>
    <row r="2075" spans="25:49" hidden="1" x14ac:dyDescent="0.25">
      <c r="Y2075" s="91"/>
      <c r="Z2075" s="91"/>
      <c r="AA2075" s="91"/>
      <c r="AB2075" s="91"/>
      <c r="AC2075" s="91"/>
      <c r="AD2075" s="162" t="s">
        <v>1108</v>
      </c>
      <c r="AE2075" s="91"/>
      <c r="AF2075" s="91"/>
      <c r="AG2075" s="91"/>
      <c r="AH2075" s="91"/>
      <c r="AI2075" s="91"/>
      <c r="AJ2075" s="91"/>
      <c r="AK2075" s="91"/>
      <c r="AL2075" s="91"/>
      <c r="AM2075" s="91"/>
      <c r="AN2075" s="91"/>
      <c r="AO2075" s="91"/>
      <c r="AP2075" s="91"/>
      <c r="AQ2075" s="91"/>
      <c r="AR2075" s="91"/>
      <c r="AS2075" s="91"/>
      <c r="AT2075" s="91"/>
      <c r="AU2075" s="91"/>
      <c r="AV2075" s="91"/>
    </row>
    <row r="2076" spans="25:49" hidden="1" x14ac:dyDescent="0.25">
      <c r="Y2076" s="91"/>
      <c r="Z2076" s="447">
        <v>0</v>
      </c>
      <c r="AA2076" s="81">
        <v>0</v>
      </c>
      <c r="AB2076" s="91"/>
      <c r="AC2076" s="91"/>
      <c r="AD2076" s="91"/>
      <c r="AE2076" s="91"/>
      <c r="AF2076" s="91"/>
      <c r="AG2076" s="91"/>
      <c r="AH2076" s="91"/>
      <c r="AI2076" s="91"/>
      <c r="AJ2076" s="91"/>
      <c r="AK2076" s="91"/>
      <c r="AL2076" s="91"/>
      <c r="AM2076" s="91"/>
      <c r="AN2076" s="91"/>
      <c r="AO2076" s="91"/>
      <c r="AP2076" s="91"/>
      <c r="AQ2076" s="91"/>
      <c r="AR2076" s="91"/>
      <c r="AS2076" s="91"/>
      <c r="AT2076" s="91"/>
      <c r="AU2076" s="91"/>
      <c r="AV2076" s="91"/>
    </row>
    <row r="2077" spans="25:49" hidden="1" x14ac:dyDescent="0.25">
      <c r="Y2077" s="91"/>
      <c r="Z2077" s="92">
        <v>0.65</v>
      </c>
      <c r="AA2077" s="89">
        <v>1</v>
      </c>
      <c r="AB2077" s="91"/>
      <c r="AC2077" s="91"/>
      <c r="AD2077" s="91"/>
      <c r="AE2077" s="91"/>
      <c r="AF2077" s="91"/>
      <c r="AG2077" s="91"/>
      <c r="AH2077" s="91"/>
      <c r="AI2077" s="91"/>
      <c r="AJ2077" s="91"/>
      <c r="AK2077" s="91"/>
      <c r="AL2077" s="91"/>
      <c r="AM2077" s="91"/>
      <c r="AN2077" s="91"/>
      <c r="AO2077" s="91"/>
      <c r="AP2077" s="91"/>
      <c r="AQ2077" s="91"/>
      <c r="AR2077" s="91"/>
      <c r="AS2077" s="91"/>
      <c r="AT2077" s="91"/>
      <c r="AU2077" s="91"/>
      <c r="AV2077" s="91"/>
    </row>
    <row r="2078" spans="25:49" hidden="1" x14ac:dyDescent="0.25">
      <c r="Y2078" s="91"/>
      <c r="Z2078" s="91"/>
      <c r="AA2078" s="91"/>
      <c r="AB2078" s="91"/>
      <c r="AC2078" s="91"/>
      <c r="AD2078" s="91"/>
      <c r="AE2078" s="91"/>
      <c r="AF2078" s="91"/>
      <c r="AG2078" s="91"/>
      <c r="AH2078" s="91"/>
      <c r="AI2078" s="91"/>
      <c r="AJ2078" s="91"/>
      <c r="AK2078" s="91"/>
      <c r="AL2078" s="91"/>
      <c r="AM2078" s="79"/>
      <c r="AN2078" s="91"/>
      <c r="AO2078" s="91"/>
      <c r="AP2078" s="91"/>
      <c r="AQ2078" s="91"/>
      <c r="AR2078" s="91"/>
      <c r="AS2078" s="91"/>
      <c r="AT2078" s="91"/>
      <c r="AU2078" s="91"/>
      <c r="AV2078" s="91"/>
    </row>
    <row r="2079" spans="25:49" hidden="1" x14ac:dyDescent="0.25">
      <c r="Y2079" s="91"/>
      <c r="Z2079" s="650" t="s">
        <v>1109</v>
      </c>
      <c r="AA2079" s="78"/>
      <c r="AB2079" s="78"/>
      <c r="AC2079" s="79"/>
      <c r="AD2079" s="79"/>
      <c r="AE2079" s="79"/>
      <c r="AF2079" s="79"/>
      <c r="AG2079" s="79"/>
      <c r="AH2079" s="79"/>
      <c r="AI2079" s="79"/>
      <c r="AJ2079" s="79"/>
      <c r="AK2079" s="79"/>
      <c r="AL2079" s="79"/>
      <c r="AM2079" s="91"/>
      <c r="AN2079" s="79"/>
      <c r="AO2079" s="79"/>
      <c r="AP2079" s="79"/>
      <c r="AQ2079" s="79"/>
      <c r="AR2079" s="79"/>
      <c r="AS2079" s="79"/>
      <c r="AT2079" s="79"/>
      <c r="AU2079" s="79"/>
      <c r="AV2079" s="79"/>
      <c r="AW2079" s="523"/>
    </row>
    <row r="2080" spans="25:49" hidden="1" x14ac:dyDescent="0.25">
      <c r="Y2080" s="91"/>
      <c r="Z2080" s="91"/>
      <c r="AA2080" s="91"/>
      <c r="AB2080" s="91"/>
      <c r="AC2080" s="91"/>
      <c r="AD2080" s="91"/>
      <c r="AE2080" s="91"/>
      <c r="AF2080" s="91"/>
      <c r="AG2080" s="91"/>
      <c r="AH2080" s="91"/>
      <c r="AI2080" s="91"/>
      <c r="AJ2080" s="91"/>
      <c r="AK2080" s="91"/>
      <c r="AL2080" s="91"/>
      <c r="AM2080" s="91"/>
      <c r="AN2080" s="91"/>
      <c r="AO2080" s="91"/>
      <c r="AP2080" s="91"/>
      <c r="AQ2080" s="91"/>
      <c r="AR2080" s="91"/>
      <c r="AS2080" s="91"/>
      <c r="AT2080" s="91"/>
      <c r="AU2080" s="91"/>
      <c r="AV2080" s="91"/>
    </row>
    <row r="2081" spans="25:49" hidden="1" x14ac:dyDescent="0.25">
      <c r="Y2081" s="91"/>
      <c r="Z2081" s="81" t="str">
        <f>IF(OR(Mat01_09="",Mat01_15="",Mat01_21=""),AIS_No,AIS_Yes)</f>
        <v>No</v>
      </c>
      <c r="AA2081" s="91"/>
      <c r="AB2081" s="71" t="s">
        <v>1110</v>
      </c>
      <c r="AC2081" s="71" t="s">
        <v>386</v>
      </c>
      <c r="AD2081" s="91"/>
      <c r="AE2081" s="91"/>
      <c r="AF2081" s="91"/>
      <c r="AG2081" s="91"/>
      <c r="AH2081" s="91"/>
      <c r="AI2081" s="91"/>
      <c r="AJ2081" s="91"/>
      <c r="AK2081" s="91"/>
      <c r="AL2081" s="91"/>
      <c r="AM2081" s="91"/>
      <c r="AN2081" s="91"/>
      <c r="AO2081" s="91"/>
      <c r="AP2081" s="91"/>
      <c r="AQ2081" s="91"/>
      <c r="AR2081" s="91"/>
      <c r="AS2081" s="91"/>
      <c r="AT2081" s="91"/>
      <c r="AU2081" s="91"/>
      <c r="AV2081" s="91"/>
    </row>
    <row r="2082" spans="25:49" hidden="1" x14ac:dyDescent="0.25">
      <c r="Y2082" s="91"/>
      <c r="Z2082" s="81" t="str">
        <f>IF(OR(Mat01_10="",Mat01_16="",Mat01_22=""),AIS_No,AIS_Yes)</f>
        <v>No</v>
      </c>
      <c r="AA2082" s="91"/>
      <c r="AB2082" s="71" t="s">
        <v>83</v>
      </c>
      <c r="AC2082" s="81">
        <v>6</v>
      </c>
      <c r="AD2082" s="91"/>
      <c r="AE2082" s="91"/>
      <c r="AF2082" s="91"/>
      <c r="AG2082" s="91"/>
      <c r="AH2082" s="91"/>
      <c r="AI2082" s="91"/>
      <c r="AJ2082" s="91"/>
      <c r="AK2082" s="91"/>
      <c r="AL2082" s="91"/>
      <c r="AM2082" s="91"/>
      <c r="AN2082" s="91"/>
      <c r="AO2082" s="91"/>
      <c r="AP2082" s="91"/>
      <c r="AQ2082" s="91"/>
      <c r="AR2082" s="91"/>
      <c r="AS2082" s="91"/>
      <c r="AT2082" s="91"/>
      <c r="AU2082" s="91"/>
      <c r="AV2082" s="91"/>
    </row>
    <row r="2083" spans="25:49" hidden="1" x14ac:dyDescent="0.25">
      <c r="Y2083" s="91"/>
      <c r="Z2083" s="81" t="str">
        <f>IF(OR(Mat01_11="",Mat01_17="",Mat01_23=""),AIS_No,AIS_Yes)</f>
        <v>No</v>
      </c>
      <c r="AA2083" s="91"/>
      <c r="AB2083" s="71" t="s">
        <v>88</v>
      </c>
      <c r="AC2083" s="81">
        <v>6</v>
      </c>
      <c r="AD2083" s="91"/>
      <c r="AE2083" s="91"/>
      <c r="AF2083" s="91"/>
      <c r="AG2083" s="91"/>
      <c r="AH2083" s="91"/>
      <c r="AI2083" s="91"/>
      <c r="AJ2083" s="91"/>
      <c r="AK2083" s="91"/>
      <c r="AL2083" s="91"/>
      <c r="AM2083" s="91"/>
      <c r="AN2083" s="91"/>
      <c r="AO2083" s="91"/>
      <c r="AP2083" s="91"/>
      <c r="AQ2083" s="91"/>
      <c r="AR2083" s="91"/>
      <c r="AS2083" s="91"/>
      <c r="AT2083" s="91"/>
      <c r="AU2083" s="91"/>
      <c r="AV2083" s="91"/>
    </row>
    <row r="2084" spans="25:49" hidden="1" x14ac:dyDescent="0.25">
      <c r="Y2084" s="91"/>
      <c r="Z2084" s="81" t="str">
        <f>IF(OR(Mat01_12="",Mat01_18="",Mat01_24=""),AIS_No,AIS_Yes)</f>
        <v>No</v>
      </c>
      <c r="AA2084" s="91"/>
      <c r="AB2084" s="71" t="s">
        <v>86</v>
      </c>
      <c r="AC2084" s="81">
        <v>3</v>
      </c>
      <c r="AD2084" s="91"/>
      <c r="AE2084" s="91"/>
      <c r="AF2084" s="91"/>
      <c r="AG2084" s="91"/>
      <c r="AH2084" s="91"/>
      <c r="AI2084" s="91"/>
      <c r="AJ2084" s="91"/>
      <c r="AK2084" s="91"/>
      <c r="AL2084" s="91"/>
      <c r="AM2084" s="91"/>
      <c r="AN2084" s="91"/>
      <c r="AO2084" s="91"/>
      <c r="AP2084" s="91"/>
      <c r="AQ2084" s="91"/>
      <c r="AR2084" s="91"/>
      <c r="AS2084" s="91"/>
      <c r="AT2084" s="91"/>
      <c r="AU2084" s="91"/>
      <c r="AV2084" s="91"/>
    </row>
    <row r="2085" spans="25:49" hidden="1" x14ac:dyDescent="0.25">
      <c r="Y2085" s="91"/>
      <c r="Z2085" s="81" t="str">
        <f>IF(OR(Mat01_13="",Mat01_19="",Mat01_25=""),AIS_No,AIS_Yes)</f>
        <v>No</v>
      </c>
      <c r="AA2085" s="91"/>
      <c r="AB2085" s="71" t="s">
        <v>91</v>
      </c>
      <c r="AC2085" s="81">
        <v>6</v>
      </c>
      <c r="AD2085" s="91"/>
      <c r="AE2085" s="91"/>
      <c r="AF2085" s="91"/>
      <c r="AG2085" s="91"/>
      <c r="AH2085" s="91"/>
      <c r="AI2085" s="91"/>
      <c r="AJ2085" s="91"/>
      <c r="AK2085" s="91"/>
      <c r="AL2085" s="91"/>
      <c r="AM2085" s="91"/>
      <c r="AN2085" s="91"/>
      <c r="AO2085" s="91"/>
      <c r="AP2085" s="91"/>
      <c r="AQ2085" s="91"/>
      <c r="AR2085" s="91"/>
      <c r="AS2085" s="91"/>
      <c r="AT2085" s="91"/>
      <c r="AU2085" s="91"/>
      <c r="AV2085" s="91"/>
    </row>
    <row r="2086" spans="25:49" hidden="1" x14ac:dyDescent="0.25">
      <c r="Y2086" s="91"/>
      <c r="Z2086" s="81" t="str">
        <f>IF(OR(Mat01_14="",Mat01_20="",Mat01_26=""),AIS_No,AIS_Yes)</f>
        <v>No</v>
      </c>
      <c r="AA2086" s="91"/>
      <c r="AB2086" s="71" t="s">
        <v>97</v>
      </c>
      <c r="AC2086" s="81">
        <v>6</v>
      </c>
      <c r="AD2086" s="91"/>
      <c r="AE2086" s="91"/>
      <c r="AF2086" s="91"/>
      <c r="AG2086" s="91"/>
      <c r="AH2086" s="91"/>
      <c r="AI2086" s="91"/>
      <c r="AJ2086" s="91"/>
      <c r="AK2086" s="91"/>
      <c r="AL2086" s="91"/>
      <c r="AM2086" s="91"/>
      <c r="AN2086" s="91"/>
      <c r="AO2086" s="91"/>
      <c r="AP2086" s="91"/>
      <c r="AQ2086" s="91"/>
      <c r="AR2086" s="91"/>
      <c r="AS2086" s="91"/>
      <c r="AT2086" s="91"/>
      <c r="AU2086" s="91"/>
      <c r="AV2086" s="91"/>
    </row>
    <row r="2087" spans="25:49" hidden="1" x14ac:dyDescent="0.25">
      <c r="Y2087" s="91"/>
      <c r="Z2087" s="81" t="str">
        <f>IF(OR(Z2081=AIS_No,Z2082=AIS_No,Z2083=AIS_No,Z2084=AIS_No,Z2085=AIS_No,Z2086=AIS_No),AIS_No,AIS_Yes)</f>
        <v>No</v>
      </c>
      <c r="AA2087" s="91"/>
      <c r="AB2087" s="71" t="s">
        <v>99</v>
      </c>
      <c r="AC2087" s="81">
        <v>4</v>
      </c>
      <c r="AD2087" s="91"/>
      <c r="AE2087" s="91"/>
      <c r="AF2087" s="91"/>
      <c r="AG2087" s="91"/>
      <c r="AH2087" s="91"/>
      <c r="AI2087" s="91"/>
      <c r="AJ2087" s="91"/>
      <c r="AK2087" s="91"/>
      <c r="AL2087" s="91"/>
      <c r="AM2087" s="91"/>
      <c r="AN2087" s="91"/>
      <c r="AO2087" s="91"/>
      <c r="AP2087" s="91"/>
      <c r="AQ2087" s="91"/>
      <c r="AR2087" s="91"/>
      <c r="AS2087" s="91"/>
      <c r="AT2087" s="91"/>
      <c r="AU2087" s="91"/>
      <c r="AV2087" s="91"/>
    </row>
    <row r="2088" spans="25:49" hidden="1" x14ac:dyDescent="0.25">
      <c r="Y2088" s="91"/>
      <c r="Z2088" s="91"/>
      <c r="AA2088" s="91"/>
      <c r="AB2088" s="71" t="s">
        <v>1111</v>
      </c>
      <c r="AC2088" s="81">
        <v>6</v>
      </c>
      <c r="AD2088" s="91"/>
      <c r="AE2088" s="91"/>
      <c r="AF2088" s="91"/>
      <c r="AG2088" s="91"/>
      <c r="AH2088" s="91"/>
      <c r="AI2088" s="91"/>
      <c r="AJ2088" s="91"/>
      <c r="AK2088" s="91"/>
      <c r="AL2088" s="91"/>
      <c r="AM2088" s="91"/>
      <c r="AN2088" s="91"/>
      <c r="AO2088" s="91"/>
      <c r="AP2088" s="91"/>
      <c r="AQ2088" s="91"/>
      <c r="AR2088" s="91"/>
      <c r="AS2088" s="91"/>
      <c r="AT2088" s="91"/>
      <c r="AU2088" s="91"/>
      <c r="AV2088" s="91"/>
    </row>
    <row r="2089" spans="25:49" hidden="1" x14ac:dyDescent="0.25">
      <c r="Y2089" s="91"/>
      <c r="Z2089" s="91"/>
      <c r="AA2089" s="91"/>
      <c r="AB2089" s="71" t="s">
        <v>1112</v>
      </c>
      <c r="AC2089" s="81">
        <v>6</v>
      </c>
      <c r="AD2089" s="91"/>
      <c r="AE2089" s="91"/>
      <c r="AF2089" s="91"/>
      <c r="AG2089" s="91"/>
      <c r="AH2089" s="91"/>
      <c r="AI2089" s="91"/>
      <c r="AJ2089" s="91"/>
      <c r="AK2089" s="91"/>
      <c r="AL2089" s="91"/>
      <c r="AM2089" s="91"/>
      <c r="AN2089" s="91"/>
      <c r="AO2089" s="91"/>
      <c r="AP2089" s="91"/>
      <c r="AQ2089" s="91"/>
      <c r="AR2089" s="91"/>
      <c r="AS2089" s="91"/>
      <c r="AT2089" s="91"/>
      <c r="AU2089" s="91"/>
      <c r="AV2089" s="91"/>
    </row>
    <row r="2090" spans="25:49" hidden="1" x14ac:dyDescent="0.25">
      <c r="Y2090" s="91"/>
      <c r="Z2090" s="91"/>
      <c r="AA2090" s="91"/>
      <c r="AB2090" s="71" t="s">
        <v>1113</v>
      </c>
      <c r="AC2090" s="81">
        <v>6</v>
      </c>
      <c r="AD2090" s="91"/>
      <c r="AE2090" s="91"/>
      <c r="AF2090" s="91"/>
      <c r="AG2090" s="91"/>
      <c r="AH2090" s="91"/>
      <c r="AI2090" s="91"/>
      <c r="AJ2090" s="91"/>
      <c r="AK2090" s="91"/>
      <c r="AL2090" s="91"/>
      <c r="AM2090" s="91"/>
      <c r="AN2090" s="91"/>
      <c r="AO2090" s="91"/>
      <c r="AP2090" s="91"/>
      <c r="AQ2090" s="91"/>
      <c r="AR2090" s="91"/>
      <c r="AS2090" s="91"/>
      <c r="AT2090" s="91"/>
      <c r="AU2090" s="91"/>
      <c r="AV2090" s="91"/>
    </row>
    <row r="2091" spans="25:49" hidden="1" x14ac:dyDescent="0.25">
      <c r="Y2091" s="91"/>
      <c r="Z2091" s="91"/>
      <c r="AA2091" s="91"/>
      <c r="AB2091" s="91"/>
      <c r="AC2091" s="91"/>
      <c r="AD2091" s="91"/>
      <c r="AE2091" s="91"/>
      <c r="AF2091" s="91"/>
      <c r="AG2091" s="91"/>
      <c r="AH2091" s="91"/>
      <c r="AI2091" s="91"/>
      <c r="AJ2091" s="91"/>
      <c r="AK2091" s="91"/>
      <c r="AL2091" s="91"/>
      <c r="AM2091" s="79"/>
      <c r="AN2091" s="91"/>
      <c r="AO2091" s="91"/>
      <c r="AP2091" s="91"/>
      <c r="AQ2091" s="91"/>
      <c r="AR2091" s="91"/>
      <c r="AS2091" s="91"/>
      <c r="AT2091" s="91"/>
      <c r="AU2091" s="91"/>
      <c r="AV2091" s="91"/>
    </row>
    <row r="2092" spans="25:49" hidden="1" x14ac:dyDescent="0.25">
      <c r="Y2092" s="91"/>
      <c r="Z2092" s="650" t="s">
        <v>1114</v>
      </c>
      <c r="AA2092" s="78"/>
      <c r="AB2092" s="78"/>
      <c r="AC2092" s="79"/>
      <c r="AD2092" s="79"/>
      <c r="AE2092" s="79"/>
      <c r="AF2092" s="79"/>
      <c r="AG2092" s="79"/>
      <c r="AH2092" s="79"/>
      <c r="AI2092" s="79"/>
      <c r="AJ2092" s="79"/>
      <c r="AK2092" s="79"/>
      <c r="AL2092" s="79"/>
      <c r="AM2092" s="91"/>
      <c r="AN2092" s="79"/>
      <c r="AO2092" s="79"/>
      <c r="AP2092" s="79"/>
      <c r="AQ2092" s="79"/>
      <c r="AR2092" s="79"/>
      <c r="AS2092" s="79"/>
      <c r="AT2092" s="79"/>
      <c r="AU2092" s="79"/>
      <c r="AV2092" s="79"/>
      <c r="AW2092" s="523"/>
    </row>
    <row r="2093" spans="25:49" hidden="1" x14ac:dyDescent="0.25">
      <c r="Y2093" s="91"/>
      <c r="Z2093" s="91"/>
      <c r="AA2093" s="91"/>
      <c r="AB2093" s="91"/>
      <c r="AC2093" s="91"/>
      <c r="AD2093" s="91"/>
      <c r="AE2093" s="91"/>
      <c r="AF2093" s="91"/>
      <c r="AG2093" s="91"/>
      <c r="AH2093" s="91"/>
      <c r="AI2093" s="91"/>
      <c r="AJ2093" s="91"/>
      <c r="AK2093" s="91"/>
      <c r="AL2093" s="91"/>
      <c r="AM2093" s="91"/>
      <c r="AN2093" s="91"/>
      <c r="AO2093" s="91"/>
      <c r="AP2093" s="91"/>
      <c r="AQ2093" s="91"/>
      <c r="AR2093" s="91"/>
      <c r="AS2093" s="91"/>
      <c r="AT2093" s="91"/>
      <c r="AU2093" s="91"/>
      <c r="AV2093" s="91"/>
    </row>
    <row r="2094" spans="25:49" hidden="1" x14ac:dyDescent="0.25">
      <c r="Y2094" s="91"/>
      <c r="Z2094" s="81" t="s">
        <v>1115</v>
      </c>
      <c r="AA2094" s="81"/>
      <c r="AB2094" s="91"/>
      <c r="AC2094" s="71" t="s">
        <v>488</v>
      </c>
      <c r="AD2094" s="91"/>
      <c r="AE2094" s="91"/>
      <c r="AF2094" s="91"/>
      <c r="AG2094" s="91"/>
      <c r="AH2094" s="91"/>
      <c r="AI2094" s="91"/>
      <c r="AJ2094" s="91"/>
      <c r="AK2094" s="91"/>
      <c r="AL2094" s="91"/>
      <c r="AM2094" s="91"/>
      <c r="AN2094" s="91"/>
      <c r="AO2094" s="91"/>
      <c r="AP2094" s="91"/>
      <c r="AQ2094" s="91"/>
      <c r="AR2094" s="91"/>
      <c r="AS2094" s="91"/>
      <c r="AT2094" s="91"/>
      <c r="AU2094" s="91"/>
      <c r="AV2094" s="91"/>
    </row>
    <row r="2095" spans="25:49" hidden="1" x14ac:dyDescent="0.25">
      <c r="Y2095" s="91"/>
      <c r="Z2095" s="447">
        <v>0</v>
      </c>
      <c r="AA2095" s="81">
        <v>0</v>
      </c>
      <c r="AB2095" s="91"/>
      <c r="AC2095" s="73" t="s">
        <v>1116</v>
      </c>
      <c r="AD2095" s="91"/>
      <c r="AE2095" s="91"/>
      <c r="AF2095" s="91"/>
      <c r="AG2095" s="91"/>
      <c r="AH2095" s="91"/>
      <c r="AI2095" s="91"/>
      <c r="AJ2095" s="91"/>
      <c r="AK2095" s="91"/>
      <c r="AL2095" s="91"/>
      <c r="AM2095" s="91"/>
      <c r="AN2095" s="91"/>
      <c r="AO2095" s="91"/>
      <c r="AP2095" s="91"/>
      <c r="AQ2095" s="91"/>
      <c r="AR2095" s="91"/>
      <c r="AS2095" s="91"/>
      <c r="AT2095" s="91"/>
      <c r="AU2095" s="91"/>
      <c r="AV2095" s="91"/>
    </row>
    <row r="2096" spans="25:49" hidden="1" x14ac:dyDescent="0.25">
      <c r="Y2096" s="91"/>
      <c r="Z2096" s="447">
        <v>0.1</v>
      </c>
      <c r="AA2096" s="81">
        <v>1</v>
      </c>
      <c r="AB2096" s="91"/>
      <c r="AC2096" s="73" t="s">
        <v>1117</v>
      </c>
      <c r="AD2096" s="91"/>
      <c r="AE2096" s="91"/>
      <c r="AF2096" s="91"/>
      <c r="AG2096" s="91"/>
      <c r="AH2096" s="91"/>
      <c r="AI2096" s="91"/>
      <c r="AJ2096" s="91"/>
      <c r="AK2096" s="91"/>
      <c r="AL2096" s="91"/>
      <c r="AM2096" s="91"/>
      <c r="AN2096" s="91"/>
      <c r="AO2096" s="91"/>
      <c r="AP2096" s="91"/>
      <c r="AQ2096" s="91"/>
      <c r="AR2096" s="91"/>
      <c r="AS2096" s="91"/>
      <c r="AT2096" s="91"/>
      <c r="AU2096" s="91"/>
      <c r="AV2096" s="91"/>
    </row>
    <row r="2097" spans="25:49" hidden="1" x14ac:dyDescent="0.25">
      <c r="Y2097" s="91"/>
      <c r="Z2097" s="447">
        <v>0.2</v>
      </c>
      <c r="AA2097" s="81">
        <v>2</v>
      </c>
      <c r="AB2097" s="91"/>
      <c r="AC2097" s="73" t="s">
        <v>1118</v>
      </c>
      <c r="AD2097" s="91"/>
      <c r="AE2097" s="91"/>
      <c r="AF2097" s="91"/>
      <c r="AG2097" s="91"/>
      <c r="AH2097" s="91"/>
      <c r="AI2097" s="91"/>
      <c r="AJ2097" s="91"/>
      <c r="AK2097" s="91"/>
      <c r="AL2097" s="91"/>
      <c r="AM2097" s="91"/>
      <c r="AN2097" s="91"/>
      <c r="AO2097" s="91"/>
      <c r="AP2097" s="91"/>
      <c r="AQ2097" s="91"/>
      <c r="AR2097" s="91"/>
      <c r="AS2097" s="91"/>
      <c r="AT2097" s="91"/>
      <c r="AU2097" s="91"/>
      <c r="AV2097" s="91"/>
    </row>
    <row r="2098" spans="25:49" hidden="1" x14ac:dyDescent="0.25">
      <c r="Y2098" s="91"/>
      <c r="Z2098" s="447">
        <v>0.36</v>
      </c>
      <c r="AA2098" s="81">
        <v>3</v>
      </c>
      <c r="AB2098" s="91"/>
      <c r="AC2098" s="91"/>
      <c r="AD2098" s="91"/>
      <c r="AE2098" s="91"/>
      <c r="AF2098" s="91"/>
      <c r="AG2098" s="91"/>
      <c r="AH2098" s="91"/>
      <c r="AI2098" s="91"/>
      <c r="AJ2098" s="91"/>
      <c r="AK2098" s="91"/>
      <c r="AL2098" s="91"/>
      <c r="AM2098" s="91"/>
      <c r="AN2098" s="91"/>
      <c r="AO2098" s="91"/>
      <c r="AP2098" s="91"/>
      <c r="AQ2098" s="91"/>
      <c r="AR2098" s="91"/>
      <c r="AS2098" s="91"/>
      <c r="AT2098" s="91"/>
      <c r="AU2098" s="91"/>
      <c r="AV2098" s="91"/>
    </row>
    <row r="2099" spans="25:49" hidden="1" x14ac:dyDescent="0.25">
      <c r="Y2099" s="91"/>
      <c r="Z2099" s="91"/>
      <c r="AA2099" s="91"/>
      <c r="AB2099" s="91"/>
      <c r="AC2099" s="91"/>
      <c r="AD2099" s="91"/>
      <c r="AE2099" s="91"/>
      <c r="AF2099" s="91"/>
      <c r="AG2099" s="91"/>
      <c r="AH2099" s="91"/>
      <c r="AI2099" s="91"/>
      <c r="AJ2099" s="91"/>
      <c r="AK2099" s="91"/>
      <c r="AL2099" s="91"/>
      <c r="AM2099" s="91"/>
      <c r="AN2099" s="91"/>
      <c r="AO2099" s="91"/>
      <c r="AP2099" s="91"/>
      <c r="AQ2099" s="91"/>
      <c r="AR2099" s="91"/>
      <c r="AS2099" s="91"/>
      <c r="AT2099" s="91"/>
      <c r="AU2099" s="91"/>
      <c r="AV2099" s="91"/>
    </row>
    <row r="2100" spans="25:49" hidden="1" x14ac:dyDescent="0.25">
      <c r="Y2100" s="91"/>
      <c r="Z2100" s="71" t="s">
        <v>1119</v>
      </c>
      <c r="AA2100" s="93">
        <v>0.52</v>
      </c>
      <c r="AB2100" s="91"/>
      <c r="AC2100" s="91"/>
      <c r="AD2100" s="91"/>
      <c r="AE2100" s="91"/>
      <c r="AF2100" s="91"/>
      <c r="AG2100" s="91"/>
      <c r="AH2100" s="91"/>
      <c r="AI2100" s="91"/>
      <c r="AJ2100" s="91"/>
      <c r="AK2100" s="91"/>
      <c r="AL2100" s="91"/>
      <c r="AM2100" s="91"/>
      <c r="AN2100" s="91"/>
      <c r="AO2100" s="91"/>
      <c r="AP2100" s="91"/>
      <c r="AQ2100" s="91"/>
      <c r="AR2100" s="91"/>
      <c r="AS2100" s="91"/>
      <c r="AT2100" s="91"/>
      <c r="AU2100" s="91"/>
      <c r="AV2100" s="91"/>
    </row>
    <row r="2101" spans="25:49" hidden="1" x14ac:dyDescent="0.25">
      <c r="Y2101" s="91"/>
      <c r="Z2101" s="91"/>
      <c r="AA2101" s="91"/>
      <c r="AB2101" s="91"/>
      <c r="AC2101" s="91"/>
      <c r="AD2101" s="91"/>
      <c r="AE2101" s="91"/>
      <c r="AF2101" s="91"/>
      <c r="AG2101" s="91"/>
      <c r="AH2101" s="91"/>
      <c r="AI2101" s="91"/>
      <c r="AJ2101" s="91"/>
      <c r="AK2101" s="91"/>
      <c r="AL2101" s="91"/>
      <c r="AM2101" s="91"/>
      <c r="AN2101" s="91"/>
      <c r="AO2101" s="91"/>
      <c r="AP2101" s="91"/>
      <c r="AQ2101" s="91"/>
      <c r="AR2101" s="91"/>
      <c r="AS2101" s="91"/>
      <c r="AT2101" s="91"/>
      <c r="AU2101" s="91"/>
      <c r="AV2101" s="91"/>
    </row>
    <row r="2102" spans="25:49" hidden="1" x14ac:dyDescent="0.25">
      <c r="Y2102" s="91"/>
      <c r="Z2102" s="91"/>
      <c r="AA2102" s="91"/>
      <c r="AB2102" s="91"/>
      <c r="AC2102" s="91"/>
      <c r="AD2102" s="91"/>
      <c r="AE2102" s="91"/>
      <c r="AF2102" s="91"/>
      <c r="AG2102" s="91"/>
      <c r="AH2102" s="91"/>
      <c r="AI2102" s="91"/>
      <c r="AJ2102" s="91"/>
      <c r="AK2102" s="91"/>
      <c r="AL2102" s="91"/>
      <c r="AM2102" s="91"/>
      <c r="AN2102" s="91"/>
      <c r="AO2102" s="91"/>
      <c r="AP2102" s="91"/>
      <c r="AQ2102" s="91"/>
      <c r="AR2102" s="91"/>
      <c r="AS2102" s="91"/>
      <c r="AT2102" s="91"/>
      <c r="AU2102" s="91"/>
      <c r="AV2102" s="91"/>
    </row>
    <row r="2103" spans="25:49" hidden="1" x14ac:dyDescent="0.25">
      <c r="Y2103" s="91"/>
      <c r="Z2103" s="91"/>
      <c r="AA2103" s="91"/>
      <c r="AB2103" s="91"/>
      <c r="AC2103" s="91"/>
      <c r="AD2103" s="91"/>
      <c r="AE2103" s="91"/>
      <c r="AF2103" s="91"/>
      <c r="AG2103" s="91"/>
      <c r="AH2103" s="91"/>
      <c r="AI2103" s="91"/>
      <c r="AJ2103" s="91"/>
      <c r="AK2103" s="91"/>
      <c r="AL2103" s="91"/>
      <c r="AM2103" s="79"/>
      <c r="AN2103" s="79"/>
      <c r="AO2103" s="79"/>
      <c r="AP2103" s="91"/>
      <c r="AQ2103" s="684"/>
      <c r="AR2103" s="684"/>
      <c r="AS2103" s="684"/>
      <c r="AT2103" s="91"/>
      <c r="AU2103" s="91"/>
      <c r="AV2103" s="91"/>
    </row>
    <row r="2104" spans="25:49" hidden="1" x14ac:dyDescent="0.25">
      <c r="Y2104" s="91"/>
      <c r="Z2104" s="423" t="s">
        <v>1120</v>
      </c>
      <c r="AA2104" s="78"/>
      <c r="AB2104" s="78"/>
      <c r="AC2104" s="79"/>
      <c r="AD2104" s="79"/>
      <c r="AE2104" s="79"/>
      <c r="AF2104" s="79"/>
      <c r="AG2104" s="79"/>
      <c r="AH2104" s="79"/>
      <c r="AI2104" s="79"/>
      <c r="AJ2104" s="79"/>
      <c r="AK2104" s="79"/>
      <c r="AL2104" s="79"/>
      <c r="AM2104" s="91"/>
      <c r="AN2104" s="91"/>
      <c r="AO2104" s="91"/>
      <c r="AP2104" s="79"/>
      <c r="AQ2104" s="685" t="s">
        <v>1121</v>
      </c>
      <c r="AR2104" s="685">
        <f>IF(Wst01_68=AIS_Yes,1,0)</f>
        <v>0</v>
      </c>
      <c r="AS2104" s="684"/>
      <c r="AT2104" s="79"/>
      <c r="AU2104" s="79"/>
      <c r="AV2104" s="79"/>
      <c r="AW2104" s="523"/>
    </row>
    <row r="2105" spans="25:49" hidden="1" x14ac:dyDescent="0.25">
      <c r="Y2105" s="91"/>
      <c r="Z2105" s="91"/>
      <c r="AA2105" s="91"/>
      <c r="AB2105" s="91"/>
      <c r="AC2105" s="91"/>
      <c r="AD2105" s="91"/>
      <c r="AE2105" s="91"/>
      <c r="AF2105" s="91"/>
      <c r="AG2105" s="91"/>
      <c r="AH2105" s="91"/>
      <c r="AI2105" s="91"/>
      <c r="AJ2105" s="91"/>
      <c r="AK2105" s="91"/>
      <c r="AL2105" s="91"/>
      <c r="AM2105" s="91" t="s">
        <v>1122</v>
      </c>
      <c r="AN2105" s="91"/>
      <c r="AO2105" s="91"/>
      <c r="AP2105" s="91"/>
      <c r="AQ2105" s="685" t="s">
        <v>1123</v>
      </c>
      <c r="AR2105" s="685">
        <f>IF(Wst01_69=AIS_Yes,1,0)</f>
        <v>0</v>
      </c>
      <c r="AS2105" s="684"/>
      <c r="AT2105" s="91"/>
      <c r="AU2105" s="91"/>
      <c r="AV2105" s="91"/>
    </row>
    <row r="2106" spans="25:49" hidden="1" x14ac:dyDescent="0.25">
      <c r="Y2106" s="91"/>
      <c r="Z2106" s="91" t="s">
        <v>1124</v>
      </c>
      <c r="AA2106" s="91"/>
      <c r="AB2106" s="91"/>
      <c r="AC2106" s="91"/>
      <c r="AD2106" s="91"/>
      <c r="AE2106" s="91"/>
      <c r="AF2106" s="91"/>
      <c r="AG2106" s="91" t="s">
        <v>1122</v>
      </c>
      <c r="AH2106" s="91"/>
      <c r="AI2106" s="91"/>
      <c r="AJ2106" s="91"/>
      <c r="AK2106" s="91"/>
      <c r="AL2106" s="91"/>
      <c r="AM2106" s="71" t="s">
        <v>1119</v>
      </c>
      <c r="AN2106" s="81" t="s">
        <v>1125</v>
      </c>
      <c r="AO2106" s="81" t="s">
        <v>1126</v>
      </c>
      <c r="AP2106" s="91"/>
      <c r="AQ2106" s="685" t="s">
        <v>1127</v>
      </c>
      <c r="AR2106" s="685">
        <f>IF(AND(Wst01_70&gt;=0.6,Wst01_71&lt;&gt;"",Wst01_72&lt;&gt;""),1,0)</f>
        <v>0</v>
      </c>
      <c r="AS2106" s="685">
        <f>IFERROR(SUM(Wst01_credit_awarded),0)</f>
        <v>0</v>
      </c>
      <c r="AT2106" s="91"/>
      <c r="AU2106" s="91"/>
      <c r="AV2106" s="91"/>
    </row>
    <row r="2107" spans="25:49" hidden="1" x14ac:dyDescent="0.25">
      <c r="Y2107" s="91"/>
      <c r="Z2107" s="71" t="s">
        <v>1128</v>
      </c>
      <c r="AA2107" s="94" t="s">
        <v>1125</v>
      </c>
      <c r="AB2107" s="81" t="s">
        <v>1126</v>
      </c>
      <c r="AC2107" s="91"/>
      <c r="AD2107" s="91"/>
      <c r="AE2107" s="91"/>
      <c r="AF2107" s="91"/>
      <c r="AG2107" s="71" t="s">
        <v>1128</v>
      </c>
      <c r="AH2107" s="81" t="s">
        <v>1125</v>
      </c>
      <c r="AI2107" s="81" t="s">
        <v>1126</v>
      </c>
      <c r="AJ2107" s="91"/>
      <c r="AK2107" s="91"/>
      <c r="AL2107" s="91"/>
      <c r="AM2107" s="95" t="s">
        <v>1129</v>
      </c>
      <c r="AN2107" s="96">
        <v>0.85</v>
      </c>
      <c r="AO2107" s="96">
        <v>0.9</v>
      </c>
      <c r="AP2107" s="91"/>
      <c r="AQ2107" s="685" t="s">
        <v>1130</v>
      </c>
      <c r="AR2107" s="685">
        <f>IF(AND(Wst01_Tot_Err=3,Wst01_70&gt;=0.85),1,0)</f>
        <v>0</v>
      </c>
      <c r="AS2107" s="684"/>
      <c r="AT2107" s="91"/>
      <c r="AU2107" s="91"/>
      <c r="AV2107" s="91"/>
    </row>
    <row r="2108" spans="25:49" hidden="1" x14ac:dyDescent="0.25">
      <c r="Y2108" s="91"/>
      <c r="Z2108" s="71"/>
      <c r="AA2108" s="81">
        <v>13.4</v>
      </c>
      <c r="AB2108" s="81">
        <v>11.2</v>
      </c>
      <c r="AC2108" s="81">
        <v>0</v>
      </c>
      <c r="AD2108" s="91"/>
      <c r="AE2108" s="91"/>
      <c r="AF2108" s="91"/>
      <c r="AG2108" s="95" t="s">
        <v>1129</v>
      </c>
      <c r="AH2108" s="96">
        <v>0.7</v>
      </c>
      <c r="AI2108" s="97">
        <v>0.8</v>
      </c>
      <c r="AJ2108" s="98">
        <v>1</v>
      </c>
      <c r="AK2108" s="91"/>
      <c r="AL2108" s="91"/>
      <c r="AM2108" s="95" t="s">
        <v>1131</v>
      </c>
      <c r="AN2108" s="96">
        <v>0.85</v>
      </c>
      <c r="AO2108" s="96">
        <v>0.95</v>
      </c>
      <c r="AP2108" s="91"/>
      <c r="AQ2108" s="91"/>
      <c r="AR2108" s="91"/>
      <c r="AS2108" s="91"/>
      <c r="AT2108" s="91"/>
      <c r="AU2108" s="91"/>
      <c r="AV2108" s="91"/>
    </row>
    <row r="2109" spans="25:49" hidden="1" x14ac:dyDescent="0.25">
      <c r="Y2109" s="91"/>
      <c r="Z2109" s="71"/>
      <c r="AA2109" s="89">
        <v>13.3</v>
      </c>
      <c r="AB2109" s="89">
        <v>11.1</v>
      </c>
      <c r="AC2109" s="81">
        <v>1</v>
      </c>
      <c r="AD2109" s="91"/>
      <c r="AE2109" s="91"/>
      <c r="AF2109" s="91"/>
      <c r="AG2109" s="95" t="s">
        <v>1131</v>
      </c>
      <c r="AH2109" s="96">
        <v>0.8</v>
      </c>
      <c r="AI2109" s="97">
        <v>0.9</v>
      </c>
      <c r="AJ2109" s="99"/>
      <c r="AK2109" s="91"/>
      <c r="AL2109" s="91"/>
      <c r="AM2109" s="74" t="s">
        <v>1132</v>
      </c>
      <c r="AN2109" s="96">
        <v>0.95</v>
      </c>
      <c r="AO2109" s="96">
        <v>0.95</v>
      </c>
      <c r="AP2109" s="91"/>
      <c r="AQ2109" s="91"/>
      <c r="AR2109" s="91"/>
      <c r="AS2109" s="91"/>
      <c r="AT2109" s="91"/>
      <c r="AU2109" s="91"/>
      <c r="AV2109" s="91"/>
    </row>
    <row r="2110" spans="25:49" hidden="1" x14ac:dyDescent="0.25">
      <c r="Y2110" s="91"/>
      <c r="Z2110" s="71"/>
      <c r="AA2110" s="89">
        <v>7.5</v>
      </c>
      <c r="AB2110" s="89">
        <v>6.5</v>
      </c>
      <c r="AC2110" s="81">
        <v>2</v>
      </c>
      <c r="AD2110" s="91"/>
      <c r="AE2110" s="91"/>
      <c r="AF2110" s="91"/>
      <c r="AG2110" s="91"/>
      <c r="AH2110" s="91"/>
      <c r="AI2110" s="91"/>
      <c r="AJ2110" s="91"/>
      <c r="AK2110" s="91"/>
      <c r="AL2110" s="91"/>
      <c r="AM2110" s="71" t="s">
        <v>1133</v>
      </c>
      <c r="AN2110" s="81" t="s">
        <v>1125</v>
      </c>
      <c r="AO2110" s="81" t="s">
        <v>1126</v>
      </c>
      <c r="AP2110" s="91"/>
      <c r="AQ2110" s="91"/>
      <c r="AR2110" s="91"/>
      <c r="AS2110" s="91"/>
      <c r="AT2110" s="91"/>
      <c r="AU2110" s="91"/>
      <c r="AV2110" s="91"/>
    </row>
    <row r="2111" spans="25:49" ht="16.5" hidden="1" thickBot="1" x14ac:dyDescent="0.3">
      <c r="Y2111" s="91"/>
      <c r="Z2111" s="71"/>
      <c r="AA2111" s="89">
        <v>3.4</v>
      </c>
      <c r="AB2111" s="89">
        <v>3.2</v>
      </c>
      <c r="AC2111" s="94">
        <v>3</v>
      </c>
      <c r="AD2111" s="91"/>
      <c r="AE2111" s="91"/>
      <c r="AF2111" s="91"/>
      <c r="AG2111" s="71" t="s">
        <v>1134</v>
      </c>
      <c r="AH2111" s="81" t="s">
        <v>1125</v>
      </c>
      <c r="AI2111" s="81" t="s">
        <v>1126</v>
      </c>
      <c r="AJ2111" s="91"/>
      <c r="AK2111" s="91"/>
      <c r="AL2111" s="91"/>
      <c r="AM2111" s="95" t="s">
        <v>1129</v>
      </c>
      <c r="AN2111" s="96" t="str">
        <f>IF(Wst01_04=AIS_units18,IF(Wst01_05&gt;=AN2107,AIS_Yes,AIS_No),AIS_NA)</f>
        <v>N/A</v>
      </c>
      <c r="AO2111" s="96" t="str">
        <f>IF(Wst01_04=AIS_units21,IF(Wst01_05&gt;=AO2107,AIS_Yes,AIS_No),AIS_NA)</f>
        <v>N/A</v>
      </c>
      <c r="AP2111" s="91"/>
      <c r="AQ2111" s="91"/>
      <c r="AR2111" s="91"/>
      <c r="AS2111" s="91"/>
      <c r="AT2111" s="91"/>
      <c r="AU2111" s="91"/>
      <c r="AV2111" s="91"/>
    </row>
    <row r="2112" spans="25:49" ht="16.5" hidden="1" thickBot="1" x14ac:dyDescent="0.3">
      <c r="Y2112" s="91"/>
      <c r="Z2112" s="74" t="s">
        <v>1135</v>
      </c>
      <c r="AA2112" s="81" t="str">
        <f>IF(Wst01_02="","",IF(Wst01_02&gt;AA2109,0,IF(AND(Wst01_02&lt;=AA2109,Wst01_02&gt;AA2110),AC2109,IF(AND(Wst01_02&lt;=AA2110,Wst01_02&gt;AA2111),AC2110,IF(Wst01_02&lt;=AA2111,AC2111)))))</f>
        <v/>
      </c>
      <c r="AB2112" s="587" t="str">
        <f>IF(Wst01_02="","",IF(Wst01_02&gt;AB2109,0,IF(AND(Wst01_02&lt;=AB2109,Wst01_02&gt;AB2110),AC2109,IF(AND(Wst01_02&lt;=AB2110,Wst01_02&gt;AB2111),AC2110,IF(Wst01_02&lt;=AB2111,AC2111)))))</f>
        <v/>
      </c>
      <c r="AC2112" s="440" t="str">
        <f>IF(Wst01_04="Tonnes",Wst01_14,IF(Wst01_04="","",Wst01_13))</f>
        <v/>
      </c>
      <c r="AD2112" s="91"/>
      <c r="AE2112" s="91"/>
      <c r="AF2112" s="91"/>
      <c r="AG2112" s="95" t="s">
        <v>1129</v>
      </c>
      <c r="AH2112" s="96" t="str">
        <f>IF(Wst01_04=AIS_units18,IF(Wst01_05&gt;=AH2108,AIS_Yes,AIS_No),AIS_NA)</f>
        <v>N/A</v>
      </c>
      <c r="AI2112" s="96" t="str">
        <f>IF(Wst01_04=AIS_units21,IF(Wst01_05&gt;=AI2108,AIS_Yes,AIS_No),AIS_NA)</f>
        <v>N/A</v>
      </c>
      <c r="AJ2112" s="91"/>
      <c r="AK2112" s="91"/>
      <c r="AL2112" s="91"/>
      <c r="AM2112" s="95" t="s">
        <v>1131</v>
      </c>
      <c r="AN2112" s="96" t="str">
        <f>IF(Wst01_04=AIS_units18,IF(Wst01_07&gt;=AN2108,AIS_Yes,AIS_No),AIS_NA)</f>
        <v>N/A</v>
      </c>
      <c r="AO2112" s="96" t="str">
        <f>IF(Wst01_04=AIS_units21,IF(Wst01_07&gt;=AO2108,AIS_Yes,AIS_No),AIS_NA)</f>
        <v>N/A</v>
      </c>
      <c r="AP2112" s="91"/>
      <c r="AQ2112" s="91"/>
      <c r="AR2112" s="91"/>
      <c r="AS2112" s="91"/>
      <c r="AT2112" s="91"/>
      <c r="AU2112" s="91"/>
      <c r="AV2112" s="91"/>
    </row>
    <row r="2113" spans="25:49" hidden="1" x14ac:dyDescent="0.25">
      <c r="Y2113" s="91"/>
      <c r="Z2113" s="74" t="s">
        <v>1136</v>
      </c>
      <c r="AA2113" s="89">
        <v>1.6</v>
      </c>
      <c r="AB2113" s="89">
        <v>1.9</v>
      </c>
      <c r="AC2113" s="91"/>
      <c r="AD2113" s="91"/>
      <c r="AE2113" s="91"/>
      <c r="AF2113" s="91"/>
      <c r="AG2113" s="95" t="s">
        <v>1131</v>
      </c>
      <c r="AH2113" s="96" t="str">
        <f>IF(Wst01_04=AIS_units18,IF(Wst01_07&gt;=AH2109,AIS_Yes,AIS_No),AIS_NA)</f>
        <v>N/A</v>
      </c>
      <c r="AI2113" s="96" t="str">
        <f>IF(Wst01_04=AIS_units21,IF(Wst01_07&gt;=AI2108,AIS_Yes,AIS_No),AIS_NA)</f>
        <v>N/A</v>
      </c>
      <c r="AJ2113" s="91"/>
      <c r="AK2113" s="91"/>
      <c r="AL2113" s="91"/>
      <c r="AM2113" s="74" t="s">
        <v>1132</v>
      </c>
      <c r="AN2113" s="81" t="b">
        <f>IF(Wst01_01a=AIS_NA,AIS_NA,IF(Wst01_01a=AIS_Yes,AIS_Yes,IF(Wst01_01a=AIS_No,AIS_No)))</f>
        <v>0</v>
      </c>
      <c r="AO2113" s="81" t="b">
        <f>AN2113</f>
        <v>0</v>
      </c>
      <c r="AP2113" s="91"/>
      <c r="AQ2113" s="91"/>
      <c r="AR2113" s="91"/>
      <c r="AS2113" s="91"/>
      <c r="AT2113" s="91"/>
      <c r="AU2113" s="91"/>
      <c r="AV2113" s="91"/>
    </row>
    <row r="2114" spans="25:49" ht="16.5" hidden="1" thickBot="1" x14ac:dyDescent="0.3">
      <c r="Y2114" s="91"/>
      <c r="Z2114" s="74" t="s">
        <v>1137</v>
      </c>
      <c r="AA2114" s="94" t="str">
        <f>IF(Wst01_02="","",IF(AND(Wst01_04=AIS_units18,Wst01_02&lt;=AA2113),AIS_Yes))</f>
        <v/>
      </c>
      <c r="AB2114" s="81" t="str">
        <f>IF(Wst01_02="","",IF(AND(Wst01_04=AIS_units21,Wst01_02&lt;=AB2113),AIS_Yes))</f>
        <v/>
      </c>
      <c r="AC2114" s="91"/>
      <c r="AD2114" s="91"/>
      <c r="AE2114" s="91"/>
      <c r="AF2114" s="91"/>
      <c r="AG2114" s="74" t="s">
        <v>1138</v>
      </c>
      <c r="AH2114" s="81">
        <f>IF(OR(AH2112=AIS_No,AH2113=AIS_No),0,IF(AND(AH2112=AIS_Yes,AH2113=AIS_Yes),Wst01_26,IF(AND(AH2112=AIS_Yes,AH2113=AIS_NA),Wst01_26,0)))</f>
        <v>0</v>
      </c>
      <c r="AI2114" s="81" t="b">
        <f>IF(OR(AI2112=AIS_No,AI2113=AIS_No),0,IF(AND(AI2112=AIS_Yes,AI2113=AIS_Yes),Wst01_26,IF(AND(AI2112=AIS_Yes,AI2113=AIS_NA),Wst01_26)))</f>
        <v>0</v>
      </c>
      <c r="AJ2114" s="91"/>
      <c r="AK2114" s="91"/>
      <c r="AL2114" s="91"/>
      <c r="AM2114" s="74" t="s">
        <v>1138</v>
      </c>
      <c r="AN2114" s="81" t="b">
        <f>IF(OR(AN2111=AIS_No,AN2112=AIS_No,AN2113=AIS_No),0,IF(AND(AN2111=AIS_Yes,AN2112=AIS_Yes,OR(AN2113=AIS_Yes,AN2113=AIS_NA)),AIS_Yes,IF(AND(AN2111=AIS_Yes,AN2112=AIS_NA),AIS_Yes)))</f>
        <v>0</v>
      </c>
      <c r="AO2114" s="81" t="b">
        <f>IF(OR(AO2111=AIS_No,AO2112=AIS_No,AO2113=AIS_No),0,IF(AND(AO2111=AIS_Yes,AO2112=AIS_Yes,OR(AO2113=AIS_Yes,AO2113=AIS_NA)),AIS_Yes,IF(AND(AO2111=AIS_Yes,AO2112=AIS_NA),AIS_Yes)))</f>
        <v>0</v>
      </c>
      <c r="AP2114" s="91"/>
      <c r="AQ2114" s="91"/>
      <c r="AR2114" s="91"/>
      <c r="AS2114" s="91"/>
      <c r="AT2114" s="91"/>
      <c r="AU2114" s="91"/>
      <c r="AV2114" s="91"/>
    </row>
    <row r="2115" spans="25:49" ht="16.5" hidden="1" thickBot="1" x14ac:dyDescent="0.3">
      <c r="Y2115" s="91"/>
      <c r="Z2115" s="588" t="s">
        <v>1137</v>
      </c>
      <c r="AA2115" s="589" t="str">
        <f>IF(OR(Wst01_24=AIS_Yes,Wst01_25=AIS_Yes),AIS_Yes,AIS_No)</f>
        <v>No</v>
      </c>
      <c r="AB2115" s="91"/>
      <c r="AC2115" s="91"/>
      <c r="AD2115" s="91"/>
      <c r="AE2115" s="91"/>
      <c r="AF2115" s="91"/>
      <c r="AG2115" s="74" t="s">
        <v>1138</v>
      </c>
      <c r="AH2115" s="71">
        <f>IF(OR(Wst01_19=1,Wst01_20=1),1,0)</f>
        <v>0</v>
      </c>
      <c r="AI2115" s="91"/>
      <c r="AJ2115" s="91"/>
      <c r="AK2115" s="91"/>
      <c r="AL2115" s="91"/>
      <c r="AM2115" s="74" t="s">
        <v>1138</v>
      </c>
      <c r="AN2115" s="71">
        <f>IF(OR(Wst01_22=AIS_Yes,Wst01_23=AIS_Yes),AIS_Yes,0)</f>
        <v>0</v>
      </c>
      <c r="AO2115" s="91"/>
      <c r="AP2115" s="91"/>
      <c r="AQ2115" s="91"/>
      <c r="AR2115" s="91"/>
      <c r="AS2115" s="91"/>
      <c r="AT2115" s="91"/>
      <c r="AU2115" s="91"/>
      <c r="AV2115" s="91"/>
    </row>
    <row r="2116" spans="25:49" hidden="1" x14ac:dyDescent="0.25">
      <c r="Y2116" s="91"/>
      <c r="Z2116" s="91"/>
      <c r="AA2116" s="91"/>
      <c r="AB2116" s="91"/>
      <c r="AC2116" s="91"/>
      <c r="AD2116" s="91"/>
      <c r="AE2116" s="91"/>
      <c r="AF2116" s="91"/>
      <c r="AG2116" s="91"/>
      <c r="AH2116" s="91"/>
      <c r="AI2116" s="91"/>
      <c r="AJ2116" s="91"/>
      <c r="AK2116" s="91"/>
      <c r="AL2116" s="91"/>
      <c r="AM2116" s="91"/>
      <c r="AN2116" s="91"/>
      <c r="AO2116" s="91"/>
      <c r="AP2116" s="91"/>
      <c r="AQ2116" s="91"/>
      <c r="AR2116" s="91"/>
      <c r="AS2116" s="91"/>
      <c r="AT2116" s="91"/>
      <c r="AU2116" s="91"/>
      <c r="AV2116" s="91"/>
    </row>
    <row r="2117" spans="25:49" hidden="1" x14ac:dyDescent="0.25">
      <c r="Y2117" s="91"/>
      <c r="Z2117" s="91"/>
      <c r="AA2117" s="91"/>
      <c r="AB2117" s="91"/>
      <c r="AC2117" s="91"/>
      <c r="AD2117" s="91"/>
      <c r="AE2117" s="91"/>
      <c r="AF2117" s="91"/>
      <c r="AG2117" s="91"/>
      <c r="AH2117" s="91"/>
      <c r="AI2117" s="91"/>
      <c r="AJ2117" s="91"/>
      <c r="AK2117" s="91"/>
      <c r="AL2117" s="91"/>
      <c r="AM2117" s="79"/>
      <c r="AN2117" s="79"/>
      <c r="AO2117" s="79"/>
      <c r="AP2117" s="91"/>
      <c r="AQ2117" s="91"/>
      <c r="AR2117" s="91"/>
      <c r="AS2117" s="91"/>
      <c r="AT2117" s="91"/>
      <c r="AU2117" s="91"/>
      <c r="AV2117" s="91"/>
    </row>
    <row r="2118" spans="25:49" hidden="1" x14ac:dyDescent="0.25">
      <c r="Y2118" s="91"/>
      <c r="Z2118" s="423" t="s">
        <v>1139</v>
      </c>
      <c r="AA2118" s="78"/>
      <c r="AB2118" s="78"/>
      <c r="AC2118" s="79"/>
      <c r="AD2118" s="79"/>
      <c r="AE2118" s="79"/>
      <c r="AF2118" s="79"/>
      <c r="AG2118" s="79"/>
      <c r="AH2118" s="79"/>
      <c r="AI2118" s="79"/>
      <c r="AJ2118" s="79"/>
      <c r="AK2118" s="79"/>
      <c r="AL2118" s="79"/>
      <c r="AM2118" s="91"/>
      <c r="AN2118" s="91"/>
      <c r="AO2118" s="91"/>
      <c r="AP2118" s="79"/>
      <c r="AQ2118" s="79"/>
      <c r="AR2118" s="79"/>
      <c r="AS2118" s="79"/>
      <c r="AT2118" s="79"/>
      <c r="AU2118" s="79"/>
      <c r="AV2118" s="79"/>
      <c r="AW2118" s="523"/>
    </row>
    <row r="2119" spans="25:49" hidden="1" x14ac:dyDescent="0.25">
      <c r="Y2119" s="91"/>
      <c r="Z2119" s="91"/>
      <c r="AA2119" s="91"/>
      <c r="AB2119" s="91"/>
      <c r="AC2119" s="91"/>
      <c r="AD2119" s="91"/>
      <c r="AE2119" s="91"/>
      <c r="AF2119" s="91"/>
      <c r="AG2119" s="91"/>
      <c r="AH2119" s="91"/>
      <c r="AI2119" s="91"/>
      <c r="AJ2119" s="91"/>
      <c r="AK2119" s="91"/>
      <c r="AL2119" s="91"/>
      <c r="AM2119" s="91"/>
      <c r="AN2119" s="91"/>
      <c r="AO2119" s="91"/>
      <c r="AP2119" s="91"/>
      <c r="AQ2119" s="91"/>
      <c r="AR2119" s="91"/>
      <c r="AS2119" s="91"/>
      <c r="AT2119" s="91"/>
      <c r="AU2119" s="91"/>
      <c r="AV2119" s="91"/>
    </row>
    <row r="2120" spans="25:49" hidden="1" x14ac:dyDescent="0.25">
      <c r="Y2120" s="91"/>
      <c r="Z2120" s="91"/>
      <c r="AA2120" s="91"/>
      <c r="AB2120" s="91"/>
      <c r="AC2120" s="91" t="s">
        <v>630</v>
      </c>
      <c r="AD2120" s="91" t="s">
        <v>631</v>
      </c>
      <c r="AE2120" s="91"/>
      <c r="AF2120" s="91" t="s">
        <v>631</v>
      </c>
      <c r="AG2120" s="91" t="s">
        <v>630</v>
      </c>
      <c r="AH2120" s="91" t="s">
        <v>631</v>
      </c>
      <c r="AI2120" s="91"/>
      <c r="AJ2120" s="91"/>
      <c r="AK2120" s="91"/>
      <c r="AL2120" s="91"/>
      <c r="AM2120" s="91"/>
      <c r="AN2120" s="91"/>
      <c r="AO2120" s="91"/>
      <c r="AP2120" s="91"/>
      <c r="AQ2120" s="91"/>
      <c r="AR2120" s="91"/>
      <c r="AS2120" s="91"/>
      <c r="AT2120" s="91"/>
      <c r="AU2120" s="91"/>
      <c r="AV2120" s="91"/>
    </row>
    <row r="2121" spans="25:49" hidden="1" x14ac:dyDescent="0.25">
      <c r="Y2121" s="91"/>
      <c r="Z2121" s="100"/>
      <c r="AA2121" s="94" t="s">
        <v>1140</v>
      </c>
      <c r="AB2121" s="94" t="s">
        <v>1119</v>
      </c>
      <c r="AC2121" s="94" t="s">
        <v>1138</v>
      </c>
      <c r="AD2121" s="94" t="s">
        <v>1138</v>
      </c>
      <c r="AE2121" s="71" t="s">
        <v>1141</v>
      </c>
      <c r="AF2121" s="71" t="s">
        <v>1141</v>
      </c>
      <c r="AG2121" s="71" t="s">
        <v>1142</v>
      </c>
      <c r="AH2121" s="71" t="s">
        <v>1142</v>
      </c>
      <c r="AI2121" s="91"/>
      <c r="AJ2121" s="91"/>
      <c r="AK2121" s="91"/>
      <c r="AL2121" s="91"/>
      <c r="AM2121" s="91"/>
      <c r="AN2121" s="91"/>
      <c r="AO2121" s="91"/>
      <c r="AP2121" s="91"/>
      <c r="AQ2121" s="91"/>
      <c r="AR2121" s="91"/>
      <c r="AS2121" s="91"/>
      <c r="AT2121" s="91"/>
      <c r="AU2121" s="91"/>
      <c r="AV2121" s="91"/>
    </row>
    <row r="2122" spans="25:49" hidden="1" x14ac:dyDescent="0.25">
      <c r="Y2122" s="91"/>
      <c r="Z2122" s="90" t="s">
        <v>1143</v>
      </c>
      <c r="AA2122" s="96">
        <v>0.25</v>
      </c>
      <c r="AB2122" s="96">
        <v>0.35</v>
      </c>
      <c r="AC2122" s="81" t="str">
        <f>IF(Wst02_01="Input Required",AIS_No,IF(Wst02_01&gt;=AA2122,AIS_Yes,AIS_No))</f>
        <v>No</v>
      </c>
      <c r="AD2122" s="81" t="str">
        <f>IF(Wst02_01="Input Required",AIS_No,IF(L1141&gt;=AB2122,AIS_Yes,AIS_No))</f>
        <v>No</v>
      </c>
      <c r="AE2122" s="71"/>
      <c r="AF2122" s="71"/>
      <c r="AG2122" s="71"/>
      <c r="AH2122" s="71"/>
      <c r="AI2122" s="91"/>
      <c r="AJ2122" s="91"/>
      <c r="AK2122" s="91"/>
      <c r="AL2122" s="91"/>
      <c r="AM2122" s="91"/>
      <c r="AN2122" s="91"/>
      <c r="AO2122" s="91"/>
      <c r="AP2122" s="91"/>
      <c r="AQ2122" s="91"/>
      <c r="AR2122" s="91"/>
      <c r="AS2122" s="91"/>
      <c r="AT2122" s="91"/>
      <c r="AU2122" s="91"/>
      <c r="AV2122" s="91"/>
    </row>
    <row r="2123" spans="25:49" hidden="1" x14ac:dyDescent="0.25">
      <c r="Y2123" s="91"/>
      <c r="Z2123" s="90" t="s">
        <v>632</v>
      </c>
      <c r="AA2123" s="96">
        <v>0.15</v>
      </c>
      <c r="AB2123" s="96">
        <v>0.3</v>
      </c>
      <c r="AC2123" s="81" t="str">
        <f>IF(Wst02_02=AIS_NA,AIS_NA,IF(Wst02_02&gt;=AA2123,AIS_Yes,AIS_No))</f>
        <v>No</v>
      </c>
      <c r="AD2123" s="81" t="str">
        <f>IF(AC2123=AIS_NA,AIS_NA,IF(Wst02_02&gt;=AB2123,AIS_Yes,AIS_No))</f>
        <v>No</v>
      </c>
      <c r="AE2123" s="71">
        <f t="shared" ref="AE2123:AE2128" si="8">IF(AC2123=AIS_Yes,L1145,0)</f>
        <v>0</v>
      </c>
      <c r="AF2123" s="71">
        <f t="shared" ref="AF2123:AF2128" si="9">IF(AD2123=AIS_Yes,L1145,0)</f>
        <v>0</v>
      </c>
      <c r="AG2123" s="71">
        <f>IF(Wst02_02=AIS_NA,0,AE2123*Wst02_02)</f>
        <v>0</v>
      </c>
      <c r="AH2123" s="71">
        <f>IF(Wst02_02=AIS_NA,0,AF2123*Wst02_02)</f>
        <v>0</v>
      </c>
      <c r="AI2123" s="91"/>
      <c r="AJ2123" s="91"/>
      <c r="AK2123" s="91"/>
      <c r="AL2123" s="91"/>
      <c r="AM2123" s="91"/>
      <c r="AN2123" s="91"/>
      <c r="AO2123" s="91"/>
      <c r="AP2123" s="91"/>
      <c r="AQ2123" s="91"/>
      <c r="AR2123" s="91"/>
      <c r="AS2123" s="91"/>
      <c r="AT2123" s="91"/>
      <c r="AU2123" s="91"/>
      <c r="AV2123" s="91"/>
    </row>
    <row r="2124" spans="25:49" hidden="1" x14ac:dyDescent="0.25">
      <c r="Y2124" s="91"/>
      <c r="Z2124" s="90" t="s">
        <v>1144</v>
      </c>
      <c r="AA2124" s="96">
        <v>0.3</v>
      </c>
      <c r="AB2124" s="96">
        <v>0.75</v>
      </c>
      <c r="AC2124" s="81" t="str">
        <f>IF(Wst02_03=AIS_NA,AIS_NA,IF(Wst02_03&gt;=AA2124,AIS_Yes,AIS_No))</f>
        <v>No</v>
      </c>
      <c r="AD2124" s="81" t="str">
        <f>IF(AC2124=AIS_NA,AIS_NA,IF(Wst02_03&gt;=AB2124,AIS_Yes,AIS_No))</f>
        <v>No</v>
      </c>
      <c r="AE2124" s="71">
        <f t="shared" si="8"/>
        <v>0</v>
      </c>
      <c r="AF2124" s="71">
        <f t="shared" si="9"/>
        <v>0</v>
      </c>
      <c r="AG2124" s="71">
        <f>IF(Wst02_03=AIS_NA,0,AE2124*Wst02_03)</f>
        <v>0</v>
      </c>
      <c r="AH2124" s="71">
        <f>IF(Wst02_03=AIS_NA,0,AF2124*Wst02_03)</f>
        <v>0</v>
      </c>
      <c r="AI2124" s="91"/>
      <c r="AJ2124" s="91"/>
      <c r="AK2124" s="91"/>
      <c r="AL2124" s="91"/>
      <c r="AM2124" s="91"/>
      <c r="AN2124" s="91"/>
      <c r="AO2124" s="91"/>
      <c r="AP2124" s="91"/>
      <c r="AQ2124" s="91"/>
      <c r="AR2124" s="91"/>
      <c r="AS2124" s="91"/>
      <c r="AT2124" s="91"/>
      <c r="AU2124" s="91"/>
      <c r="AV2124" s="91"/>
    </row>
    <row r="2125" spans="25:49" hidden="1" x14ac:dyDescent="0.25">
      <c r="Y2125" s="91"/>
      <c r="Z2125" s="90" t="s">
        <v>635</v>
      </c>
      <c r="AA2125" s="96">
        <v>0.2</v>
      </c>
      <c r="AB2125" s="96">
        <v>0.35</v>
      </c>
      <c r="AC2125" s="81" t="str">
        <f>IF(Wst02_04=AIS_NA,AIS_NA,IF(Wst02_04&gt;=AA2125,AIS_Yes,AIS_No))</f>
        <v>No</v>
      </c>
      <c r="AD2125" s="81" t="str">
        <f>IF(AC2125=AIS_NA,AIS_NA,IF(Wst02_04&gt;=AB2125,AIS_Yes,AIS_No))</f>
        <v>No</v>
      </c>
      <c r="AE2125" s="71">
        <f t="shared" si="8"/>
        <v>0</v>
      </c>
      <c r="AF2125" s="71">
        <f t="shared" si="9"/>
        <v>0</v>
      </c>
      <c r="AG2125" s="71">
        <f>IF(Wst02_04=AIS_NA,0,AE2125*Wst02_04)</f>
        <v>0</v>
      </c>
      <c r="AH2125" s="71">
        <f>IF(Wst02_04=AIS_NA,0,AF2125*Wst02_04)</f>
        <v>0</v>
      </c>
      <c r="AI2125" s="91"/>
      <c r="AJ2125" s="91"/>
      <c r="AK2125" s="91"/>
      <c r="AL2125" s="91"/>
      <c r="AM2125" s="91"/>
      <c r="AN2125" s="91"/>
      <c r="AO2125" s="91"/>
      <c r="AP2125" s="91"/>
      <c r="AQ2125" s="91"/>
      <c r="AR2125" s="91"/>
      <c r="AS2125" s="91"/>
      <c r="AT2125" s="91"/>
      <c r="AU2125" s="91"/>
      <c r="AV2125" s="91"/>
    </row>
    <row r="2126" spans="25:49" hidden="1" x14ac:dyDescent="0.25">
      <c r="Y2126" s="91"/>
      <c r="Z2126" s="90" t="s">
        <v>636</v>
      </c>
      <c r="AA2126" s="96">
        <v>0.15</v>
      </c>
      <c r="AB2126" s="96">
        <v>0.45</v>
      </c>
      <c r="AC2126" s="81" t="str">
        <f>IF(Wst02_05=AIS_NA,AIS_NA,IF(Wst02_05&gt;=AA2126,AIS_Yes,AIS_No))</f>
        <v>No</v>
      </c>
      <c r="AD2126" s="81" t="str">
        <f>IF(AC2126=AIS_NA,AIS_NA,IF(Wst02_05&gt;=AB2126,AIS_Yes,AIS_No))</f>
        <v>No</v>
      </c>
      <c r="AE2126" s="71">
        <f t="shared" si="8"/>
        <v>0</v>
      </c>
      <c r="AF2126" s="71">
        <f t="shared" si="9"/>
        <v>0</v>
      </c>
      <c r="AG2126" s="71">
        <f>IF(Wst02_05=AIS_NA,0,AE2126*Wst02_05)</f>
        <v>0</v>
      </c>
      <c r="AH2126" s="71">
        <f>IF(Wst02_05=AIS_NA,0,AF2126*Wst02_05)</f>
        <v>0</v>
      </c>
      <c r="AI2126" s="91"/>
      <c r="AJ2126" s="91"/>
      <c r="AK2126" s="91"/>
      <c r="AL2126" s="91"/>
      <c r="AM2126" s="91"/>
      <c r="AN2126" s="91"/>
      <c r="AO2126" s="91"/>
      <c r="AP2126" s="91"/>
      <c r="AQ2126" s="91"/>
      <c r="AR2126" s="91"/>
      <c r="AS2126" s="91"/>
      <c r="AT2126" s="91"/>
      <c r="AU2126" s="91"/>
      <c r="AV2126" s="91"/>
    </row>
    <row r="2127" spans="25:49" hidden="1" x14ac:dyDescent="0.25">
      <c r="Y2127" s="91"/>
      <c r="Z2127" s="90" t="s">
        <v>638</v>
      </c>
      <c r="AA2127" s="96">
        <v>1</v>
      </c>
      <c r="AB2127" s="96">
        <v>1</v>
      </c>
      <c r="AC2127" s="81" t="str">
        <f>IF(Wst02_06=AIS_NA,AIS_NA,IF(Wst02_06&gt;=AA2127,AIS_Yes,AIS_No))</f>
        <v>No</v>
      </c>
      <c r="AD2127" s="81" t="str">
        <f>IF(AC2127=AIS_NA,AIS_NA,IF(Wst02_06&gt;=AA2127,AIS_Yes,AIS_No))</f>
        <v>No</v>
      </c>
      <c r="AE2127" s="71">
        <f t="shared" si="8"/>
        <v>0</v>
      </c>
      <c r="AF2127" s="71">
        <f t="shared" si="9"/>
        <v>0</v>
      </c>
      <c r="AG2127" s="71">
        <f>IF(Wst02_06=AIS_NA,0,AE2127*Wst02_06)</f>
        <v>0</v>
      </c>
      <c r="AH2127" s="71">
        <f>IF(Wst02_06=AIS_NA,0,AF2127*Wst02_06)</f>
        <v>0</v>
      </c>
      <c r="AI2127" s="91"/>
      <c r="AJ2127" s="91"/>
      <c r="AK2127" s="91"/>
      <c r="AL2127" s="91"/>
      <c r="AM2127" s="91"/>
      <c r="AN2127" s="91"/>
      <c r="AO2127" s="91"/>
      <c r="AP2127" s="91"/>
      <c r="AQ2127" s="91"/>
      <c r="AR2127" s="91"/>
      <c r="AS2127" s="91"/>
      <c r="AT2127" s="91"/>
      <c r="AU2127" s="91"/>
      <c r="AV2127" s="91"/>
    </row>
    <row r="2128" spans="25:49" hidden="1" x14ac:dyDescent="0.25">
      <c r="Y2128" s="91"/>
      <c r="Z2128" s="90" t="s">
        <v>639</v>
      </c>
      <c r="AA2128" s="96">
        <v>1</v>
      </c>
      <c r="AB2128" s="96">
        <v>1</v>
      </c>
      <c r="AC2128" s="81" t="str">
        <f>IF(Wst02_08=AIS_NA,AIS_NA,IF(Wst02_08&gt;=AA2128,AIS_Yes,AIS_No))</f>
        <v>No</v>
      </c>
      <c r="AD2128" s="81" t="str">
        <f>IF(AC2128=AIS_NA,AIS_NA,IF(Wst02_08&gt;=AA2128,AIS_Yes,AIS_No))</f>
        <v>No</v>
      </c>
      <c r="AE2128" s="71">
        <f t="shared" si="8"/>
        <v>0</v>
      </c>
      <c r="AF2128" s="71">
        <f t="shared" si="9"/>
        <v>0</v>
      </c>
      <c r="AG2128" s="71">
        <f>IF(Wst02_07=AIS_NA,0,AE2128*Wst02_07)</f>
        <v>0</v>
      </c>
      <c r="AH2128" s="71">
        <f>IF(Wst02_07=AIS_NA,0,AF2128*Wst02_07)</f>
        <v>0</v>
      </c>
      <c r="AI2128" s="91"/>
      <c r="AJ2128" s="91"/>
      <c r="AK2128" s="91"/>
      <c r="AL2128" s="91"/>
      <c r="AM2128" s="91"/>
      <c r="AN2128" s="91"/>
      <c r="AO2128" s="91"/>
      <c r="AP2128" s="91"/>
      <c r="AQ2128" s="91"/>
      <c r="AR2128" s="91"/>
      <c r="AS2128" s="91"/>
      <c r="AT2128" s="91"/>
      <c r="AU2128" s="91"/>
      <c r="AV2128" s="91"/>
    </row>
    <row r="2129" spans="25:49" hidden="1" x14ac:dyDescent="0.25">
      <c r="Y2129" s="91"/>
      <c r="Z2129" s="91"/>
      <c r="AA2129" s="91"/>
      <c r="AB2129" s="91"/>
      <c r="AC2129" s="91"/>
      <c r="AD2129" s="91"/>
      <c r="AE2129" s="91"/>
      <c r="AF2129" s="91"/>
      <c r="AG2129" s="91"/>
      <c r="AH2129" s="91"/>
      <c r="AI2129" s="91"/>
      <c r="AJ2129" s="91"/>
      <c r="AK2129" s="91"/>
      <c r="AL2129" s="91"/>
      <c r="AM2129" s="79"/>
      <c r="AN2129" s="79"/>
      <c r="AO2129" s="79"/>
      <c r="AP2129" s="91"/>
      <c r="AQ2129" s="91"/>
      <c r="AR2129" s="91"/>
      <c r="AS2129" s="91"/>
      <c r="AT2129" s="91"/>
      <c r="AU2129" s="91"/>
      <c r="AV2129" s="91"/>
    </row>
    <row r="2130" spans="25:49" hidden="1" x14ac:dyDescent="0.25">
      <c r="Y2130" s="91"/>
      <c r="Z2130" s="683" t="s">
        <v>1145</v>
      </c>
      <c r="AA2130" s="78"/>
      <c r="AB2130" s="78"/>
      <c r="AC2130" s="565" t="s">
        <v>1146</v>
      </c>
      <c r="AD2130" s="564"/>
      <c r="AE2130" s="79"/>
      <c r="AF2130" s="79"/>
      <c r="AG2130" s="79"/>
      <c r="AH2130" s="79"/>
      <c r="AI2130" s="79"/>
      <c r="AJ2130" s="79"/>
      <c r="AK2130" s="79"/>
      <c r="AL2130" s="79"/>
      <c r="AM2130" s="91"/>
      <c r="AN2130" s="91"/>
      <c r="AO2130" s="91"/>
      <c r="AP2130" s="79"/>
      <c r="AQ2130" s="79"/>
      <c r="AR2130" s="79"/>
      <c r="AS2130" s="79"/>
      <c r="AT2130" s="79"/>
      <c r="AU2130" s="79"/>
      <c r="AV2130" s="79"/>
      <c r="AW2130" s="523"/>
    </row>
    <row r="2131" spans="25:49" hidden="1" x14ac:dyDescent="0.25">
      <c r="Y2131" s="91"/>
      <c r="Z2131" s="91"/>
      <c r="AA2131" s="91"/>
      <c r="AB2131" s="91"/>
      <c r="AC2131" s="566">
        <f>SUM(L1145:L1150)</f>
        <v>0</v>
      </c>
      <c r="AD2131" s="564"/>
      <c r="AE2131" s="91"/>
      <c r="AF2131" s="91"/>
      <c r="AG2131" s="91"/>
      <c r="AH2131" s="91"/>
      <c r="AI2131" s="91"/>
      <c r="AJ2131" s="91"/>
      <c r="AK2131" s="91"/>
      <c r="AL2131" s="91"/>
      <c r="AM2131" s="91"/>
      <c r="AN2131" s="91"/>
      <c r="AO2131" s="91"/>
      <c r="AP2131" s="91"/>
      <c r="AQ2131" s="91"/>
      <c r="AR2131" s="91"/>
      <c r="AS2131" s="91"/>
      <c r="AT2131" s="91"/>
      <c r="AU2131" s="91"/>
      <c r="AV2131" s="91"/>
    </row>
    <row r="2132" spans="25:49" hidden="1" x14ac:dyDescent="0.25">
      <c r="Y2132" s="91"/>
      <c r="Z2132" s="71" t="s">
        <v>1147</v>
      </c>
      <c r="AA2132" s="91"/>
      <c r="AB2132" s="91"/>
      <c r="AC2132" s="564"/>
      <c r="AD2132" s="565" t="s">
        <v>630</v>
      </c>
      <c r="AE2132" s="565" t="s">
        <v>631</v>
      </c>
      <c r="AF2132" s="91"/>
      <c r="AG2132" s="91"/>
      <c r="AH2132" s="91"/>
      <c r="AI2132" s="91"/>
      <c r="AJ2132" s="91"/>
      <c r="AK2132" s="91"/>
      <c r="AL2132" s="91"/>
      <c r="AM2132" s="91"/>
      <c r="AN2132" s="91"/>
      <c r="AO2132" s="91"/>
      <c r="AP2132" s="91"/>
      <c r="AQ2132" s="91"/>
      <c r="AR2132" s="91"/>
      <c r="AS2132" s="91"/>
      <c r="AT2132" s="91"/>
      <c r="AU2132" s="91"/>
      <c r="AV2132" s="91"/>
    </row>
    <row r="2133" spans="25:49" hidden="1" x14ac:dyDescent="0.25">
      <c r="Y2133" s="91"/>
      <c r="Z2133" s="71" t="s">
        <v>1148</v>
      </c>
      <c r="AA2133" s="91"/>
      <c r="AB2133" s="91"/>
      <c r="AC2133" s="565" t="s">
        <v>1149</v>
      </c>
      <c r="AD2133" s="565" t="s">
        <v>1150</v>
      </c>
      <c r="AE2133" s="565" t="s">
        <v>1150</v>
      </c>
      <c r="AF2133" s="91"/>
      <c r="AG2133" s="91"/>
      <c r="AH2133" s="91"/>
      <c r="AI2133" s="91"/>
      <c r="AJ2133" s="91"/>
      <c r="AK2133" s="91"/>
      <c r="AL2133" s="91"/>
      <c r="AM2133" s="91"/>
      <c r="AN2133" s="91"/>
      <c r="AO2133" s="91"/>
      <c r="AP2133" s="91"/>
      <c r="AQ2133" s="91"/>
      <c r="AR2133" s="91"/>
      <c r="AS2133" s="91"/>
      <c r="AT2133" s="91"/>
      <c r="AU2133" s="91"/>
      <c r="AV2133" s="91"/>
    </row>
    <row r="2134" spans="25:49" hidden="1" x14ac:dyDescent="0.25">
      <c r="Y2134" s="91"/>
      <c r="Z2134" s="71" t="s">
        <v>1151</v>
      </c>
      <c r="AA2134" s="91"/>
      <c r="AB2134" s="91"/>
      <c r="AC2134" s="566">
        <f>SUM(AE2122:AE2128)</f>
        <v>0</v>
      </c>
      <c r="AD2134" s="581">
        <f>SUM(AG2122:AG2128)</f>
        <v>0</v>
      </c>
      <c r="AE2134" s="581">
        <f>SUM(AH2122:AH2128)</f>
        <v>0</v>
      </c>
      <c r="AF2134" s="91"/>
      <c r="AG2134" s="91"/>
      <c r="AH2134" s="91"/>
      <c r="AI2134" s="91"/>
      <c r="AJ2134" s="91"/>
      <c r="AK2134" s="91"/>
      <c r="AL2134" s="91"/>
      <c r="AM2134" s="91"/>
      <c r="AN2134" s="91"/>
      <c r="AO2134" s="91"/>
      <c r="AP2134" s="91"/>
      <c r="AQ2134" s="91"/>
      <c r="AR2134" s="91"/>
      <c r="AS2134" s="91"/>
      <c r="AT2134" s="91"/>
      <c r="AU2134" s="91"/>
      <c r="AV2134" s="91"/>
    </row>
    <row r="2135" spans="25:49" hidden="1" x14ac:dyDescent="0.25">
      <c r="Y2135" s="91"/>
      <c r="Z2135" s="91"/>
      <c r="AA2135" s="91"/>
      <c r="AB2135" s="91"/>
      <c r="AC2135" s="564"/>
      <c r="AD2135" s="564"/>
      <c r="AE2135" s="91"/>
      <c r="AF2135" s="91"/>
      <c r="AG2135" s="91"/>
      <c r="AH2135" s="91"/>
      <c r="AI2135" s="91"/>
      <c r="AJ2135" s="91"/>
      <c r="AK2135" s="91"/>
      <c r="AL2135" s="91"/>
      <c r="AM2135" s="79"/>
      <c r="AN2135" s="79"/>
      <c r="AO2135" s="79"/>
      <c r="AP2135" s="91"/>
      <c r="AQ2135" s="91"/>
      <c r="AR2135" s="91"/>
      <c r="AS2135" s="91"/>
      <c r="AT2135" s="91"/>
      <c r="AU2135" s="91"/>
      <c r="AV2135" s="91"/>
    </row>
    <row r="2136" spans="25:49" hidden="1" x14ac:dyDescent="0.25">
      <c r="Y2136" s="91"/>
      <c r="Z2136" s="683" t="s">
        <v>1152</v>
      </c>
      <c r="AA2136" s="78"/>
      <c r="AB2136" s="78"/>
      <c r="AC2136" s="565" t="s">
        <v>1153</v>
      </c>
      <c r="AD2136" s="565" t="s">
        <v>1154</v>
      </c>
      <c r="AE2136" s="79"/>
      <c r="AF2136" s="79"/>
      <c r="AG2136" s="79"/>
      <c r="AH2136" s="79"/>
      <c r="AI2136" s="79"/>
      <c r="AJ2136" s="79"/>
      <c r="AK2136" s="79"/>
      <c r="AL2136" s="79"/>
      <c r="AM2136" s="91"/>
      <c r="AN2136" s="91"/>
      <c r="AO2136" s="91"/>
      <c r="AP2136" s="79"/>
      <c r="AQ2136" s="79"/>
      <c r="AR2136" s="79"/>
      <c r="AS2136" s="79"/>
      <c r="AT2136" s="79"/>
      <c r="AU2136" s="79"/>
      <c r="AV2136" s="79"/>
      <c r="AW2136" s="523"/>
    </row>
    <row r="2137" spans="25:49" hidden="1" x14ac:dyDescent="0.25">
      <c r="Y2137" s="91"/>
      <c r="Z2137" s="91"/>
      <c r="AA2137" s="91"/>
      <c r="AB2137" s="91"/>
      <c r="AC2137" s="567" t="str">
        <f>IF(AC2131=0,"Input Required",AD2134/AC2131)</f>
        <v>Input Required</v>
      </c>
      <c r="AD2137" s="580" t="str">
        <f>IF(AC2131=0,"Input Required",AE2134/AC2131)</f>
        <v>Input Required</v>
      </c>
      <c r="AE2137" s="91"/>
      <c r="AF2137" s="91"/>
      <c r="AG2137" s="91"/>
      <c r="AH2137" s="91"/>
      <c r="AI2137" s="91"/>
      <c r="AJ2137" s="91"/>
      <c r="AK2137" s="91"/>
      <c r="AL2137" s="91"/>
      <c r="AM2137" s="91"/>
      <c r="AN2137" s="91"/>
      <c r="AO2137" s="91"/>
      <c r="AP2137" s="91"/>
      <c r="AQ2137" s="91"/>
      <c r="AR2137" s="91"/>
      <c r="AS2137" s="91"/>
      <c r="AT2137" s="91"/>
      <c r="AU2137" s="91"/>
      <c r="AV2137" s="91"/>
    </row>
    <row r="2138" spans="25:49" hidden="1" x14ac:dyDescent="0.25">
      <c r="Y2138" s="91"/>
      <c r="Z2138" s="75" t="s">
        <v>488</v>
      </c>
      <c r="AA2138" s="91"/>
      <c r="AB2138" s="91"/>
      <c r="AC2138" s="564"/>
      <c r="AD2138" s="564"/>
      <c r="AE2138" s="91"/>
      <c r="AF2138" s="91"/>
      <c r="AG2138" s="91"/>
      <c r="AH2138" s="91"/>
      <c r="AI2138" s="91"/>
      <c r="AJ2138" s="91"/>
      <c r="AK2138" s="91"/>
      <c r="AL2138" s="91"/>
      <c r="AM2138" s="91"/>
      <c r="AN2138" s="91"/>
      <c r="AO2138" s="91"/>
      <c r="AP2138" s="91"/>
      <c r="AQ2138" s="91"/>
      <c r="AR2138" s="91"/>
      <c r="AS2138" s="91"/>
      <c r="AT2138" s="91"/>
      <c r="AU2138" s="91"/>
      <c r="AV2138" s="91"/>
    </row>
    <row r="2139" spans="25:49" hidden="1" x14ac:dyDescent="0.25">
      <c r="Y2139" s="91"/>
      <c r="Z2139" s="71" t="s">
        <v>1155</v>
      </c>
      <c r="AA2139" s="91"/>
      <c r="AB2139" s="91"/>
      <c r="AC2139" s="91"/>
      <c r="AD2139" s="91"/>
      <c r="AE2139" s="91"/>
      <c r="AF2139" s="91"/>
      <c r="AG2139" s="91"/>
      <c r="AH2139" s="91"/>
      <c r="AI2139" s="91"/>
      <c r="AJ2139" s="91"/>
      <c r="AK2139" s="91"/>
      <c r="AL2139" s="91"/>
      <c r="AM2139" s="91"/>
      <c r="AN2139" s="91"/>
      <c r="AO2139" s="91"/>
      <c r="AP2139" s="91"/>
      <c r="AQ2139" s="91"/>
      <c r="AR2139" s="91"/>
      <c r="AS2139" s="91"/>
      <c r="AT2139" s="91"/>
      <c r="AU2139" s="91"/>
      <c r="AV2139" s="91"/>
    </row>
    <row r="2140" spans="25:49" hidden="1" x14ac:dyDescent="0.25">
      <c r="Y2140" s="91"/>
      <c r="Z2140" s="71" t="s">
        <v>1156</v>
      </c>
      <c r="AA2140" s="91"/>
      <c r="AB2140" s="91"/>
      <c r="AC2140" s="91"/>
      <c r="AD2140" s="91"/>
      <c r="AE2140" s="91"/>
      <c r="AF2140" s="91"/>
      <c r="AG2140" s="91"/>
      <c r="AH2140" s="91"/>
      <c r="AI2140" s="91"/>
      <c r="AJ2140" s="91"/>
      <c r="AK2140" s="91"/>
      <c r="AL2140" s="91"/>
      <c r="AM2140" s="91"/>
      <c r="AN2140" s="91"/>
      <c r="AO2140" s="91"/>
      <c r="AP2140" s="91"/>
      <c r="AQ2140" s="91"/>
      <c r="AR2140" s="91"/>
      <c r="AS2140" s="91"/>
      <c r="AT2140" s="91"/>
      <c r="AU2140" s="91"/>
      <c r="AV2140" s="91"/>
    </row>
    <row r="2141" spans="25:49" hidden="1" x14ac:dyDescent="0.25">
      <c r="Y2141" s="91"/>
      <c r="Z2141" s="71" t="s">
        <v>1157</v>
      </c>
      <c r="AA2141" s="91"/>
      <c r="AB2141" s="91"/>
      <c r="AC2141" s="91"/>
      <c r="AD2141" s="91"/>
      <c r="AE2141" s="91"/>
      <c r="AF2141" s="91"/>
      <c r="AG2141" s="91"/>
      <c r="AH2141" s="91"/>
      <c r="AI2141" s="91"/>
      <c r="AJ2141" s="91"/>
      <c r="AK2141" s="91"/>
      <c r="AL2141" s="91"/>
      <c r="AM2141" s="91"/>
      <c r="AN2141" s="91"/>
      <c r="AO2141" s="91"/>
      <c r="AP2141" s="91"/>
      <c r="AQ2141" s="91"/>
      <c r="AR2141" s="91"/>
      <c r="AS2141" s="91"/>
      <c r="AT2141" s="91"/>
      <c r="AU2141" s="91"/>
      <c r="AV2141" s="91"/>
    </row>
    <row r="2142" spans="25:49" hidden="1" x14ac:dyDescent="0.25">
      <c r="Y2142" s="91"/>
      <c r="Z2142" s="71" t="s">
        <v>1158</v>
      </c>
      <c r="AA2142" s="91"/>
      <c r="AB2142" s="91"/>
      <c r="AC2142" s="91"/>
      <c r="AD2142" s="91"/>
      <c r="AE2142" s="91"/>
      <c r="AF2142" s="91"/>
      <c r="AG2142" s="91"/>
      <c r="AH2142" s="91"/>
      <c r="AI2142" s="91"/>
      <c r="AJ2142" s="91"/>
      <c r="AK2142" s="91"/>
      <c r="AL2142" s="91"/>
      <c r="AM2142" s="91"/>
      <c r="AN2142" s="91"/>
      <c r="AO2142" s="91"/>
      <c r="AP2142" s="91"/>
      <c r="AQ2142" s="91"/>
      <c r="AR2142" s="91"/>
      <c r="AS2142" s="91"/>
      <c r="AT2142" s="91"/>
      <c r="AU2142" s="91"/>
      <c r="AV2142" s="91"/>
    </row>
    <row r="2143" spans="25:49" hidden="1" x14ac:dyDescent="0.25">
      <c r="Y2143" s="91"/>
      <c r="Z2143" s="71" t="s">
        <v>1159</v>
      </c>
      <c r="AA2143" s="91"/>
      <c r="AB2143" s="91"/>
      <c r="AC2143" s="91"/>
      <c r="AD2143" s="91"/>
      <c r="AE2143" s="91"/>
      <c r="AF2143" s="91"/>
      <c r="AG2143" s="91"/>
      <c r="AH2143" s="91"/>
      <c r="AI2143" s="91"/>
      <c r="AJ2143" s="91"/>
      <c r="AK2143" s="91"/>
      <c r="AL2143" s="91"/>
      <c r="AM2143" s="91"/>
      <c r="AN2143" s="91"/>
      <c r="AO2143" s="91"/>
      <c r="AP2143" s="91"/>
      <c r="AQ2143" s="91"/>
      <c r="AR2143" s="91"/>
      <c r="AS2143" s="91"/>
      <c r="AT2143" s="91"/>
      <c r="AU2143" s="91"/>
      <c r="AV2143" s="91"/>
    </row>
    <row r="2144" spans="25:49" hidden="1" x14ac:dyDescent="0.25">
      <c r="Y2144" s="91"/>
      <c r="Z2144" s="91" t="s">
        <v>1160</v>
      </c>
      <c r="AA2144" s="91"/>
      <c r="AB2144" s="91"/>
      <c r="AC2144" s="91"/>
      <c r="AD2144" s="91"/>
      <c r="AE2144" s="91"/>
      <c r="AF2144" s="91"/>
      <c r="AG2144" s="91"/>
      <c r="AH2144" s="91"/>
      <c r="AI2144" s="91"/>
      <c r="AJ2144" s="91"/>
      <c r="AK2144" s="91"/>
      <c r="AL2144" s="91"/>
      <c r="AM2144" s="91"/>
      <c r="AN2144" s="91"/>
      <c r="AO2144" s="91"/>
      <c r="AP2144" s="91"/>
      <c r="AQ2144" s="91"/>
      <c r="AR2144" s="91"/>
      <c r="AS2144" s="91"/>
      <c r="AT2144" s="91"/>
      <c r="AU2144" s="91"/>
      <c r="AV2144" s="91"/>
    </row>
    <row r="2145" spans="25:49" hidden="1" x14ac:dyDescent="0.25">
      <c r="Y2145" s="91"/>
      <c r="Z2145" s="91"/>
      <c r="AA2145" s="91"/>
      <c r="AB2145" s="91"/>
      <c r="AC2145" s="91"/>
      <c r="AD2145" s="91"/>
      <c r="AE2145" s="91"/>
      <c r="AF2145" s="91"/>
      <c r="AG2145" s="91"/>
      <c r="AH2145" s="91"/>
      <c r="AI2145" s="91"/>
      <c r="AJ2145" s="91"/>
      <c r="AK2145" s="91"/>
      <c r="AL2145" s="91"/>
      <c r="AM2145" s="79"/>
      <c r="AN2145" s="79"/>
      <c r="AO2145" s="79"/>
      <c r="AP2145" s="91"/>
      <c r="AQ2145" s="91"/>
      <c r="AR2145" s="91"/>
      <c r="AS2145" s="91"/>
      <c r="AT2145" s="91"/>
      <c r="AU2145" s="91"/>
      <c r="AV2145" s="91"/>
    </row>
    <row r="2146" spans="25:49" hidden="1" x14ac:dyDescent="0.25">
      <c r="Y2146" s="91"/>
      <c r="Z2146" s="683" t="s">
        <v>1161</v>
      </c>
      <c r="AA2146" s="78"/>
      <c r="AB2146" s="78"/>
      <c r="AC2146" s="79"/>
      <c r="AD2146" s="79"/>
      <c r="AE2146" s="79"/>
      <c r="AF2146" s="79"/>
      <c r="AG2146" s="79"/>
      <c r="AH2146" s="79"/>
      <c r="AI2146" s="79"/>
      <c r="AJ2146" s="79"/>
      <c r="AK2146" s="79"/>
      <c r="AL2146" s="79"/>
      <c r="AM2146" s="91"/>
      <c r="AN2146" s="91"/>
      <c r="AO2146" s="91"/>
      <c r="AP2146" s="79"/>
      <c r="AQ2146" s="79"/>
      <c r="AR2146" s="79"/>
      <c r="AS2146" s="79"/>
      <c r="AT2146" s="79"/>
      <c r="AU2146" s="79"/>
      <c r="AV2146" s="79"/>
      <c r="AW2146" s="523"/>
    </row>
    <row r="2147" spans="25:49" hidden="1" x14ac:dyDescent="0.25">
      <c r="Y2147" s="91"/>
      <c r="Z2147" s="91"/>
      <c r="AA2147" s="91"/>
      <c r="AB2147" s="91"/>
      <c r="AC2147" s="91"/>
      <c r="AD2147" s="91"/>
      <c r="AE2147" s="91"/>
      <c r="AF2147" s="91"/>
      <c r="AG2147" s="91"/>
      <c r="AH2147" s="91"/>
      <c r="AI2147" s="91"/>
      <c r="AJ2147" s="91"/>
      <c r="AK2147" s="91"/>
      <c r="AL2147" s="91"/>
      <c r="AM2147" s="91"/>
      <c r="AN2147" s="91"/>
      <c r="AO2147" s="91"/>
      <c r="AP2147" s="91"/>
      <c r="AQ2147" s="91"/>
      <c r="AR2147" s="91"/>
      <c r="AS2147" s="91"/>
      <c r="AT2147" s="91"/>
      <c r="AU2147" s="91"/>
      <c r="AV2147" s="91"/>
    </row>
    <row r="2148" spans="25:49" hidden="1" x14ac:dyDescent="0.25">
      <c r="Y2148" s="91"/>
      <c r="Z2148" s="71" t="s">
        <v>488</v>
      </c>
      <c r="AA2148" s="91"/>
      <c r="AB2148" s="91"/>
      <c r="AC2148" s="91"/>
      <c r="AD2148" s="91"/>
      <c r="AE2148" s="91"/>
      <c r="AF2148" s="91"/>
      <c r="AG2148" s="91"/>
      <c r="AH2148" s="91"/>
      <c r="AI2148" s="91"/>
      <c r="AJ2148" s="91"/>
      <c r="AK2148" s="91"/>
      <c r="AL2148" s="91"/>
      <c r="AM2148" s="91"/>
      <c r="AN2148" s="91"/>
      <c r="AO2148" s="91"/>
      <c r="AP2148" s="91"/>
      <c r="AQ2148" s="91"/>
      <c r="AR2148" s="91"/>
      <c r="AS2148" s="91"/>
      <c r="AT2148" s="91"/>
      <c r="AU2148" s="91"/>
      <c r="AV2148" s="91"/>
    </row>
    <row r="2149" spans="25:49" hidden="1" x14ac:dyDescent="0.25">
      <c r="Y2149" s="91"/>
      <c r="Z2149" s="71" t="s">
        <v>660</v>
      </c>
      <c r="AA2149" s="91"/>
      <c r="AB2149" s="91"/>
      <c r="AC2149" s="91"/>
      <c r="AD2149" s="91"/>
      <c r="AE2149" s="91"/>
      <c r="AF2149" s="91"/>
      <c r="AG2149" s="91"/>
      <c r="AH2149" s="91"/>
      <c r="AI2149" s="91"/>
      <c r="AJ2149" s="91"/>
      <c r="AK2149" s="91"/>
      <c r="AL2149" s="91"/>
      <c r="AM2149" s="91"/>
      <c r="AN2149" s="91"/>
      <c r="AO2149" s="91"/>
      <c r="AP2149" s="91"/>
      <c r="AQ2149" s="91"/>
      <c r="AR2149" s="91"/>
      <c r="AS2149" s="91"/>
      <c r="AT2149" s="91"/>
      <c r="AU2149" s="91"/>
      <c r="AV2149" s="91"/>
    </row>
    <row r="2150" spans="25:49" hidden="1" x14ac:dyDescent="0.25">
      <c r="Y2150" s="91"/>
      <c r="Z2150" s="71" t="s">
        <v>1162</v>
      </c>
      <c r="AA2150" s="91"/>
      <c r="AB2150" s="91"/>
      <c r="AC2150" s="91"/>
      <c r="AD2150" s="91"/>
      <c r="AE2150" s="91"/>
      <c r="AF2150" s="91"/>
      <c r="AG2150" s="91"/>
      <c r="AH2150" s="91"/>
      <c r="AI2150" s="91"/>
      <c r="AJ2150" s="91"/>
      <c r="AK2150" s="91"/>
      <c r="AL2150" s="91"/>
      <c r="AM2150" s="91"/>
      <c r="AN2150" s="91"/>
      <c r="AO2150" s="91"/>
      <c r="AP2150" s="91"/>
      <c r="AQ2150" s="91"/>
      <c r="AR2150" s="91"/>
      <c r="AS2150" s="91"/>
      <c r="AT2150" s="91"/>
      <c r="AU2150" s="91"/>
      <c r="AV2150" s="91"/>
    </row>
    <row r="2151" spans="25:49" hidden="1" x14ac:dyDescent="0.25">
      <c r="Y2151" s="91"/>
      <c r="Z2151" s="91"/>
      <c r="AA2151" s="91"/>
      <c r="AB2151" s="91"/>
      <c r="AC2151" s="91"/>
      <c r="AD2151" s="91"/>
      <c r="AE2151" s="91"/>
      <c r="AF2151" s="91"/>
      <c r="AG2151" s="91"/>
      <c r="AH2151" s="91"/>
      <c r="AI2151" s="91"/>
      <c r="AJ2151" s="91"/>
      <c r="AK2151" s="91"/>
      <c r="AL2151" s="91"/>
      <c r="AM2151" s="79"/>
      <c r="AN2151" s="79"/>
      <c r="AO2151" s="79"/>
      <c r="AP2151" s="91"/>
      <c r="AQ2151" s="91"/>
      <c r="AR2151" s="91"/>
      <c r="AS2151" s="91"/>
      <c r="AT2151" s="91"/>
      <c r="AU2151" s="91"/>
      <c r="AV2151" s="91"/>
    </row>
    <row r="2152" spans="25:49" hidden="1" x14ac:dyDescent="0.25">
      <c r="Y2152" s="91"/>
      <c r="Z2152" s="683" t="s">
        <v>1163</v>
      </c>
      <c r="AA2152" s="78"/>
      <c r="AB2152" s="78"/>
      <c r="AC2152" s="79"/>
      <c r="AD2152" s="79"/>
      <c r="AE2152" s="79"/>
      <c r="AF2152" s="79"/>
      <c r="AG2152" s="79"/>
      <c r="AH2152" s="79"/>
      <c r="AI2152" s="79"/>
      <c r="AJ2152" s="79"/>
      <c r="AK2152" s="79"/>
      <c r="AL2152" s="79"/>
      <c r="AM2152" s="79"/>
      <c r="AN2152" s="79"/>
      <c r="AO2152" s="79"/>
      <c r="AP2152" s="79"/>
      <c r="AQ2152" s="79"/>
      <c r="AR2152" s="79"/>
      <c r="AS2152" s="79"/>
      <c r="AT2152" s="79"/>
      <c r="AU2152" s="79"/>
      <c r="AV2152" s="79"/>
      <c r="AW2152" s="523"/>
    </row>
    <row r="2153" spans="25:49" hidden="1" x14ac:dyDescent="0.25">
      <c r="Y2153" s="91"/>
      <c r="Z2153" s="78"/>
      <c r="AA2153" s="78"/>
      <c r="AB2153" s="78"/>
      <c r="AC2153" s="79"/>
      <c r="AD2153" s="79"/>
      <c r="AE2153" s="79"/>
      <c r="AF2153" s="79"/>
      <c r="AG2153" s="79"/>
      <c r="AH2153" s="79"/>
      <c r="AI2153" s="79"/>
      <c r="AJ2153" s="79"/>
      <c r="AK2153" s="79"/>
      <c r="AL2153" s="79"/>
      <c r="AM2153" s="91"/>
      <c r="AN2153" s="91"/>
      <c r="AO2153" s="91"/>
      <c r="AP2153" s="79"/>
      <c r="AQ2153" s="79"/>
      <c r="AR2153" s="79"/>
      <c r="AS2153" s="79"/>
      <c r="AT2153" s="79"/>
      <c r="AU2153" s="79"/>
      <c r="AV2153" s="79"/>
      <c r="AW2153" s="523"/>
    </row>
    <row r="2154" spans="25:49" hidden="1" x14ac:dyDescent="0.25">
      <c r="Y2154" s="91"/>
      <c r="Z2154" s="71" t="s">
        <v>488</v>
      </c>
      <c r="AA2154" s="91"/>
      <c r="AB2154" s="91"/>
      <c r="AC2154" s="91"/>
      <c r="AD2154" s="91"/>
      <c r="AE2154" s="91"/>
      <c r="AF2154" s="91"/>
      <c r="AG2154" s="91"/>
      <c r="AH2154" s="91"/>
      <c r="AI2154" s="91"/>
      <c r="AJ2154" s="91"/>
      <c r="AK2154" s="91"/>
      <c r="AL2154" s="91"/>
      <c r="AM2154" s="91"/>
      <c r="AN2154" s="91"/>
      <c r="AO2154" s="91"/>
      <c r="AP2154" s="91"/>
      <c r="AQ2154" s="91"/>
      <c r="AR2154" s="91"/>
      <c r="AS2154" s="91"/>
      <c r="AT2154" s="91"/>
      <c r="AU2154" s="91"/>
      <c r="AV2154" s="91"/>
    </row>
    <row r="2155" spans="25:49" hidden="1" x14ac:dyDescent="0.25">
      <c r="Y2155" s="91"/>
      <c r="Z2155" s="71" t="s">
        <v>1164</v>
      </c>
      <c r="AA2155" s="91"/>
      <c r="AB2155" s="71">
        <v>0</v>
      </c>
      <c r="AC2155" s="91"/>
      <c r="AD2155" s="71">
        <v>2</v>
      </c>
      <c r="AE2155" s="91"/>
      <c r="AF2155" s="91"/>
      <c r="AG2155" s="91"/>
      <c r="AH2155" s="91"/>
      <c r="AI2155" s="91"/>
      <c r="AJ2155" s="91"/>
      <c r="AK2155" s="91"/>
      <c r="AL2155" s="91"/>
      <c r="AM2155" s="91"/>
      <c r="AN2155" s="91"/>
      <c r="AO2155" s="91"/>
      <c r="AP2155" s="91"/>
      <c r="AQ2155" s="91"/>
      <c r="AR2155" s="91"/>
      <c r="AS2155" s="91"/>
      <c r="AT2155" s="91"/>
      <c r="AU2155" s="91"/>
      <c r="AV2155" s="91"/>
    </row>
    <row r="2156" spans="25:49" hidden="1" x14ac:dyDescent="0.25">
      <c r="Y2156" s="91"/>
      <c r="Z2156" s="71" t="s">
        <v>1165</v>
      </c>
      <c r="AA2156" s="91"/>
      <c r="AB2156" s="71">
        <v>-9</v>
      </c>
      <c r="AC2156" s="91"/>
      <c r="AD2156" s="71">
        <v>1</v>
      </c>
      <c r="AE2156" s="91"/>
      <c r="AF2156" s="91"/>
      <c r="AG2156" s="91"/>
      <c r="AH2156" s="91"/>
      <c r="AI2156" s="91"/>
      <c r="AJ2156" s="91"/>
      <c r="AK2156" s="91"/>
      <c r="AL2156" s="91"/>
      <c r="AM2156" s="91"/>
      <c r="AN2156" s="91"/>
      <c r="AO2156" s="91"/>
      <c r="AP2156" s="91"/>
      <c r="AQ2156" s="91"/>
      <c r="AR2156" s="91"/>
      <c r="AS2156" s="91"/>
      <c r="AT2156" s="91"/>
      <c r="AU2156" s="91"/>
      <c r="AV2156" s="91"/>
    </row>
    <row r="2157" spans="25:49" hidden="1" x14ac:dyDescent="0.25">
      <c r="Y2157" s="91"/>
      <c r="Z2157" s="91"/>
      <c r="AA2157" s="91"/>
      <c r="AB2157" s="91"/>
      <c r="AC2157" s="91"/>
      <c r="AD2157" s="91"/>
      <c r="AE2157" s="91"/>
      <c r="AF2157" s="91"/>
      <c r="AG2157" s="91"/>
      <c r="AH2157" s="91"/>
      <c r="AI2157" s="91"/>
      <c r="AJ2157" s="91"/>
      <c r="AK2157" s="91"/>
      <c r="AL2157" s="91"/>
      <c r="AM2157" s="91"/>
      <c r="AN2157" s="91"/>
      <c r="AO2157" s="91"/>
      <c r="AP2157" s="91"/>
      <c r="AQ2157" s="91"/>
      <c r="AR2157" s="91"/>
      <c r="AS2157" s="91"/>
      <c r="AT2157" s="91"/>
      <c r="AU2157" s="91"/>
      <c r="AV2157" s="91"/>
    </row>
    <row r="2158" spans="25:49" hidden="1" x14ac:dyDescent="0.25">
      <c r="Y2158" s="91"/>
      <c r="Z2158" s="91"/>
      <c r="AA2158" s="91"/>
      <c r="AB2158" s="91"/>
      <c r="AC2158" s="91"/>
      <c r="AD2158" s="91"/>
      <c r="AE2158" s="91"/>
      <c r="AF2158" s="91"/>
      <c r="AG2158" s="91"/>
      <c r="AH2158" s="91"/>
      <c r="AI2158" s="91"/>
      <c r="AJ2158" s="91"/>
      <c r="AK2158" s="91"/>
      <c r="AL2158" s="91"/>
      <c r="AM2158" s="91"/>
      <c r="AN2158" s="91"/>
      <c r="AO2158" s="91"/>
      <c r="AP2158" s="91"/>
      <c r="AQ2158" s="91"/>
      <c r="AR2158" s="91"/>
      <c r="AS2158" s="91"/>
      <c r="AT2158" s="91"/>
      <c r="AU2158" s="91"/>
      <c r="AV2158" s="91"/>
    </row>
    <row r="2159" spans="25:49" hidden="1" x14ac:dyDescent="0.25">
      <c r="Y2159" s="91"/>
      <c r="Z2159" s="91"/>
      <c r="AA2159" s="91"/>
      <c r="AB2159" s="91"/>
      <c r="AC2159" s="91"/>
      <c r="AD2159" s="91"/>
      <c r="AE2159" s="91"/>
      <c r="AF2159" s="91"/>
      <c r="AG2159" s="91"/>
      <c r="AH2159" s="91"/>
      <c r="AI2159" s="91"/>
      <c r="AJ2159" s="91"/>
      <c r="AK2159" s="91"/>
      <c r="AL2159" s="91"/>
      <c r="AM2159" s="91"/>
      <c r="AN2159" s="91"/>
      <c r="AO2159" s="91"/>
      <c r="AP2159" s="91"/>
      <c r="AQ2159" s="91"/>
      <c r="AR2159" s="91"/>
      <c r="AS2159" s="91"/>
      <c r="AT2159" s="91"/>
      <c r="AU2159" s="91"/>
      <c r="AV2159" s="91"/>
    </row>
    <row r="2160" spans="25:49" hidden="1" x14ac:dyDescent="0.25">
      <c r="Y2160" s="91"/>
      <c r="Z2160" s="91"/>
      <c r="AA2160" s="91"/>
      <c r="AB2160" s="91"/>
      <c r="AC2160" s="91"/>
      <c r="AD2160" s="91"/>
      <c r="AE2160" s="91"/>
      <c r="AF2160" s="91"/>
      <c r="AG2160" s="91"/>
      <c r="AH2160" s="91"/>
      <c r="AI2160" s="91"/>
      <c r="AJ2160" s="91"/>
      <c r="AK2160" s="91"/>
      <c r="AL2160" s="91"/>
      <c r="AM2160" s="79"/>
      <c r="AN2160" s="79"/>
      <c r="AO2160" s="79"/>
      <c r="AP2160" s="91"/>
      <c r="AQ2160" s="91"/>
      <c r="AR2160" s="91"/>
      <c r="AS2160" s="91"/>
      <c r="AT2160" s="91"/>
      <c r="AU2160" s="91"/>
      <c r="AV2160" s="91"/>
    </row>
    <row r="2161" spans="25:49" hidden="1" x14ac:dyDescent="0.25">
      <c r="Y2161" s="91"/>
      <c r="Z2161" s="683" t="s">
        <v>1166</v>
      </c>
      <c r="AA2161" s="78"/>
      <c r="AB2161" s="78"/>
      <c r="AC2161" s="79"/>
      <c r="AD2161" s="79"/>
      <c r="AE2161" s="79"/>
      <c r="AF2161" s="79"/>
      <c r="AG2161" s="79"/>
      <c r="AH2161" s="79"/>
      <c r="AI2161" s="79"/>
      <c r="AJ2161" s="79"/>
      <c r="AK2161" s="79"/>
      <c r="AL2161" s="79"/>
      <c r="AM2161" s="91"/>
      <c r="AN2161" s="91"/>
      <c r="AO2161" s="91"/>
      <c r="AP2161" s="79"/>
      <c r="AQ2161" s="79"/>
      <c r="AR2161" s="79"/>
      <c r="AS2161" s="79"/>
      <c r="AT2161" s="79"/>
      <c r="AU2161" s="79"/>
      <c r="AV2161" s="79"/>
      <c r="AW2161" s="523"/>
    </row>
    <row r="2162" spans="25:49" hidden="1" x14ac:dyDescent="0.25">
      <c r="Y2162" s="91"/>
      <c r="Z2162" s="684"/>
      <c r="AA2162" s="91"/>
      <c r="AB2162" s="91"/>
      <c r="AC2162" s="91"/>
      <c r="AD2162" s="91"/>
      <c r="AE2162" s="91"/>
      <c r="AF2162" s="91"/>
      <c r="AG2162" s="91">
        <v>0</v>
      </c>
      <c r="AH2162" s="91">
        <v>0</v>
      </c>
      <c r="AI2162" s="91"/>
      <c r="AJ2162" s="91"/>
      <c r="AK2162" s="91"/>
      <c r="AL2162" s="91"/>
      <c r="AM2162" s="91"/>
      <c r="AN2162" s="91"/>
      <c r="AO2162" s="91"/>
      <c r="AP2162" s="91"/>
      <c r="AQ2162" s="91"/>
      <c r="AR2162" s="91"/>
      <c r="AS2162" s="91"/>
      <c r="AT2162" s="91"/>
      <c r="AU2162" s="91"/>
      <c r="AV2162" s="91"/>
    </row>
    <row r="2163" spans="25:49" hidden="1" x14ac:dyDescent="0.25">
      <c r="Y2163" s="91"/>
      <c r="Z2163" s="91"/>
      <c r="AA2163" s="81">
        <v>1</v>
      </c>
      <c r="AB2163" s="91"/>
      <c r="AC2163" s="91"/>
      <c r="AD2163" s="67" t="s">
        <v>1167</v>
      </c>
      <c r="AE2163" s="67" t="s">
        <v>1168</v>
      </c>
      <c r="AF2163" s="67"/>
      <c r="AG2163" s="91">
        <v>0.5</v>
      </c>
      <c r="AH2163" s="91">
        <v>1</v>
      </c>
      <c r="AI2163" s="91"/>
      <c r="AJ2163" s="91"/>
      <c r="AK2163" s="91"/>
      <c r="AL2163" s="91"/>
      <c r="AM2163" s="91"/>
      <c r="AN2163" s="91"/>
      <c r="AO2163" s="91"/>
      <c r="AP2163" s="91"/>
      <c r="AQ2163" s="91"/>
      <c r="AR2163" s="91"/>
      <c r="AS2163" s="91"/>
      <c r="AT2163" s="91"/>
      <c r="AU2163" s="91"/>
      <c r="AV2163" s="91"/>
    </row>
    <row r="2164" spans="25:49" hidden="1" x14ac:dyDescent="0.25">
      <c r="Y2164" s="91"/>
      <c r="Z2164" s="81">
        <v>0</v>
      </c>
      <c r="AA2164" s="81">
        <v>2</v>
      </c>
      <c r="AB2164" s="91"/>
      <c r="AC2164" s="91" t="s">
        <v>1169</v>
      </c>
      <c r="AD2164" s="71" t="e">
        <f>IF(AND(LE04_02=AIS_Yes,LE04_03=AIS_Yes,LE04_04&gt;=6),2,IF(AND(LE04_02=AIS_Yes,LE04_03=AIS_Yes),1,0))</f>
        <v>#REF!</v>
      </c>
      <c r="AE2164" s="71" t="e">
        <f>IF(AND(LE04_02=AIS_Yes,LE04_03=AIS_Yes,Le04_nonPrison=1,LE04_07=AIS_Yes,LE04_04&lt;6,LE04_04&gt;0),2,Le04_nonPrison)</f>
        <v>#REF!</v>
      </c>
      <c r="AF2164" s="91"/>
      <c r="AG2164" s="91">
        <v>0.75</v>
      </c>
      <c r="AH2164" s="91">
        <v>2</v>
      </c>
      <c r="AI2164" s="91"/>
      <c r="AJ2164" s="91"/>
      <c r="AK2164" s="91"/>
      <c r="AL2164" s="91"/>
      <c r="AM2164" s="91"/>
      <c r="AN2164" s="91"/>
      <c r="AO2164" s="91"/>
      <c r="AP2164" s="91"/>
      <c r="AQ2164" s="91"/>
      <c r="AR2164" s="91"/>
      <c r="AS2164" s="91"/>
      <c r="AT2164" s="91"/>
      <c r="AU2164" s="91"/>
      <c r="AV2164" s="91"/>
    </row>
    <row r="2165" spans="25:49" hidden="1" x14ac:dyDescent="0.25">
      <c r="Y2165" s="91"/>
      <c r="Z2165" s="81">
        <v>6</v>
      </c>
      <c r="AA2165" s="81">
        <v>3</v>
      </c>
      <c r="AB2165" s="91"/>
      <c r="AC2165" s="91" t="s">
        <v>1170</v>
      </c>
      <c r="AD2165" s="71">
        <f>IF(AND(LE04_02=AIS_Yes,LE04_03=AIS_Yes),2,0)</f>
        <v>0</v>
      </c>
      <c r="AE2165" s="91"/>
      <c r="AF2165" s="91"/>
      <c r="AG2165" s="91">
        <v>0.95</v>
      </c>
      <c r="AH2165" s="91">
        <v>3</v>
      </c>
      <c r="AI2165" s="91"/>
      <c r="AJ2165" s="91"/>
      <c r="AK2165" s="91"/>
      <c r="AL2165" s="91"/>
      <c r="AM2165" s="91"/>
      <c r="AN2165" s="91"/>
      <c r="AO2165" s="91"/>
      <c r="AP2165" s="91"/>
      <c r="AQ2165" s="91"/>
      <c r="AR2165" s="91"/>
      <c r="AS2165" s="91"/>
      <c r="AT2165" s="91"/>
      <c r="AU2165" s="91"/>
      <c r="AV2165" s="91"/>
    </row>
    <row r="2166" spans="25:49" hidden="1" x14ac:dyDescent="0.25">
      <c r="Y2166" s="91"/>
      <c r="Z2166" s="91"/>
      <c r="AA2166" s="91"/>
      <c r="AB2166" s="91"/>
      <c r="AC2166" s="91"/>
      <c r="AD2166" s="91"/>
      <c r="AE2166" s="91"/>
      <c r="AF2166" s="91"/>
      <c r="AG2166" s="91"/>
      <c r="AH2166" s="91"/>
      <c r="AI2166" s="91"/>
      <c r="AJ2166" s="91"/>
      <c r="AK2166" s="91"/>
      <c r="AL2166" s="91"/>
      <c r="AM2166" s="79"/>
      <c r="AN2166" s="79"/>
      <c r="AO2166" s="79"/>
      <c r="AP2166" s="91"/>
      <c r="AQ2166" s="91"/>
      <c r="AR2166" s="91"/>
      <c r="AS2166" s="91"/>
      <c r="AT2166" s="91"/>
      <c r="AU2166" s="91"/>
      <c r="AV2166" s="91"/>
    </row>
    <row r="2167" spans="25:49" hidden="1" x14ac:dyDescent="0.25">
      <c r="Y2167" s="91"/>
      <c r="Z2167" s="683" t="s">
        <v>1171</v>
      </c>
      <c r="AA2167" s="78"/>
      <c r="AB2167" s="78"/>
      <c r="AC2167" s="101" t="s">
        <v>497</v>
      </c>
      <c r="AD2167" s="79"/>
      <c r="AE2167" s="79"/>
      <c r="AF2167" s="79"/>
      <c r="AG2167" s="79"/>
      <c r="AH2167" s="79"/>
      <c r="AI2167" s="79"/>
      <c r="AJ2167" s="79"/>
      <c r="AK2167" s="79"/>
      <c r="AL2167" s="79"/>
      <c r="AM2167" s="79"/>
      <c r="AN2167" s="79"/>
      <c r="AO2167" s="79"/>
      <c r="AP2167" s="91"/>
      <c r="AQ2167" s="79"/>
      <c r="AR2167" s="79"/>
      <c r="AS2167" s="79"/>
      <c r="AT2167" s="79"/>
      <c r="AU2167" s="79"/>
      <c r="AV2167" s="79"/>
      <c r="AW2167" s="523"/>
    </row>
    <row r="2168" spans="25:49" hidden="1" x14ac:dyDescent="0.25">
      <c r="Y2168" s="91"/>
      <c r="Z2168" s="91"/>
      <c r="AA2168" s="91"/>
      <c r="AB2168" s="91"/>
      <c r="AC2168" s="91">
        <v>0</v>
      </c>
      <c r="AD2168" s="91"/>
      <c r="AE2168" s="91"/>
      <c r="AF2168" s="91"/>
      <c r="AG2168" s="91"/>
      <c r="AH2168" s="91"/>
      <c r="AI2168" s="91"/>
      <c r="AJ2168" s="91"/>
      <c r="AK2168" s="91"/>
      <c r="AL2168" s="91"/>
      <c r="AM2168" s="91"/>
      <c r="AN2168" s="91"/>
      <c r="AO2168" s="91"/>
      <c r="AP2168" s="79"/>
      <c r="AQ2168" s="91"/>
      <c r="AR2168" s="91"/>
      <c r="AS2168" s="91"/>
      <c r="AT2168" s="91"/>
      <c r="AU2168" s="91"/>
      <c r="AV2168" s="91"/>
    </row>
    <row r="2169" spans="25:49" hidden="1" x14ac:dyDescent="0.25">
      <c r="Y2169" s="91"/>
      <c r="Z2169" s="101" t="s">
        <v>1172</v>
      </c>
      <c r="AA2169" s="81" t="e">
        <f>IF(AND(ADBT0=ADBT4,OR(LE05_03="",LE05_04="",LE05_05="",LE05_06="",LE05_07="",LE05_08="")),AIS_Missing_data,IF(OR(LE05_03="",LE05_04="",LE05_05="",LE05_06="",LE05_07=""),AIS_Missing_data,AIS_Yes))</f>
        <v>#REF!</v>
      </c>
      <c r="AB2169" s="91"/>
      <c r="AC2169" s="91">
        <v>1</v>
      </c>
      <c r="AD2169" s="91"/>
      <c r="AE2169" s="91"/>
      <c r="AF2169" s="91"/>
      <c r="AG2169" s="91" t="s">
        <v>1173</v>
      </c>
      <c r="AH2169" s="66"/>
      <c r="AI2169" s="91"/>
      <c r="AJ2169" s="91"/>
      <c r="AK2169" s="102" t="s">
        <v>1174</v>
      </c>
      <c r="AL2169" s="66"/>
      <c r="AM2169" s="91"/>
      <c r="AN2169" s="91"/>
      <c r="AO2169" s="91"/>
      <c r="AP2169" s="91"/>
      <c r="AQ2169" s="91"/>
      <c r="AR2169" s="91"/>
      <c r="AS2169" s="91"/>
      <c r="AT2169" s="91"/>
      <c r="AU2169" s="91"/>
      <c r="AV2169" s="91"/>
    </row>
    <row r="2170" spans="25:49" hidden="1" x14ac:dyDescent="0.25">
      <c r="Y2170" s="91"/>
      <c r="Z2170" s="66" t="s">
        <v>1175</v>
      </c>
      <c r="AA2170" s="81" t="e">
        <f>IF(AND(ADBT0=ADBT4,LE05_12=AIS_Yes),COUNTA(LE05_range01)-COUNTIF(LE05_range01,AIS_NA),IF(LE05_12=AIS_Yes,COUNTA(LE05_range02)-COUNTIF(LE05_range02,AIS_NA),AIS_Missing_data))</f>
        <v>#REF!</v>
      </c>
      <c r="AB2170" s="91"/>
      <c r="AC2170" s="91">
        <v>2</v>
      </c>
      <c r="AD2170" s="91"/>
      <c r="AE2170" s="91"/>
      <c r="AF2170" s="91"/>
      <c r="AG2170" s="81" t="s">
        <v>1176</v>
      </c>
      <c r="AH2170" s="81">
        <v>1</v>
      </c>
      <c r="AI2170" s="81">
        <v>2</v>
      </c>
      <c r="AJ2170" s="91"/>
      <c r="AK2170" s="81" t="s">
        <v>1176</v>
      </c>
      <c r="AL2170" s="81">
        <v>1</v>
      </c>
      <c r="AM2170" s="81">
        <v>2</v>
      </c>
      <c r="AN2170" s="81">
        <v>3</v>
      </c>
      <c r="AO2170" s="91"/>
      <c r="AP2170" s="81" t="s">
        <v>1177</v>
      </c>
      <c r="AQ2170" s="91"/>
      <c r="AR2170" s="91"/>
      <c r="AS2170" s="91"/>
      <c r="AT2170" s="91"/>
      <c r="AU2170" s="91"/>
      <c r="AV2170" s="91"/>
    </row>
    <row r="2171" spans="25:49" hidden="1" x14ac:dyDescent="0.25">
      <c r="Y2171" s="91"/>
      <c r="Z2171" s="66" t="s">
        <v>1178</v>
      </c>
      <c r="AA2171" s="81" t="e">
        <f>IF(LE05_11=AIS_Missing_data,AIS_Missing_data,IF(ADBT0=ADBT4,COUNTIF(LE05_range01,AIS_Yes),COUNTIF(LE05_range02,AIS_Yes)))</f>
        <v>#REF!</v>
      </c>
      <c r="AB2171" s="91"/>
      <c r="AC2171" s="91">
        <v>3</v>
      </c>
      <c r="AD2171" s="91"/>
      <c r="AE2171" s="91"/>
      <c r="AF2171" s="91"/>
      <c r="AG2171" s="81">
        <v>1</v>
      </c>
      <c r="AH2171" s="81">
        <v>1</v>
      </c>
      <c r="AI2171" s="81">
        <v>1</v>
      </c>
      <c r="AJ2171" s="91"/>
      <c r="AK2171" s="81">
        <v>1</v>
      </c>
      <c r="AL2171" s="81">
        <v>1</v>
      </c>
      <c r="AM2171" s="81">
        <v>1</v>
      </c>
      <c r="AN2171" s="81">
        <v>1</v>
      </c>
      <c r="AO2171" s="91"/>
      <c r="AP2171" s="71"/>
      <c r="AQ2171" s="91"/>
      <c r="AR2171" s="91"/>
      <c r="AS2171" s="91"/>
      <c r="AT2171" s="91"/>
      <c r="AU2171" s="91"/>
      <c r="AV2171" s="91"/>
    </row>
    <row r="2172" spans="25:49" hidden="1" x14ac:dyDescent="0.25">
      <c r="Y2172" s="91"/>
      <c r="Z2172" s="91"/>
      <c r="AA2172" s="91"/>
      <c r="AB2172" s="91"/>
      <c r="AC2172" s="91">
        <v>4</v>
      </c>
      <c r="AD2172" s="91"/>
      <c r="AE2172" s="91"/>
      <c r="AF2172" s="91"/>
      <c r="AG2172" s="81">
        <v>2</v>
      </c>
      <c r="AH2172" s="81">
        <v>2</v>
      </c>
      <c r="AI2172" s="81">
        <v>2</v>
      </c>
      <c r="AJ2172" s="91"/>
      <c r="AK2172" s="81">
        <v>2</v>
      </c>
      <c r="AL2172" s="81">
        <v>2</v>
      </c>
      <c r="AM2172" s="81">
        <v>2</v>
      </c>
      <c r="AN2172" s="81">
        <v>2</v>
      </c>
      <c r="AO2172" s="91"/>
      <c r="AP2172" s="71">
        <f>IF(AND(LE05_04&gt;=4,LE05_05&gt;=4),IF(OR(LE05_04="Please Select",LE05_05="Please Select"),0,2),0)</f>
        <v>0</v>
      </c>
      <c r="AQ2172" s="91"/>
      <c r="AR2172" s="91"/>
      <c r="AS2172" s="91"/>
      <c r="AT2172" s="91"/>
      <c r="AU2172" s="91"/>
      <c r="AV2172" s="91"/>
    </row>
    <row r="2173" spans="25:49" hidden="1" x14ac:dyDescent="0.25">
      <c r="Y2173" s="91"/>
      <c r="Z2173" s="66" t="s">
        <v>386</v>
      </c>
      <c r="AA2173" s="81" t="e">
        <f>IF(AND(LE05_11=0,LE05_02=AIS_Yes),LE05_09,IF(ADBT0=ADBT6,VLOOKUP(LE05_13,LE05_range06,2,TRUE),VLOOKUP(LE05_13,LE05_range04,2,TRUE)))</f>
        <v>#REF!</v>
      </c>
      <c r="AB2173" s="91"/>
      <c r="AC2173" s="91">
        <v>5</v>
      </c>
      <c r="AD2173" s="91"/>
      <c r="AE2173" s="91"/>
      <c r="AF2173" s="91"/>
      <c r="AG2173" s="81">
        <v>3</v>
      </c>
      <c r="AH2173" s="81">
        <v>2</v>
      </c>
      <c r="AI2173" s="81">
        <v>3</v>
      </c>
      <c r="AJ2173" s="91"/>
      <c r="AK2173" s="81">
        <v>3</v>
      </c>
      <c r="AL2173" s="81">
        <v>1</v>
      </c>
      <c r="AM2173" s="81">
        <v>2</v>
      </c>
      <c r="AN2173" s="81">
        <v>3</v>
      </c>
      <c r="AO2173" s="91"/>
      <c r="AP2173" s="71">
        <f>IF(AND(OR(LE05_04=4,LE05_04=5,LE05_04=6),OR(LE05_05=2,LE05_05=3)),1,0)</f>
        <v>0</v>
      </c>
      <c r="AQ2173" s="91"/>
      <c r="AR2173" s="91"/>
      <c r="AS2173" s="91"/>
      <c r="AT2173" s="91"/>
      <c r="AU2173" s="91"/>
      <c r="AV2173" s="91"/>
    </row>
    <row r="2174" spans="25:49" hidden="1" x14ac:dyDescent="0.25">
      <c r="Y2174" s="91"/>
      <c r="Z2174" s="91"/>
      <c r="AA2174" s="91"/>
      <c r="AB2174" s="91"/>
      <c r="AC2174" s="91">
        <v>6</v>
      </c>
      <c r="AD2174" s="91"/>
      <c r="AE2174" s="91"/>
      <c r="AF2174" s="91"/>
      <c r="AG2174" s="81">
        <v>4</v>
      </c>
      <c r="AH2174" s="81">
        <v>2</v>
      </c>
      <c r="AI2174" s="81">
        <v>4</v>
      </c>
      <c r="AJ2174" s="91"/>
      <c r="AK2174" s="81">
        <v>4</v>
      </c>
      <c r="AL2174" s="81">
        <v>2</v>
      </c>
      <c r="AM2174" s="81">
        <v>3</v>
      </c>
      <c r="AN2174" s="81">
        <v>3</v>
      </c>
      <c r="AO2174" s="91"/>
      <c r="AP2174" s="71">
        <f>IF(AND(LE05_04=3,LE05_05=2),1,0)</f>
        <v>0</v>
      </c>
      <c r="AQ2174" s="91"/>
      <c r="AR2174" s="91"/>
      <c r="AS2174" s="91"/>
      <c r="AT2174" s="91"/>
      <c r="AU2174" s="91"/>
      <c r="AV2174" s="91"/>
    </row>
    <row r="2175" spans="25:49" hidden="1" x14ac:dyDescent="0.25">
      <c r="Y2175" s="91"/>
      <c r="Z2175" s="91"/>
      <c r="AA2175" s="91"/>
      <c r="AB2175" s="91"/>
      <c r="AC2175" s="91"/>
      <c r="AD2175" s="91"/>
      <c r="AE2175" s="91"/>
      <c r="AF2175" s="91"/>
      <c r="AG2175" s="81">
        <v>5</v>
      </c>
      <c r="AH2175" s="81">
        <v>2</v>
      </c>
      <c r="AI2175" s="81">
        <v>4</v>
      </c>
      <c r="AJ2175" s="91"/>
      <c r="AK2175" s="81">
        <v>5</v>
      </c>
      <c r="AL2175" s="81">
        <v>2</v>
      </c>
      <c r="AM2175" s="81">
        <v>3</v>
      </c>
      <c r="AN2175" s="81">
        <v>4</v>
      </c>
      <c r="AO2175" s="91"/>
      <c r="AP2175" s="71">
        <f>IF(AND(LE05_04=3,LE05_05&gt;=3),2,0)</f>
        <v>0</v>
      </c>
      <c r="AQ2175" s="91"/>
      <c r="AR2175" s="91"/>
      <c r="AS2175" s="91"/>
      <c r="AT2175" s="91"/>
      <c r="AU2175" s="91"/>
      <c r="AV2175" s="91"/>
    </row>
    <row r="2176" spans="25:49" hidden="1" x14ac:dyDescent="0.25">
      <c r="Y2176" s="91"/>
      <c r="Z2176" s="91"/>
      <c r="AA2176" s="91"/>
      <c r="AB2176" s="91"/>
      <c r="AC2176" s="91"/>
      <c r="AD2176" s="91"/>
      <c r="AE2176" s="91"/>
      <c r="AF2176" s="91"/>
      <c r="AG2176" s="81">
        <v>6</v>
      </c>
      <c r="AH2176" s="81">
        <v>2</v>
      </c>
      <c r="AI2176" s="81">
        <v>4</v>
      </c>
      <c r="AJ2176" s="91"/>
      <c r="AK2176" s="67"/>
      <c r="AL2176" s="91"/>
      <c r="AM2176" s="91"/>
      <c r="AN2176" s="91"/>
      <c r="AO2176" s="91"/>
      <c r="AP2176" s="71">
        <f>IF(AND(LE05_04=2,LE05_05&gt;=2),2,0)</f>
        <v>0</v>
      </c>
      <c r="AQ2176" s="91"/>
      <c r="AR2176" s="91"/>
      <c r="AS2176" s="91"/>
      <c r="AT2176" s="91"/>
      <c r="AU2176" s="91"/>
      <c r="AV2176" s="91"/>
    </row>
    <row r="2177" spans="25:49" hidden="1" x14ac:dyDescent="0.25">
      <c r="Y2177" s="91"/>
      <c r="Z2177" s="91"/>
      <c r="AA2177" s="91"/>
      <c r="AB2177" s="91"/>
      <c r="AC2177" s="91"/>
      <c r="AD2177" s="91"/>
      <c r="AE2177" s="91"/>
      <c r="AF2177" s="91"/>
      <c r="AG2177" s="91"/>
      <c r="AH2177" s="91"/>
      <c r="AI2177" s="91"/>
      <c r="AJ2177" s="91"/>
      <c r="AK2177" s="102" t="s">
        <v>1179</v>
      </c>
      <c r="AL2177" s="91"/>
      <c r="AM2177" s="91"/>
      <c r="AN2177" s="91"/>
      <c r="AO2177" s="91"/>
      <c r="AP2177" s="71">
        <f>IF(AND(LE05_04=1,LE05_05=1),2,0)</f>
        <v>0</v>
      </c>
      <c r="AQ2177" s="91"/>
      <c r="AR2177" s="91"/>
      <c r="AS2177" s="91"/>
      <c r="AT2177" s="91"/>
      <c r="AU2177" s="91"/>
      <c r="AV2177" s="91"/>
    </row>
    <row r="2178" spans="25:49" ht="16.5" hidden="1" thickBot="1" x14ac:dyDescent="0.3">
      <c r="Y2178" s="91"/>
      <c r="Z2178" s="91"/>
      <c r="AA2178" s="91"/>
      <c r="AB2178" s="91"/>
      <c r="AC2178" s="91"/>
      <c r="AD2178" s="91"/>
      <c r="AE2178" s="91"/>
      <c r="AF2178" s="91"/>
      <c r="AG2178" s="102" t="s">
        <v>1180</v>
      </c>
      <c r="AH2178" s="91"/>
      <c r="AI2178" s="91"/>
      <c r="AJ2178" s="91"/>
      <c r="AK2178" s="81" t="s">
        <v>1175</v>
      </c>
      <c r="AL2178" s="81" t="s">
        <v>386</v>
      </c>
      <c r="AM2178" s="91"/>
      <c r="AN2178" s="71">
        <f>IF(OR(AN2179=1,AN2180=1),1,0)</f>
        <v>0</v>
      </c>
      <c r="AO2178" s="442">
        <f>IF(AND(LE05_04=0,LE05_05=0),1,0)</f>
        <v>0</v>
      </c>
      <c r="AP2178" s="75">
        <f>IF(AND(AN2178=1,AO2178=1),2,0)</f>
        <v>0</v>
      </c>
      <c r="AQ2178" s="91"/>
      <c r="AR2178" s="91"/>
      <c r="AS2178" s="91"/>
      <c r="AT2178" s="91"/>
      <c r="AU2178" s="91"/>
      <c r="AV2178" s="91"/>
    </row>
    <row r="2179" spans="25:49" ht="16.5" hidden="1" thickBot="1" x14ac:dyDescent="0.3">
      <c r="Y2179" s="91"/>
      <c r="Z2179" s="91"/>
      <c r="AA2179" s="91"/>
      <c r="AB2179" s="91"/>
      <c r="AC2179" s="91"/>
      <c r="AD2179" s="91"/>
      <c r="AE2179" s="91"/>
      <c r="AF2179" s="91"/>
      <c r="AG2179" s="81" t="s">
        <v>1175</v>
      </c>
      <c r="AH2179" s="81" t="s">
        <v>386</v>
      </c>
      <c r="AI2179" s="91"/>
      <c r="AJ2179" s="91"/>
      <c r="AK2179" s="81">
        <v>0</v>
      </c>
      <c r="AL2179" s="81">
        <v>0</v>
      </c>
      <c r="AM2179" s="91"/>
      <c r="AN2179" s="71">
        <f>IF(AND(LE05_02="Yes",LE05_03="Yes"),1,0)</f>
        <v>0</v>
      </c>
      <c r="AO2179" s="91"/>
      <c r="AP2179" s="440">
        <f>IF(AND(LE05_02=AIS_Yes,LE05_03=LE05NA),2,IF(LE05_03="No",0,IF(LE05_05&gt;LE05_04,0,SUM(AP2171:AP2178))))</f>
        <v>0</v>
      </c>
      <c r="AQ2179" s="91"/>
      <c r="AR2179" s="91"/>
      <c r="AS2179" s="91"/>
      <c r="AT2179" s="91"/>
      <c r="AU2179" s="91"/>
      <c r="AV2179" s="91"/>
    </row>
    <row r="2180" spans="25:49" hidden="1" x14ac:dyDescent="0.25">
      <c r="Y2180" s="91"/>
      <c r="Z2180" s="91"/>
      <c r="AA2180" s="91"/>
      <c r="AB2180" s="91"/>
      <c r="AC2180" s="91"/>
      <c r="AD2180" s="91"/>
      <c r="AE2180" s="91"/>
      <c r="AF2180" s="91"/>
      <c r="AG2180" s="81">
        <v>0</v>
      </c>
      <c r="AH2180" s="81">
        <v>0</v>
      </c>
      <c r="AI2180" s="91"/>
      <c r="AJ2180" s="91"/>
      <c r="AK2180" s="85" t="e">
        <f>VLOOKUP(LE05_11,LE05_range05,2,FALSE)</f>
        <v>#REF!</v>
      </c>
      <c r="AL2180" s="85">
        <v>1</v>
      </c>
      <c r="AM2180" s="91"/>
      <c r="AN2180" s="71">
        <f>IF(AND(LE05_02="Yes",LE05_03=LE05NA),1,0)</f>
        <v>0</v>
      </c>
      <c r="AO2180" s="91"/>
      <c r="AP2180" s="91"/>
      <c r="AQ2180" s="91"/>
      <c r="AR2180" s="91"/>
      <c r="AS2180" s="91"/>
      <c r="AT2180" s="91"/>
      <c r="AU2180" s="91"/>
      <c r="AV2180" s="91"/>
    </row>
    <row r="2181" spans="25:49" hidden="1" x14ac:dyDescent="0.25">
      <c r="Y2181" s="91"/>
      <c r="Z2181" s="91"/>
      <c r="AA2181" s="91"/>
      <c r="AB2181" s="91"/>
      <c r="AC2181" s="91"/>
      <c r="AD2181" s="91"/>
      <c r="AE2181" s="91"/>
      <c r="AF2181" s="91"/>
      <c r="AG2181" s="85" t="e">
        <f>VLOOKUP(LE05_11,LE05_range03,2,FALSE)</f>
        <v>#REF!</v>
      </c>
      <c r="AH2181" s="85">
        <v>1</v>
      </c>
      <c r="AI2181" s="91"/>
      <c r="AJ2181" s="91"/>
      <c r="AK2181" s="85" t="e">
        <f>VLOOKUP(LE05_11,LE05_range05,3,FALSE)</f>
        <v>#REF!</v>
      </c>
      <c r="AL2181" s="85">
        <v>2</v>
      </c>
      <c r="AM2181" s="91"/>
      <c r="AN2181" s="91"/>
      <c r="AO2181" s="91"/>
      <c r="AP2181" s="91"/>
      <c r="AQ2181" s="91"/>
      <c r="AR2181" s="91"/>
      <c r="AS2181" s="91"/>
      <c r="AT2181" s="91"/>
      <c r="AU2181" s="91"/>
      <c r="AV2181" s="91"/>
    </row>
    <row r="2182" spans="25:49" hidden="1" x14ac:dyDescent="0.25">
      <c r="Y2182" s="91"/>
      <c r="Z2182" s="91"/>
      <c r="AA2182" s="91"/>
      <c r="AB2182" s="91"/>
      <c r="AC2182" s="91"/>
      <c r="AD2182" s="91"/>
      <c r="AE2182" s="91"/>
      <c r="AF2182" s="91"/>
      <c r="AG2182" s="85" t="e">
        <f>VLOOKUP(LE05_11,LE05_range03,3,FALSE)</f>
        <v>#REF!</v>
      </c>
      <c r="AH2182" s="85">
        <v>2</v>
      </c>
      <c r="AI2182" s="64"/>
      <c r="AJ2182" s="64"/>
      <c r="AK2182" s="85" t="e">
        <f>VLOOKUP(LE05_11,LE05_range05,4,FALSE)</f>
        <v>#REF!</v>
      </c>
      <c r="AL2182" s="85">
        <v>3</v>
      </c>
      <c r="AM2182" s="91"/>
      <c r="AN2182" s="91"/>
      <c r="AO2182" s="91"/>
      <c r="AP2182" s="91"/>
      <c r="AQ2182" s="91"/>
      <c r="AR2182" s="91"/>
      <c r="AS2182" s="91"/>
      <c r="AT2182" s="91"/>
      <c r="AU2182" s="91"/>
      <c r="AV2182" s="91"/>
    </row>
    <row r="2183" spans="25:49" hidden="1" x14ac:dyDescent="0.25">
      <c r="Y2183" s="91"/>
      <c r="Z2183" s="91"/>
      <c r="AA2183" s="91"/>
      <c r="AB2183" s="91"/>
      <c r="AC2183" s="91"/>
      <c r="AD2183" s="91"/>
      <c r="AE2183" s="91"/>
      <c r="AF2183" s="91"/>
      <c r="AG2183" s="64"/>
      <c r="AH2183" s="64"/>
      <c r="AI2183" s="64"/>
      <c r="AJ2183" s="64"/>
      <c r="AK2183" s="64"/>
      <c r="AL2183" s="64"/>
      <c r="AM2183" s="91"/>
      <c r="AN2183" s="91"/>
      <c r="AO2183" s="91"/>
      <c r="AP2183" s="91"/>
      <c r="AQ2183" s="91"/>
      <c r="AR2183" s="91"/>
      <c r="AS2183" s="91"/>
      <c r="AT2183" s="91"/>
      <c r="AU2183" s="91"/>
      <c r="AV2183" s="91"/>
    </row>
    <row r="2184" spans="25:49" hidden="1" x14ac:dyDescent="0.25">
      <c r="Y2184" s="91"/>
      <c r="Z2184" s="683" t="s">
        <v>1181</v>
      </c>
      <c r="AA2184" s="78"/>
      <c r="AB2184" s="78"/>
      <c r="AC2184" s="79"/>
      <c r="AD2184" s="79"/>
      <c r="AE2184" s="79"/>
      <c r="AF2184" s="79"/>
      <c r="AG2184" s="79"/>
      <c r="AH2184" s="79"/>
      <c r="AI2184" s="79"/>
      <c r="AJ2184" s="79"/>
      <c r="AK2184" s="79"/>
      <c r="AL2184" s="79"/>
      <c r="AM2184" s="79"/>
      <c r="AN2184" s="79"/>
      <c r="AO2184" s="79"/>
      <c r="AP2184" s="91"/>
      <c r="AQ2184" s="79"/>
      <c r="AR2184" s="79"/>
      <c r="AS2184" s="79"/>
      <c r="AT2184" s="79"/>
      <c r="AU2184" s="79"/>
      <c r="AV2184" s="79"/>
      <c r="AW2184" s="523"/>
    </row>
    <row r="2185" spans="25:49" hidden="1" x14ac:dyDescent="0.25">
      <c r="Y2185" s="91"/>
      <c r="Z2185" s="91"/>
      <c r="AA2185" s="91"/>
      <c r="AB2185" s="91"/>
      <c r="AC2185" s="91"/>
      <c r="AD2185" s="91"/>
      <c r="AE2185" s="91"/>
      <c r="AF2185" s="91"/>
      <c r="AG2185" s="91"/>
      <c r="AH2185" s="91"/>
      <c r="AI2185" s="91"/>
      <c r="AJ2185" s="91"/>
      <c r="AK2185" s="91"/>
      <c r="AL2185" s="91"/>
      <c r="AM2185" s="91"/>
      <c r="AN2185" s="91"/>
      <c r="AO2185" s="91"/>
      <c r="AP2185" s="79"/>
      <c r="AQ2185" s="91"/>
      <c r="AR2185" s="91"/>
      <c r="AS2185" s="91"/>
      <c r="AT2185" s="91"/>
      <c r="AU2185" s="91"/>
      <c r="AV2185" s="91"/>
    </row>
    <row r="2186" spans="25:49" hidden="1" x14ac:dyDescent="0.25">
      <c r="Y2186" s="91"/>
      <c r="Z2186" s="81">
        <v>0</v>
      </c>
      <c r="AA2186" s="81">
        <v>2</v>
      </c>
      <c r="AB2186" s="91"/>
      <c r="AC2186" s="91"/>
      <c r="AD2186" s="91"/>
      <c r="AE2186" s="91"/>
      <c r="AF2186" s="91"/>
      <c r="AG2186" s="91"/>
      <c r="AH2186" s="91"/>
      <c r="AI2186" s="91"/>
      <c r="AJ2186" s="91"/>
      <c r="AK2186" s="91"/>
      <c r="AL2186" s="91"/>
      <c r="AM2186" s="91"/>
      <c r="AN2186" s="91"/>
      <c r="AO2186" s="91"/>
      <c r="AP2186" s="91"/>
      <c r="AQ2186" s="91"/>
      <c r="AR2186" s="91"/>
      <c r="AS2186" s="91"/>
      <c r="AT2186" s="91"/>
      <c r="AU2186" s="91"/>
      <c r="AV2186" s="91"/>
    </row>
    <row r="2187" spans="25:49" hidden="1" x14ac:dyDescent="0.25">
      <c r="Y2187" s="91"/>
      <c r="Z2187" s="81">
        <v>100</v>
      </c>
      <c r="AA2187" s="81">
        <v>2</v>
      </c>
      <c r="AB2187" s="91"/>
      <c r="AC2187" s="91"/>
      <c r="AD2187" s="91"/>
      <c r="AE2187" s="91"/>
      <c r="AF2187" s="91"/>
      <c r="AG2187" s="91"/>
      <c r="AH2187" s="91"/>
      <c r="AI2187" s="91"/>
      <c r="AJ2187" s="91"/>
      <c r="AK2187" s="91"/>
      <c r="AL2187" s="91"/>
      <c r="AM2187" s="91"/>
      <c r="AN2187" s="91"/>
      <c r="AO2187" s="91"/>
      <c r="AP2187" s="91"/>
      <c r="AQ2187" s="91"/>
      <c r="AR2187" s="91"/>
      <c r="AS2187" s="91"/>
      <c r="AT2187" s="91"/>
      <c r="AU2187" s="91"/>
      <c r="AV2187" s="91"/>
    </row>
    <row r="2188" spans="25:49" hidden="1" x14ac:dyDescent="0.25">
      <c r="Y2188" s="91"/>
      <c r="Z2188" s="81">
        <v>1000</v>
      </c>
      <c r="AA2188" s="81">
        <v>1</v>
      </c>
      <c r="AB2188" s="91"/>
      <c r="AC2188" s="91"/>
      <c r="AD2188" s="91"/>
      <c r="AE2188" s="91"/>
      <c r="AF2188" s="91"/>
      <c r="AG2188" s="91"/>
      <c r="AH2188" s="91"/>
      <c r="AI2188" s="91"/>
      <c r="AJ2188" s="91"/>
      <c r="AK2188" s="91"/>
      <c r="AL2188" s="91"/>
      <c r="AM2188" s="91"/>
      <c r="AN2188" s="91"/>
      <c r="AO2188" s="91"/>
      <c r="AP2188" s="91"/>
      <c r="AQ2188" s="91"/>
      <c r="AR2188" s="91"/>
      <c r="AS2188" s="91"/>
      <c r="AT2188" s="91"/>
      <c r="AU2188" s="91"/>
      <c r="AV2188" s="91"/>
    </row>
    <row r="2189" spans="25:49" hidden="1" x14ac:dyDescent="0.25">
      <c r="Y2189" s="91"/>
      <c r="Z2189" s="74" t="s">
        <v>1182</v>
      </c>
      <c r="AA2189" s="81" t="b">
        <f>IF(Pol01_02=AIS_No,Pol01_03,IF(AND(Pol01_02=AIS_Yes,Pol01_06=AIS_Yes),Pol01_14,IF(AND(Pol01_02=AIS_Yes,Pol01_06=AIS_No),IF(Pol01_07="",Pol01_11,IF(Pol01_07&gt;Pol01_13,Pol01_11,IF(Pol01_07&gt;Pol01_12,Pol01_16,IF(Pol01_07&gt;=Pol01_11,Pol01_15)))))))</f>
        <v>0</v>
      </c>
      <c r="AB2189" s="91"/>
      <c r="AC2189" s="91"/>
      <c r="AD2189" s="91"/>
      <c r="AE2189" s="91"/>
      <c r="AF2189" s="91"/>
      <c r="AG2189" s="91"/>
      <c r="AH2189" s="91"/>
      <c r="AI2189" s="91"/>
      <c r="AJ2189" s="91"/>
      <c r="AK2189" s="91"/>
      <c r="AL2189" s="91"/>
      <c r="AM2189" s="91"/>
      <c r="AN2189" s="91"/>
      <c r="AO2189" s="91"/>
      <c r="AP2189" s="91"/>
      <c r="AQ2189" s="91"/>
      <c r="AR2189" s="91"/>
      <c r="AS2189" s="91"/>
      <c r="AT2189" s="91"/>
      <c r="AU2189" s="91"/>
      <c r="AV2189" s="91"/>
    </row>
    <row r="2190" spans="25:49" hidden="1" x14ac:dyDescent="0.25">
      <c r="Y2190" s="91"/>
      <c r="Z2190" s="91"/>
      <c r="AA2190" s="91"/>
      <c r="AB2190" s="91"/>
      <c r="AC2190" s="91"/>
      <c r="AD2190" s="91"/>
      <c r="AE2190" s="91"/>
      <c r="AF2190" s="91"/>
      <c r="AG2190" s="91"/>
      <c r="AH2190" s="91"/>
      <c r="AI2190" s="91"/>
      <c r="AJ2190" s="91"/>
      <c r="AK2190" s="91"/>
      <c r="AL2190" s="91"/>
      <c r="AM2190" s="91"/>
      <c r="AN2190" s="91"/>
      <c r="AO2190" s="91"/>
      <c r="AP2190" s="91"/>
      <c r="AQ2190" s="91"/>
      <c r="AR2190" s="91"/>
      <c r="AS2190" s="91"/>
      <c r="AT2190" s="91"/>
      <c r="AU2190" s="91"/>
      <c r="AV2190" s="91"/>
    </row>
    <row r="2191" spans="25:49" hidden="1" x14ac:dyDescent="0.25">
      <c r="Y2191" s="91"/>
      <c r="Z2191" s="91"/>
      <c r="AA2191" s="91"/>
      <c r="AB2191" s="91"/>
      <c r="AC2191" s="91"/>
      <c r="AD2191" s="91"/>
      <c r="AE2191" s="91"/>
      <c r="AF2191" s="91"/>
      <c r="AG2191" s="91"/>
      <c r="AH2191" s="91"/>
      <c r="AI2191" s="91"/>
      <c r="AJ2191" s="91"/>
      <c r="AK2191" s="91"/>
      <c r="AL2191" s="91"/>
      <c r="AM2191" s="91"/>
      <c r="AN2191" s="91"/>
      <c r="AO2191" s="91"/>
      <c r="AP2191" s="91"/>
      <c r="AQ2191" s="91"/>
      <c r="AR2191" s="91"/>
      <c r="AS2191" s="91"/>
      <c r="AT2191" s="91"/>
      <c r="AU2191" s="91"/>
      <c r="AV2191" s="91"/>
    </row>
    <row r="2192" spans="25:49" hidden="1" x14ac:dyDescent="0.25">
      <c r="Y2192" s="91"/>
      <c r="Z2192" s="91"/>
      <c r="AA2192" s="91"/>
      <c r="AB2192" s="91"/>
      <c r="AC2192" s="91"/>
      <c r="AD2192" s="91"/>
      <c r="AE2192" s="91"/>
      <c r="AF2192" s="91"/>
      <c r="AG2192" s="91"/>
      <c r="AH2192" s="91"/>
      <c r="AI2192" s="91"/>
      <c r="AJ2192" s="91"/>
      <c r="AK2192" s="91"/>
      <c r="AL2192" s="91"/>
      <c r="AM2192" s="91"/>
      <c r="AN2192" s="91"/>
      <c r="AO2192" s="91"/>
      <c r="AP2192" s="91"/>
      <c r="AQ2192" s="91"/>
      <c r="AR2192" s="91"/>
      <c r="AS2192" s="91"/>
      <c r="AT2192" s="91"/>
      <c r="AU2192" s="91"/>
      <c r="AV2192" s="91"/>
    </row>
    <row r="2193" spans="25:49" hidden="1" x14ac:dyDescent="0.25">
      <c r="Y2193" s="91"/>
      <c r="Z2193" s="683" t="s">
        <v>1183</v>
      </c>
      <c r="AA2193" s="78"/>
      <c r="AB2193" s="78"/>
      <c r="AC2193" s="79"/>
      <c r="AD2193" s="79"/>
      <c r="AE2193" s="79"/>
      <c r="AF2193" s="79"/>
      <c r="AG2193" s="79"/>
      <c r="AH2193" s="79"/>
      <c r="AI2193" s="79"/>
      <c r="AJ2193" s="79"/>
      <c r="AK2193" s="79"/>
      <c r="AL2193" s="79"/>
      <c r="AM2193" s="79"/>
      <c r="AN2193" s="79"/>
      <c r="AO2193" s="79"/>
      <c r="AP2193" s="91"/>
      <c r="AQ2193" s="79"/>
      <c r="AR2193" s="79"/>
      <c r="AS2193" s="79"/>
      <c r="AT2193" s="79"/>
      <c r="AU2193" s="79"/>
      <c r="AV2193" s="79"/>
      <c r="AW2193" s="523"/>
    </row>
    <row r="2194" spans="25:49" hidden="1" x14ac:dyDescent="0.25">
      <c r="Y2194" s="91"/>
      <c r="Z2194" s="91"/>
      <c r="AA2194" s="91"/>
      <c r="AB2194" s="91"/>
      <c r="AC2194" s="91"/>
      <c r="AD2194" s="91"/>
      <c r="AE2194" s="91"/>
      <c r="AF2194" s="91"/>
      <c r="AG2194" s="91"/>
      <c r="AH2194" s="91"/>
      <c r="AI2194" s="91"/>
      <c r="AJ2194" s="91"/>
      <c r="AK2194" s="91"/>
      <c r="AL2194" s="91"/>
      <c r="AM2194" s="91"/>
      <c r="AN2194" s="91"/>
      <c r="AO2194" s="91"/>
      <c r="AP2194" s="79"/>
      <c r="AQ2194" s="91"/>
      <c r="AR2194" s="91"/>
      <c r="AS2194" s="91"/>
      <c r="AT2194" s="91"/>
      <c r="AU2194" s="91"/>
      <c r="AV2194" s="91"/>
    </row>
    <row r="2195" spans="25:49" hidden="1" x14ac:dyDescent="0.25">
      <c r="Y2195" s="91"/>
      <c r="Z2195" s="91"/>
      <c r="AA2195" s="91"/>
      <c r="AB2195" s="91"/>
      <c r="AC2195" s="91"/>
      <c r="AD2195" s="91"/>
      <c r="AE2195" s="91"/>
      <c r="AF2195" s="91"/>
      <c r="AG2195" s="71" t="s">
        <v>1184</v>
      </c>
      <c r="AH2195" s="71"/>
      <c r="AI2195" s="71"/>
      <c r="AJ2195" s="91"/>
      <c r="AK2195" s="91"/>
      <c r="AL2195" s="91"/>
      <c r="AM2195" s="91"/>
      <c r="AN2195" s="91"/>
      <c r="AO2195" s="91"/>
      <c r="AP2195" s="91"/>
      <c r="AQ2195" s="91"/>
      <c r="AR2195" s="91"/>
      <c r="AS2195" s="91"/>
      <c r="AT2195" s="91"/>
      <c r="AU2195" s="91"/>
      <c r="AV2195" s="91"/>
    </row>
    <row r="2196" spans="25:49" hidden="1" x14ac:dyDescent="0.25">
      <c r="Y2196" s="91"/>
      <c r="Z2196" s="73" t="s">
        <v>1185</v>
      </c>
      <c r="AA2196" s="73"/>
      <c r="AB2196" s="64"/>
      <c r="AC2196" s="620">
        <f>IF(Pol02_30=AIS_Yes,MAX(1,Pol02_result),Pol02_result)</f>
        <v>0</v>
      </c>
      <c r="AD2196" s="91"/>
      <c r="AE2196" s="91"/>
      <c r="AF2196" s="91"/>
      <c r="AG2196" s="74" t="s">
        <v>1186</v>
      </c>
      <c r="AH2196" s="85">
        <v>0</v>
      </c>
      <c r="AI2196" s="85">
        <v>3</v>
      </c>
      <c r="AJ2196" s="91"/>
      <c r="AK2196" s="73" t="s">
        <v>86</v>
      </c>
      <c r="AL2196" s="81" t="s">
        <v>1187</v>
      </c>
      <c r="AM2196" s="71" t="s">
        <v>1188</v>
      </c>
      <c r="AN2196" s="81" t="s">
        <v>386</v>
      </c>
      <c r="AO2196" s="71" t="s">
        <v>1189</v>
      </c>
      <c r="AP2196" s="91"/>
      <c r="AQ2196" s="91"/>
      <c r="AR2196" s="91"/>
      <c r="AS2196" s="91"/>
      <c r="AT2196" s="91"/>
      <c r="AU2196" s="91"/>
      <c r="AV2196" s="91"/>
    </row>
    <row r="2197" spans="25:49" hidden="1" x14ac:dyDescent="0.25">
      <c r="Y2197" s="91"/>
      <c r="Z2197" s="81">
        <v>0</v>
      </c>
      <c r="AA2197" s="81">
        <v>2</v>
      </c>
      <c r="AB2197" s="64"/>
      <c r="AC2197" s="619">
        <f>IF(Pol02_30=AIS_Yes,IF(Pol02_23=AIS_option02,0.5,IF(Pol02_23=AIS_option04,0,1)),IF(Pol02_23=AIS_option02,Pol02_result*0.5,IF(Pol02_23=AIS_option04,0,IF(Pol02_result=3,IF(Pol02_25=AIS_option04,2,IF(Pol02_25=AIS_option02,2.5,Pol02_result)),Pol02_result))))</f>
        <v>0</v>
      </c>
      <c r="AD2197" s="91"/>
      <c r="AE2197" s="91"/>
      <c r="AF2197" s="91"/>
      <c r="AG2197" s="74" t="s">
        <v>1186</v>
      </c>
      <c r="AH2197" s="85">
        <v>40</v>
      </c>
      <c r="AI2197" s="85">
        <v>3</v>
      </c>
      <c r="AJ2197" s="91"/>
      <c r="AK2197" s="73" t="s">
        <v>1190</v>
      </c>
      <c r="AL2197" s="81">
        <v>56</v>
      </c>
      <c r="AM2197" s="85" t="str">
        <f>IF(ADIND_option01=AD_Yes,AIS_Yes,AIS_No)</f>
        <v>No</v>
      </c>
      <c r="AN2197" s="81">
        <v>1</v>
      </c>
      <c r="AO2197" s="81">
        <f>IF(J1408="",0,IF(AND(Pol02_07=AIS_Yes,J1408&lt;=Pol02_05),Pol02_09,0))</f>
        <v>0</v>
      </c>
      <c r="AP2197" s="91"/>
      <c r="AQ2197" s="91"/>
      <c r="AR2197" s="91"/>
      <c r="AS2197" s="91"/>
      <c r="AT2197" s="91"/>
      <c r="AU2197" s="91"/>
      <c r="AV2197" s="91"/>
    </row>
    <row r="2198" spans="25:49" hidden="1" x14ac:dyDescent="0.25">
      <c r="Y2198" s="91"/>
      <c r="Z2198" s="81">
        <v>40</v>
      </c>
      <c r="AA2198" s="81">
        <v>2</v>
      </c>
      <c r="AB2198" s="64"/>
      <c r="AC2198" s="91"/>
      <c r="AD2198" s="91"/>
      <c r="AE2198" s="91"/>
      <c r="AF2198" s="91"/>
      <c r="AG2198" s="74" t="s">
        <v>1186</v>
      </c>
      <c r="AH2198" s="85">
        <v>40.01</v>
      </c>
      <c r="AI2198" s="85">
        <v>2</v>
      </c>
      <c r="AJ2198" s="91"/>
      <c r="AK2198" s="73" t="s">
        <v>1191</v>
      </c>
      <c r="AL2198" s="81">
        <v>56</v>
      </c>
      <c r="AM2198" s="85" t="str">
        <f>IF(ADIND_option02=AD_Yes,AIS_Yes,AIS_No)</f>
        <v>No</v>
      </c>
      <c r="AN2198" s="81">
        <v>1</v>
      </c>
      <c r="AO2198" s="81">
        <f>IF(AND(Pol02_20="",Pol02_21=""),0,IF(Pol02_31="",0,IF(AND(Pol02_08=AIS_Yes,Pol02_31&lt;=Pol02_06),Pol02_10,0)))</f>
        <v>0</v>
      </c>
      <c r="AP2198" s="91"/>
      <c r="AQ2198" s="91"/>
      <c r="AR2198" s="91"/>
      <c r="AS2198" s="91"/>
      <c r="AT2198" s="91"/>
      <c r="AU2198" s="91"/>
      <c r="AV2198" s="91"/>
    </row>
    <row r="2199" spans="25:49" hidden="1" x14ac:dyDescent="0.25">
      <c r="Y2199" s="91"/>
      <c r="Z2199" s="81">
        <v>40.01</v>
      </c>
      <c r="AA2199" s="85">
        <v>1</v>
      </c>
      <c r="AB2199" s="64"/>
      <c r="AC2199" s="85" t="s">
        <v>121</v>
      </c>
      <c r="AD2199" s="91"/>
      <c r="AE2199" s="91"/>
      <c r="AF2199" s="91"/>
      <c r="AG2199" s="74" t="s">
        <v>1186</v>
      </c>
      <c r="AH2199" s="85">
        <v>70</v>
      </c>
      <c r="AI2199" s="85">
        <v>2</v>
      </c>
      <c r="AJ2199" s="91"/>
      <c r="AK2199" s="91"/>
      <c r="AL2199" s="91"/>
      <c r="AM2199" s="91"/>
      <c r="AN2199" s="91"/>
      <c r="AO2199" s="91"/>
      <c r="AP2199" s="91"/>
      <c r="AQ2199" s="91"/>
      <c r="AR2199" s="91"/>
      <c r="AS2199" s="91"/>
      <c r="AT2199" s="91"/>
      <c r="AU2199" s="91"/>
      <c r="AV2199" s="91"/>
    </row>
    <row r="2200" spans="25:49" hidden="1" x14ac:dyDescent="0.25">
      <c r="Y2200" s="91"/>
      <c r="Z2200" s="81">
        <v>56</v>
      </c>
      <c r="AA2200" s="81">
        <v>1</v>
      </c>
      <c r="AB2200" s="64"/>
      <c r="AC2200" s="85" t="s">
        <v>300</v>
      </c>
      <c r="AD2200" s="91"/>
      <c r="AE2200" s="91"/>
      <c r="AF2200" s="91"/>
      <c r="AG2200" s="74" t="s">
        <v>1186</v>
      </c>
      <c r="AH2200" s="85">
        <v>70.010000000000005</v>
      </c>
      <c r="AI2200" s="85">
        <v>1</v>
      </c>
      <c r="AJ2200" s="91"/>
      <c r="AK2200" s="91"/>
      <c r="AL2200" s="85">
        <f>Pol02_11+Pol02_12</f>
        <v>0</v>
      </c>
      <c r="AM2200" s="91"/>
      <c r="AN2200" s="91"/>
      <c r="AO2200" s="91"/>
      <c r="AP2200" s="91"/>
      <c r="AQ2200" s="91"/>
      <c r="AR2200" s="91"/>
      <c r="AS2200" s="91"/>
      <c r="AT2200" s="91"/>
      <c r="AU2200" s="91"/>
      <c r="AV2200" s="91"/>
    </row>
    <row r="2201" spans="25:49" hidden="1" x14ac:dyDescent="0.25">
      <c r="Y2201" s="91"/>
      <c r="Z2201" s="85">
        <v>56.01</v>
      </c>
      <c r="AA2201" s="85">
        <v>0</v>
      </c>
      <c r="AB2201" s="64"/>
      <c r="AC2201" s="64"/>
      <c r="AD2201" s="91"/>
      <c r="AE2201" s="91"/>
      <c r="AF2201" s="91"/>
      <c r="AG2201" s="74" t="s">
        <v>1186</v>
      </c>
      <c r="AH2201" s="85">
        <v>100</v>
      </c>
      <c r="AI2201" s="85">
        <v>1</v>
      </c>
      <c r="AJ2201" s="91"/>
      <c r="AK2201" s="91"/>
      <c r="AL2201" s="91"/>
      <c r="AM2201" s="91"/>
      <c r="AN2201" s="91"/>
      <c r="AO2201" s="91"/>
      <c r="AP2201" s="91"/>
      <c r="AQ2201" s="91"/>
      <c r="AR2201" s="91"/>
      <c r="AS2201" s="91"/>
      <c r="AT2201" s="91"/>
      <c r="AU2201" s="91"/>
      <c r="AV2201" s="91"/>
    </row>
    <row r="2202" spans="25:49" hidden="1" x14ac:dyDescent="0.25">
      <c r="Y2202" s="91"/>
      <c r="Z2202" s="81">
        <v>100</v>
      </c>
      <c r="AA2202" s="81">
        <v>0</v>
      </c>
      <c r="AB2202" s="64"/>
      <c r="AC2202" s="64"/>
      <c r="AD2202" s="91"/>
      <c r="AE2202" s="91"/>
      <c r="AF2202" s="91"/>
      <c r="AG2202" s="74" t="s">
        <v>1186</v>
      </c>
      <c r="AH2202" s="85">
        <v>100.01</v>
      </c>
      <c r="AI2202" s="85">
        <v>0</v>
      </c>
      <c r="AJ2202" s="91"/>
      <c r="AK2202" s="91"/>
      <c r="AL2202" s="91"/>
      <c r="AM2202" s="91"/>
      <c r="AN2202" s="91"/>
      <c r="AO2202" s="91"/>
      <c r="AP2202" s="91"/>
      <c r="AQ2202" s="91"/>
      <c r="AR2202" s="91"/>
      <c r="AS2202" s="91"/>
      <c r="AT2202" s="91"/>
      <c r="AU2202" s="91"/>
      <c r="AV2202" s="91"/>
    </row>
    <row r="2203" spans="25:49" hidden="1" x14ac:dyDescent="0.25">
      <c r="Y2203" s="91"/>
      <c r="Z2203" s="85">
        <v>100.01</v>
      </c>
      <c r="AA2203" s="85">
        <v>0</v>
      </c>
      <c r="AB2203" s="64"/>
      <c r="AC2203" s="64"/>
      <c r="AD2203" s="91"/>
      <c r="AE2203" s="91"/>
      <c r="AF2203" s="91"/>
      <c r="AG2203" s="74" t="s">
        <v>185</v>
      </c>
      <c r="AH2203" s="85">
        <v>100</v>
      </c>
      <c r="AI2203" s="85"/>
      <c r="AJ2203" s="91"/>
      <c r="AK2203" s="91"/>
      <c r="AL2203" s="91"/>
      <c r="AM2203" s="91"/>
      <c r="AN2203" s="91"/>
      <c r="AO2203" s="91"/>
      <c r="AP2203" s="91"/>
      <c r="AQ2203" s="91"/>
      <c r="AR2203" s="91"/>
      <c r="AS2203" s="91"/>
      <c r="AT2203" s="91"/>
      <c r="AU2203" s="91"/>
      <c r="AV2203" s="91"/>
    </row>
    <row r="2204" spans="25:49" hidden="1" x14ac:dyDescent="0.25">
      <c r="Y2204" s="91"/>
      <c r="Z2204" s="85">
        <f>IF(Pol02_31="",0,VLOOKUP(Pol02_31,Pol02_benchmark01,2,TRUE))</f>
        <v>0</v>
      </c>
      <c r="AA2204" s="64"/>
      <c r="AB2204" s="64"/>
      <c r="AC2204" s="85" t="str">
        <f>IF(AD_Wat10&lt;&gt;AIS_Yes,IF(OR(Pol02_20="",Pol02_21=""),"",MAX(Pol02_20,Pol02_21)),IF(AD_Wat10=AIS_Yes,IF(Pol02_20="","",Pol02_20)))</f>
        <v/>
      </c>
      <c r="AD2204" s="91"/>
      <c r="AE2204" s="76" t="s">
        <v>1192</v>
      </c>
      <c r="AF2204" s="76"/>
      <c r="AG2204" s="85">
        <f>IF(OR(Pol02_20="",Pol02_20="NA",Pol02_20="INA"),0,IF(Pol02_20="",0,VLOOKUP(Pol02_20,Pol02_benchmark02,2,TRUE)))</f>
        <v>0</v>
      </c>
      <c r="AH2204" s="91"/>
      <c r="AI2204" s="91"/>
      <c r="AJ2204" s="91"/>
      <c r="AK2204" s="91"/>
      <c r="AL2204" s="91"/>
      <c r="AM2204" s="91"/>
      <c r="AN2204" s="91"/>
      <c r="AO2204" s="91"/>
      <c r="AP2204" s="91"/>
      <c r="AQ2204" s="91"/>
      <c r="AR2204" s="91"/>
      <c r="AS2204" s="91"/>
      <c r="AT2204" s="91"/>
      <c r="AU2204" s="91"/>
      <c r="AV2204" s="91"/>
    </row>
    <row r="2205" spans="25:49" hidden="1" x14ac:dyDescent="0.25">
      <c r="Y2205" s="91"/>
      <c r="Z2205" s="91"/>
      <c r="AA2205" s="91"/>
      <c r="AB2205" s="91"/>
      <c r="AC2205" s="91"/>
      <c r="AD2205" s="91"/>
      <c r="AE2205" s="66" t="s">
        <v>1193</v>
      </c>
      <c r="AF2205" s="66"/>
      <c r="AG2205" s="81" t="str">
        <f>IF(OR(Pol02_21=AIS_units22,Pol02_21=""),AIS_No,IF(OR(Pol02_21&lt;=Pol02_02,Pol02_21=AIS_NA),AIS_Yes,AIS_No))</f>
        <v>No</v>
      </c>
      <c r="AH2205" s="91"/>
      <c r="AI2205" s="76"/>
      <c r="AJ2205" s="91"/>
      <c r="AK2205" s="91"/>
      <c r="AL2205" s="91"/>
      <c r="AM2205" s="91"/>
      <c r="AN2205" s="91"/>
      <c r="AO2205" s="91"/>
      <c r="AP2205" s="91"/>
      <c r="AQ2205" s="91"/>
      <c r="AR2205" s="91"/>
      <c r="AS2205" s="91"/>
      <c r="AT2205" s="91"/>
      <c r="AU2205" s="91"/>
      <c r="AV2205" s="91"/>
    </row>
    <row r="2206" spans="25:49" hidden="1" x14ac:dyDescent="0.25">
      <c r="Y2206" s="91"/>
      <c r="Z2206" s="85">
        <f>IF(ADBT0=ADBT2,Pol02_result03,Pol02_result01)</f>
        <v>0</v>
      </c>
      <c r="AA2206" s="91"/>
      <c r="AB2206" s="91"/>
      <c r="AC2206" s="91"/>
      <c r="AD2206" s="91"/>
      <c r="AE2206" s="76"/>
      <c r="AF2206" s="76"/>
      <c r="AG2206" s="91"/>
      <c r="AH2206" s="91"/>
      <c r="AI2206" s="91"/>
      <c r="AJ2206" s="91"/>
      <c r="AK2206" s="91"/>
      <c r="AL2206" s="91"/>
      <c r="AM2206" s="91"/>
      <c r="AN2206" s="91"/>
      <c r="AO2206" s="91"/>
      <c r="AP2206" s="91"/>
      <c r="AQ2206" s="91"/>
      <c r="AR2206" s="91"/>
      <c r="AS2206" s="91"/>
      <c r="AT2206" s="91"/>
      <c r="AU2206" s="91"/>
      <c r="AV2206" s="91"/>
    </row>
    <row r="2207" spans="25:49" hidden="1" x14ac:dyDescent="0.25">
      <c r="Y2207" s="91"/>
      <c r="Z2207" s="91"/>
      <c r="AA2207" s="91"/>
      <c r="AB2207" s="91"/>
      <c r="AC2207" s="91"/>
      <c r="AD2207" s="91"/>
      <c r="AE2207" s="76"/>
      <c r="AF2207" s="76"/>
      <c r="AG2207" s="81">
        <f>IF(AND(Pol02_03=3,Pol02_04=AIS_Yes),Pol02_03,IF(AND(Pol02_03=3,Pol02_04=AIS_No),2,Pol02_03))</f>
        <v>0</v>
      </c>
      <c r="AH2207" s="91"/>
      <c r="AI2207" s="91"/>
      <c r="AJ2207" s="91"/>
      <c r="AK2207" s="91"/>
      <c r="AL2207" s="91"/>
      <c r="AM2207" s="91"/>
      <c r="AN2207" s="91"/>
      <c r="AO2207" s="91"/>
      <c r="AP2207" s="91"/>
      <c r="AQ2207" s="91"/>
      <c r="AR2207" s="91"/>
      <c r="AS2207" s="91"/>
      <c r="AT2207" s="91"/>
      <c r="AU2207" s="91"/>
      <c r="AV2207" s="91"/>
    </row>
    <row r="2208" spans="25:49" hidden="1" x14ac:dyDescent="0.25">
      <c r="Y2208" s="91"/>
      <c r="Z2208" s="91"/>
      <c r="AA2208" s="91"/>
      <c r="AB2208" s="91"/>
      <c r="AC2208" s="91"/>
      <c r="AD2208" s="91"/>
      <c r="AE2208" s="76"/>
      <c r="AF2208" s="76"/>
      <c r="AG2208" s="67"/>
      <c r="AH2208" s="91"/>
      <c r="AI2208" s="91"/>
      <c r="AJ2208" s="91"/>
      <c r="AK2208" s="91"/>
      <c r="AL2208" s="91"/>
      <c r="AM2208" s="91"/>
      <c r="AN2208" s="91"/>
      <c r="AO2208" s="91"/>
      <c r="AP2208" s="91"/>
      <c r="AQ2208" s="91"/>
      <c r="AR2208" s="91"/>
      <c r="AS2208" s="91"/>
      <c r="AT2208" s="91"/>
      <c r="AU2208" s="91"/>
      <c r="AV2208" s="91"/>
    </row>
    <row r="2209" spans="25:49" hidden="1" x14ac:dyDescent="0.25">
      <c r="Y2209" s="91"/>
      <c r="Z2209" s="91"/>
      <c r="AA2209" s="91"/>
      <c r="AB2209" s="91"/>
      <c r="AC2209" s="91"/>
      <c r="AD2209" s="91"/>
      <c r="AE2209" s="91"/>
      <c r="AF2209" s="91"/>
      <c r="AG2209" s="91"/>
      <c r="AH2209" s="91"/>
      <c r="AI2209" s="91"/>
      <c r="AJ2209" s="91"/>
      <c r="AK2209" s="91"/>
      <c r="AL2209" s="91"/>
      <c r="AM2209" s="91"/>
      <c r="AN2209" s="91"/>
      <c r="AO2209" s="91"/>
      <c r="AP2209" s="91"/>
      <c r="AQ2209" s="91"/>
      <c r="AR2209" s="91"/>
      <c r="AS2209" s="91"/>
      <c r="AT2209" s="91"/>
      <c r="AU2209" s="91"/>
      <c r="AV2209" s="91"/>
    </row>
    <row r="2210" spans="25:49" hidden="1" x14ac:dyDescent="0.25">
      <c r="Y2210" s="91"/>
      <c r="Z2210" s="683" t="s">
        <v>1194</v>
      </c>
      <c r="AA2210" s="78"/>
      <c r="AB2210" s="78"/>
      <c r="AC2210" s="79"/>
      <c r="AD2210" s="79"/>
      <c r="AE2210" s="79"/>
      <c r="AF2210" s="79"/>
      <c r="AG2210" s="79"/>
      <c r="AH2210" s="79"/>
      <c r="AI2210" s="79"/>
      <c r="AJ2210" s="79"/>
      <c r="AK2210" s="79"/>
      <c r="AL2210" s="79"/>
      <c r="AM2210" s="79"/>
      <c r="AN2210" s="79"/>
      <c r="AO2210" s="79"/>
      <c r="AP2210" s="91"/>
      <c r="AQ2210" s="79"/>
      <c r="AR2210" s="79"/>
      <c r="AS2210" s="79"/>
      <c r="AT2210" s="79"/>
      <c r="AU2210" s="79"/>
      <c r="AV2210" s="79"/>
      <c r="AW2210" s="523"/>
    </row>
    <row r="2211" spans="25:49" hidden="1" x14ac:dyDescent="0.25">
      <c r="Y2211" s="91"/>
      <c r="Z2211" s="91"/>
      <c r="AA2211" s="91"/>
      <c r="AB2211" s="91"/>
      <c r="AC2211" s="91"/>
      <c r="AD2211" s="91"/>
      <c r="AE2211" s="91"/>
      <c r="AF2211" s="91"/>
      <c r="AG2211" s="91"/>
      <c r="AH2211" s="91"/>
      <c r="AI2211" s="91"/>
      <c r="AJ2211" s="91"/>
      <c r="AK2211" s="91"/>
      <c r="AL2211" s="91"/>
      <c r="AM2211" s="91"/>
      <c r="AN2211" s="91"/>
      <c r="AO2211" s="91"/>
      <c r="AP2211" s="79"/>
      <c r="AQ2211" s="91"/>
      <c r="AR2211" s="91"/>
      <c r="AS2211" s="91"/>
      <c r="AT2211" s="91"/>
      <c r="AU2211" s="91"/>
      <c r="AV2211" s="91"/>
    </row>
    <row r="2212" spans="25:49" hidden="1" x14ac:dyDescent="0.25">
      <c r="Y2212" s="91"/>
      <c r="Z2212" s="71" t="s">
        <v>488</v>
      </c>
      <c r="AA2212" s="91"/>
      <c r="AB2212" s="91"/>
      <c r="AC2212" s="71" t="s">
        <v>525</v>
      </c>
      <c r="AD2212" s="91"/>
      <c r="AE2212" s="91"/>
      <c r="AF2212" s="91"/>
      <c r="AG2212" s="91"/>
      <c r="AH2212" s="91"/>
      <c r="AI2212" s="91"/>
      <c r="AJ2212" s="91"/>
      <c r="AK2212" s="91"/>
      <c r="AL2212" s="91"/>
      <c r="AM2212" s="91"/>
      <c r="AN2212" s="91"/>
      <c r="AO2212" s="91"/>
      <c r="AP2212" s="91"/>
      <c r="AQ2212" s="91"/>
      <c r="AR2212" s="91"/>
      <c r="AS2212" s="91"/>
      <c r="AT2212" s="91"/>
      <c r="AU2212" s="91"/>
      <c r="AV2212" s="91"/>
    </row>
    <row r="2213" spans="25:49" hidden="1" x14ac:dyDescent="0.25">
      <c r="Y2213" s="91"/>
      <c r="Z2213" s="71" t="s">
        <v>1195</v>
      </c>
      <c r="AA2213" s="91"/>
      <c r="AB2213" s="91"/>
      <c r="AC2213" s="71" t="s">
        <v>1196</v>
      </c>
      <c r="AD2213" s="91"/>
      <c r="AE2213" s="91"/>
      <c r="AF2213" s="91"/>
      <c r="AG2213" s="91"/>
      <c r="AH2213" s="91"/>
      <c r="AI2213" s="91"/>
      <c r="AJ2213" s="91"/>
      <c r="AK2213" s="91"/>
      <c r="AL2213" s="91"/>
      <c r="AM2213" s="91"/>
      <c r="AN2213" s="91"/>
      <c r="AO2213" s="91"/>
      <c r="AP2213" s="91"/>
      <c r="AQ2213" s="91"/>
      <c r="AR2213" s="91"/>
      <c r="AS2213" s="91"/>
      <c r="AT2213" s="91"/>
      <c r="AU2213" s="91"/>
      <c r="AV2213" s="91"/>
    </row>
    <row r="2214" spans="25:49" hidden="1" x14ac:dyDescent="0.25">
      <c r="Y2214" s="91"/>
      <c r="Z2214" s="71" t="s">
        <v>1197</v>
      </c>
      <c r="AA2214" s="91"/>
      <c r="AB2214" s="91"/>
      <c r="AC2214" s="71" t="s">
        <v>1198</v>
      </c>
      <c r="AD2214" s="91"/>
      <c r="AE2214" s="91"/>
      <c r="AF2214" s="91"/>
      <c r="AG2214" s="91"/>
      <c r="AH2214" s="91"/>
      <c r="AI2214" s="91"/>
      <c r="AJ2214" s="91"/>
      <c r="AK2214" s="91"/>
      <c r="AL2214" s="91"/>
      <c r="AM2214" s="91"/>
      <c r="AN2214" s="91"/>
      <c r="AO2214" s="91"/>
      <c r="AP2214" s="91"/>
      <c r="AQ2214" s="91"/>
      <c r="AR2214" s="91"/>
      <c r="AS2214" s="91"/>
      <c r="AT2214" s="91"/>
      <c r="AU2214" s="91"/>
      <c r="AV2214" s="91"/>
    </row>
    <row r="2215" spans="25:49" hidden="1" x14ac:dyDescent="0.25">
      <c r="Y2215" s="91"/>
      <c r="Z2215" s="71" t="s">
        <v>1199</v>
      </c>
      <c r="AA2215" s="91"/>
      <c r="AB2215" s="91"/>
      <c r="AC2215" s="71" t="s">
        <v>1200</v>
      </c>
      <c r="AD2215" s="91"/>
      <c r="AE2215" s="91"/>
      <c r="AF2215" s="91"/>
      <c r="AG2215" s="91"/>
      <c r="AH2215" s="91"/>
      <c r="AI2215" s="91"/>
      <c r="AJ2215" s="91"/>
      <c r="AK2215" s="91"/>
      <c r="AL2215" s="91"/>
      <c r="AM2215" s="91"/>
      <c r="AN2215" s="91"/>
      <c r="AO2215" s="91"/>
      <c r="AP2215" s="91"/>
      <c r="AQ2215" s="91"/>
      <c r="AR2215" s="91"/>
      <c r="AS2215" s="91"/>
      <c r="AT2215" s="91"/>
      <c r="AU2215" s="91"/>
      <c r="AV2215" s="91"/>
    </row>
    <row r="2216" spans="25:49" hidden="1" x14ac:dyDescent="0.25">
      <c r="Y2216" s="91"/>
      <c r="Z2216" s="71" t="s">
        <v>1201</v>
      </c>
      <c r="AA2216" s="91"/>
      <c r="AB2216" s="91"/>
      <c r="AC2216" s="91"/>
      <c r="AD2216" s="91"/>
      <c r="AE2216" s="91"/>
      <c r="AF2216" s="91"/>
      <c r="AG2216" s="91"/>
      <c r="AH2216" s="91"/>
      <c r="AI2216" s="91"/>
      <c r="AJ2216" s="91"/>
      <c r="AK2216" s="91"/>
      <c r="AL2216" s="91"/>
      <c r="AM2216" s="91"/>
      <c r="AN2216" s="91"/>
      <c r="AO2216" s="91"/>
      <c r="AP2216" s="91"/>
      <c r="AQ2216" s="91"/>
      <c r="AR2216" s="91"/>
      <c r="AS2216" s="91"/>
      <c r="AT2216" s="91"/>
      <c r="AU2216" s="91"/>
      <c r="AV2216" s="91"/>
    </row>
    <row r="2217" spans="25:49" hidden="1" x14ac:dyDescent="0.25">
      <c r="Y2217" s="91"/>
      <c r="Z2217" s="71" t="s">
        <v>1202</v>
      </c>
      <c r="AA2217" s="91"/>
      <c r="AB2217" s="91"/>
      <c r="AC2217" s="68" t="s">
        <v>525</v>
      </c>
      <c r="AD2217" s="91"/>
      <c r="AE2217" s="91"/>
      <c r="AF2217" s="91"/>
      <c r="AG2217" s="91"/>
      <c r="AH2217" s="91"/>
      <c r="AI2217" s="91"/>
      <c r="AJ2217" s="91"/>
      <c r="AK2217" s="91"/>
      <c r="AL2217" s="91"/>
      <c r="AM2217" s="91"/>
      <c r="AN2217" s="91"/>
      <c r="AO2217" s="91"/>
      <c r="AP2217" s="91"/>
      <c r="AQ2217" s="91"/>
      <c r="AR2217" s="91"/>
      <c r="AS2217" s="91"/>
      <c r="AT2217" s="91"/>
      <c r="AU2217" s="91"/>
      <c r="AV2217" s="91"/>
    </row>
    <row r="2218" spans="25:49" hidden="1" x14ac:dyDescent="0.25">
      <c r="Y2218" s="91"/>
      <c r="Z2218" s="91"/>
      <c r="AA2218" s="91"/>
      <c r="AB2218" s="91"/>
      <c r="AC2218" s="68" t="s">
        <v>1203</v>
      </c>
      <c r="AD2218" s="91"/>
      <c r="AE2218" s="91"/>
      <c r="AF2218" s="91"/>
      <c r="AG2218" s="91"/>
      <c r="AH2218" s="91"/>
      <c r="AI2218" s="91"/>
      <c r="AJ2218" s="91"/>
      <c r="AK2218" s="91"/>
      <c r="AL2218" s="91"/>
      <c r="AM2218" s="91"/>
      <c r="AN2218" s="91"/>
      <c r="AO2218" s="91"/>
      <c r="AP2218" s="91"/>
      <c r="AQ2218" s="91"/>
      <c r="AR2218" s="91"/>
      <c r="AS2218" s="91"/>
      <c r="AT2218" s="91"/>
      <c r="AU2218" s="91"/>
      <c r="AV2218" s="91"/>
    </row>
    <row r="2219" spans="25:49" hidden="1" x14ac:dyDescent="0.25">
      <c r="Y2219" s="91"/>
      <c r="Z2219" s="684" t="s">
        <v>1204</v>
      </c>
      <c r="AA2219" s="79"/>
      <c r="AB2219" s="79"/>
      <c r="AC2219" s="68" t="s">
        <v>1205</v>
      </c>
      <c r="AD2219" s="79"/>
      <c r="AE2219" s="79"/>
      <c r="AF2219" s="79"/>
      <c r="AG2219" s="79"/>
      <c r="AH2219" s="79"/>
      <c r="AI2219" s="79"/>
      <c r="AJ2219" s="79"/>
      <c r="AK2219" s="79"/>
      <c r="AL2219" s="79"/>
      <c r="AM2219" s="79"/>
      <c r="AN2219" s="79"/>
      <c r="AO2219" s="79"/>
      <c r="AP2219" s="91"/>
      <c r="AQ2219" s="79"/>
      <c r="AR2219" s="79"/>
      <c r="AS2219" s="79"/>
      <c r="AT2219" s="79"/>
      <c r="AU2219" s="79"/>
      <c r="AV2219" s="79"/>
      <c r="AW2219" s="523"/>
    </row>
    <row r="2220" spans="25:49" hidden="1" x14ac:dyDescent="0.25">
      <c r="Y2220" s="91"/>
      <c r="Z2220" s="91" t="s">
        <v>1206</v>
      </c>
      <c r="AA2220" s="91">
        <f>SUM(N26:N29)</f>
        <v>0</v>
      </c>
      <c r="AB2220" s="91"/>
      <c r="AC2220" s="68" t="s">
        <v>1207</v>
      </c>
      <c r="AD2220" s="91"/>
      <c r="AE2220" s="91"/>
      <c r="AF2220" s="91"/>
      <c r="AG2220" s="91"/>
      <c r="AH2220" s="91"/>
      <c r="AI2220" s="91"/>
      <c r="AJ2220" s="91"/>
      <c r="AK2220" s="91"/>
      <c r="AL2220" s="91"/>
      <c r="AM2220" s="91"/>
      <c r="AN2220" s="91"/>
      <c r="AO2220" s="91"/>
      <c r="AP2220" s="79"/>
      <c r="AQ2220" s="91"/>
      <c r="AR2220" s="91"/>
      <c r="AS2220" s="91"/>
      <c r="AT2220" s="91"/>
      <c r="AU2220" s="91"/>
      <c r="AV2220" s="91"/>
    </row>
    <row r="2221" spans="25:49" hidden="1" x14ac:dyDescent="0.25">
      <c r="Y2221" s="91"/>
      <c r="Z2221" s="91" t="s">
        <v>1208</v>
      </c>
      <c r="AA2221" s="91" t="e">
        <f>IF(OR(Man02_01=AIS_option25,Man02_01=AIS_option07,Man02_01=AIS_option08),0,VLOOKUP(Man02_14,Man02_CCSscheme_Standard_benchmarks,2,FALSE))</f>
        <v>#N/A</v>
      </c>
      <c r="AB2221" s="91"/>
      <c r="AC2221" s="91"/>
      <c r="AD2221" s="91"/>
      <c r="AE2221" s="91"/>
      <c r="AF2221" s="91"/>
      <c r="AG2221" s="91"/>
      <c r="AH2221" s="91"/>
      <c r="AI2221" s="91"/>
      <c r="AJ2221" s="91"/>
      <c r="AK2221" s="91"/>
      <c r="AL2221" s="91"/>
      <c r="AM2221" s="91"/>
      <c r="AN2221" s="91"/>
      <c r="AO2221" s="91"/>
      <c r="AP2221" s="91"/>
      <c r="AQ2221" s="91"/>
      <c r="AR2221" s="91"/>
      <c r="AS2221" s="91"/>
      <c r="AT2221" s="91"/>
      <c r="AU2221" s="91"/>
      <c r="AV2221" s="91"/>
    </row>
    <row r="2222" spans="25:49" hidden="1" x14ac:dyDescent="0.25">
      <c r="Y2222" s="91"/>
      <c r="Z2222" s="91" t="s">
        <v>1209</v>
      </c>
      <c r="AA2222" s="91" t="e">
        <f>(Man03_KPI08/Man03_KPI07)</f>
        <v>#DIV/0!</v>
      </c>
      <c r="AB2222" s="91"/>
      <c r="AC2222" s="91"/>
      <c r="AD2222" s="91"/>
      <c r="AE2222" s="91"/>
      <c r="AF2222" s="91"/>
      <c r="AG2222" s="91"/>
      <c r="AH2222" s="91"/>
      <c r="AI2222" s="91"/>
      <c r="AJ2222" s="91"/>
      <c r="AK2222" s="91"/>
      <c r="AL2222" s="91"/>
      <c r="AM2222" s="91"/>
      <c r="AN2222" s="91"/>
      <c r="AO2222" s="91"/>
      <c r="AP2222" s="91"/>
      <c r="AQ2222" s="91"/>
      <c r="AR2222" s="91"/>
      <c r="AS2222" s="91"/>
      <c r="AT2222" s="91"/>
      <c r="AU2222" s="91"/>
      <c r="AV2222" s="91"/>
    </row>
    <row r="2223" spans="25:49" hidden="1" x14ac:dyDescent="0.25">
      <c r="Y2223" s="91"/>
      <c r="Z2223" s="91" t="s">
        <v>1210</v>
      </c>
      <c r="AA2223" s="91" t="e">
        <f>(Man03_KPI13/Man03_kPI12)</f>
        <v>#DIV/0!</v>
      </c>
      <c r="AB2223" s="91"/>
      <c r="AC2223" s="91"/>
      <c r="AD2223" s="91"/>
      <c r="AE2223" s="91"/>
      <c r="AF2223" s="91"/>
      <c r="AG2223" s="91"/>
      <c r="AH2223" s="91"/>
      <c r="AI2223" s="91"/>
      <c r="AJ2223" s="91"/>
      <c r="AK2223" s="91"/>
      <c r="AL2223" s="91"/>
      <c r="AM2223" s="91"/>
      <c r="AN2223" s="91"/>
      <c r="AO2223" s="91"/>
      <c r="AP2223" s="91"/>
      <c r="AQ2223" s="91"/>
      <c r="AR2223" s="91"/>
      <c r="AS2223" s="91"/>
      <c r="AT2223" s="91"/>
      <c r="AU2223" s="91"/>
      <c r="AV2223" s="91"/>
    </row>
    <row r="2224" spans="25:49" hidden="1" x14ac:dyDescent="0.25">
      <c r="Y2224" s="91"/>
      <c r="Z2224" s="91" t="s">
        <v>1211</v>
      </c>
      <c r="AA2224" s="91" t="e">
        <f>(Man03_KPI10/Man03_KPI07)</f>
        <v>#DIV/0!</v>
      </c>
      <c r="AB2224" s="91"/>
      <c r="AC2224" s="91"/>
      <c r="AD2224" s="91"/>
      <c r="AE2224" s="91"/>
      <c r="AF2224" s="91"/>
      <c r="AG2224" s="91"/>
      <c r="AH2224" s="91"/>
      <c r="AI2224" s="91"/>
      <c r="AJ2224" s="91"/>
      <c r="AK2224" s="91"/>
      <c r="AL2224" s="91"/>
      <c r="AM2224" s="91"/>
      <c r="AN2224" s="91"/>
      <c r="AO2224" s="91"/>
      <c r="AP2224" s="91"/>
      <c r="AQ2224" s="91"/>
      <c r="AR2224" s="91"/>
      <c r="AS2224" s="91"/>
      <c r="AT2224" s="91"/>
      <c r="AU2224" s="91"/>
      <c r="AV2224" s="91"/>
    </row>
    <row r="2225" spans="25:48" hidden="1" x14ac:dyDescent="0.25">
      <c r="Y2225" s="91"/>
      <c r="Z2225" s="91" t="s">
        <v>1212</v>
      </c>
      <c r="AA2225" s="91" t="e">
        <f>(Man03_KPI15/Man03_kPI12)</f>
        <v>#DIV/0!</v>
      </c>
      <c r="AB2225" s="91"/>
      <c r="AC2225" s="91"/>
      <c r="AD2225" s="91"/>
      <c r="AE2225" s="91"/>
      <c r="AF2225" s="91"/>
      <c r="AG2225" s="91"/>
      <c r="AH2225" s="91"/>
      <c r="AI2225" s="91"/>
      <c r="AJ2225" s="91"/>
      <c r="AK2225" s="91"/>
      <c r="AL2225" s="91"/>
      <c r="AM2225" s="91"/>
      <c r="AN2225" s="91"/>
      <c r="AO2225" s="91"/>
      <c r="AP2225" s="91"/>
      <c r="AQ2225" s="91"/>
      <c r="AR2225" s="91"/>
      <c r="AS2225" s="91"/>
      <c r="AT2225" s="91"/>
      <c r="AU2225" s="91"/>
      <c r="AV2225" s="91"/>
    </row>
    <row r="2226" spans="25:48" hidden="1" x14ac:dyDescent="0.25">
      <c r="Y2226" s="91"/>
      <c r="Z2226" s="91" t="s">
        <v>1213</v>
      </c>
      <c r="AA2226" s="91">
        <f>SUM(N72:N77)</f>
        <v>0</v>
      </c>
      <c r="AB2226" s="91"/>
      <c r="AC2226" s="91"/>
      <c r="AD2226" s="91"/>
      <c r="AE2226" s="91"/>
      <c r="AF2226" s="91"/>
      <c r="AG2226" s="91"/>
      <c r="AH2226" s="91"/>
      <c r="AI2226" s="91"/>
      <c r="AJ2226" s="91"/>
      <c r="AK2226" s="91"/>
      <c r="AL2226" s="91"/>
      <c r="AM2226" s="91"/>
      <c r="AN2226" s="91"/>
      <c r="AO2226" s="91"/>
      <c r="AP2226" s="91"/>
      <c r="AQ2226" s="91"/>
      <c r="AR2226" s="91"/>
      <c r="AS2226" s="91"/>
      <c r="AT2226" s="91"/>
      <c r="AU2226" s="91"/>
      <c r="AV2226" s="91"/>
    </row>
    <row r="2227" spans="25:48" hidden="1" x14ac:dyDescent="0.25">
      <c r="Y2227" s="91"/>
      <c r="Z2227" s="91" t="s">
        <v>1214</v>
      </c>
      <c r="AA2227" s="91">
        <f>SUM(N119:N122)</f>
        <v>0</v>
      </c>
      <c r="AB2227" s="91"/>
      <c r="AC2227" s="91"/>
      <c r="AD2227" s="91"/>
      <c r="AE2227" s="91"/>
      <c r="AF2227" s="91"/>
      <c r="AG2227" s="91"/>
      <c r="AH2227" s="91"/>
      <c r="AI2227" s="91"/>
      <c r="AJ2227" s="91"/>
      <c r="AK2227" s="91"/>
      <c r="AL2227" s="91"/>
      <c r="AM2227" s="91"/>
      <c r="AN2227" s="91"/>
      <c r="AO2227" s="91"/>
      <c r="AP2227" s="91"/>
      <c r="AQ2227" s="91"/>
      <c r="AR2227" s="91"/>
      <c r="AS2227" s="91"/>
      <c r="AT2227" s="91"/>
      <c r="AU2227" s="91"/>
      <c r="AV2227" s="91"/>
    </row>
    <row r="2228" spans="25:48" hidden="1" x14ac:dyDescent="0.25">
      <c r="Y2228" s="91"/>
      <c r="Z2228" s="91" t="s">
        <v>1215</v>
      </c>
      <c r="AA2228" s="91">
        <f>IF(OR(ADPT=ADPT02,ADPT=ADPT03),(AIS_NA),SUM(N143:N145))</f>
        <v>0</v>
      </c>
      <c r="AB2228" s="91"/>
      <c r="AC2228" s="91"/>
      <c r="AD2228" s="91"/>
      <c r="AE2228" s="91"/>
      <c r="AF2228" s="91"/>
      <c r="AG2228" s="91"/>
      <c r="AH2228" s="91"/>
      <c r="AI2228" s="91"/>
      <c r="AJ2228" s="91"/>
      <c r="AK2228" s="91"/>
      <c r="AL2228" s="91"/>
      <c r="AM2228" s="91"/>
      <c r="AN2228" s="91"/>
      <c r="AO2228" s="91"/>
      <c r="AP2228" s="91"/>
      <c r="AQ2228" s="91"/>
      <c r="AR2228" s="91"/>
      <c r="AS2228" s="91"/>
      <c r="AT2228" s="91"/>
      <c r="AU2228" s="91"/>
      <c r="AV2228" s="91"/>
    </row>
    <row r="2229" spans="25:48" hidden="1" x14ac:dyDescent="0.25">
      <c r="Y2229" s="91"/>
      <c r="Z2229" s="91" t="s">
        <v>1216</v>
      </c>
      <c r="AA2229" s="91">
        <f>SUM(N190:N193)</f>
        <v>0</v>
      </c>
      <c r="AB2229" s="91"/>
      <c r="AC2229" s="91"/>
      <c r="AD2229" s="91"/>
      <c r="AE2229" s="91"/>
      <c r="AF2229" s="91"/>
      <c r="AG2229" s="91"/>
      <c r="AH2229" s="91"/>
      <c r="AI2229" s="91"/>
      <c r="AJ2229" s="91"/>
      <c r="AK2229" s="91"/>
      <c r="AL2229" s="91"/>
      <c r="AM2229" s="91"/>
      <c r="AN2229" s="91"/>
      <c r="AO2229" s="91"/>
      <c r="AP2229" s="91"/>
      <c r="AQ2229" s="91"/>
      <c r="AR2229" s="91"/>
      <c r="AS2229" s="91"/>
      <c r="AT2229" s="91"/>
      <c r="AU2229" s="91"/>
      <c r="AV2229" s="91"/>
    </row>
    <row r="2230" spans="25:48" hidden="1" x14ac:dyDescent="0.25">
      <c r="Y2230" s="91"/>
      <c r="Z2230" s="91" t="s">
        <v>1217</v>
      </c>
      <c r="AA2230" s="91">
        <f>IF(Hea02_27=AIS_statement32,AIS_NA,SUM(N215:N219))</f>
        <v>0</v>
      </c>
      <c r="AB2230" s="91"/>
      <c r="AC2230" s="91"/>
      <c r="AD2230" s="91"/>
      <c r="AE2230" s="91"/>
      <c r="AF2230" s="91"/>
      <c r="AG2230" s="91"/>
      <c r="AH2230" s="91"/>
      <c r="AI2230" s="91"/>
      <c r="AJ2230" s="91"/>
      <c r="AK2230" s="91"/>
      <c r="AL2230" s="91"/>
      <c r="AM2230" s="91"/>
      <c r="AN2230" s="91"/>
      <c r="AO2230" s="91"/>
      <c r="AP2230" s="91"/>
      <c r="AQ2230" s="91"/>
      <c r="AR2230" s="91"/>
      <c r="AS2230" s="91"/>
      <c r="AT2230" s="91"/>
      <c r="AU2230" s="91"/>
      <c r="AV2230" s="91"/>
    </row>
    <row r="2231" spans="25:48" hidden="1" x14ac:dyDescent="0.25">
      <c r="Y2231" s="91"/>
      <c r="Z2231" s="91" t="s">
        <v>1218</v>
      </c>
      <c r="AA2231" s="91" t="str">
        <f>IF(Hea03_13=AIS_statement32,AIS_NA,(SUM(N245:N246)))</f>
        <v>N/A</v>
      </c>
      <c r="AB2231" s="91"/>
      <c r="AC2231" s="91"/>
      <c r="AD2231" s="91"/>
      <c r="AE2231" s="91"/>
      <c r="AF2231" s="91"/>
      <c r="AG2231" s="91"/>
      <c r="AH2231" s="91"/>
      <c r="AI2231" s="91"/>
      <c r="AJ2231" s="91"/>
      <c r="AK2231" s="91"/>
      <c r="AL2231" s="91"/>
      <c r="AM2231" s="91"/>
      <c r="AN2231" s="91"/>
      <c r="AO2231" s="91"/>
      <c r="AP2231" s="91"/>
      <c r="AQ2231" s="91"/>
      <c r="AR2231" s="91"/>
      <c r="AS2231" s="91"/>
      <c r="AT2231" s="91"/>
      <c r="AU2231" s="91"/>
      <c r="AV2231" s="91"/>
    </row>
    <row r="2232" spans="25:48" hidden="1" x14ac:dyDescent="0.25">
      <c r="Y2232" s="91"/>
      <c r="Z2232" s="91" t="s">
        <v>1219</v>
      </c>
      <c r="AA2232" s="91">
        <f ca="1">IF(OR(Hea05_02=AIS_No,Hea05_01=AIS_No),0,Hea05_06)</f>
        <v>0</v>
      </c>
      <c r="AB2232" s="91"/>
      <c r="AC2232" s="91"/>
      <c r="AD2232" s="91"/>
      <c r="AE2232" s="91"/>
      <c r="AF2232" s="91"/>
      <c r="AG2232" s="91"/>
      <c r="AH2232" s="91"/>
      <c r="AI2232" s="91"/>
      <c r="AJ2232" s="91"/>
      <c r="AK2232" s="91"/>
      <c r="AL2232" s="91"/>
      <c r="AM2232" s="91"/>
      <c r="AN2232" s="91"/>
      <c r="AO2232" s="91"/>
      <c r="AP2232" s="91"/>
      <c r="AQ2232" s="91"/>
      <c r="AR2232" s="91"/>
      <c r="AS2232" s="91"/>
      <c r="AT2232" s="91"/>
      <c r="AU2232" s="91"/>
      <c r="AV2232" s="91"/>
    </row>
    <row r="2233" spans="25:48" hidden="1" x14ac:dyDescent="0.25">
      <c r="Y2233" s="91"/>
      <c r="Z2233" s="91" t="s">
        <v>1220</v>
      </c>
      <c r="AA2233" s="91">
        <f>SUM(N311:N312)</f>
        <v>0</v>
      </c>
      <c r="AB2233" s="91"/>
      <c r="AC2233" s="91"/>
      <c r="AD2233" s="91"/>
      <c r="AE2233" s="91"/>
      <c r="AF2233" s="91"/>
      <c r="AG2233" s="91"/>
      <c r="AH2233" s="91"/>
      <c r="AI2233" s="91"/>
      <c r="AJ2233" s="91"/>
      <c r="AK2233" s="91"/>
      <c r="AL2233" s="91"/>
      <c r="AM2233" s="91"/>
      <c r="AN2233" s="91"/>
      <c r="AO2233" s="91"/>
      <c r="AP2233" s="91"/>
      <c r="AQ2233" s="91"/>
      <c r="AR2233" s="91"/>
      <c r="AS2233" s="91"/>
      <c r="AT2233" s="91"/>
      <c r="AU2233" s="91"/>
      <c r="AV2233" s="91"/>
    </row>
    <row r="2234" spans="25:48" hidden="1" x14ac:dyDescent="0.25">
      <c r="Y2234" s="91"/>
      <c r="Z2234" s="91" t="s">
        <v>1221</v>
      </c>
      <c r="AA2234" s="178" t="e">
        <f>IF(Ene01_80=AIS_Statement101,"",ROUND(1-(Ene01_07/Ene01_06),4))</f>
        <v>#DIV/0!</v>
      </c>
      <c r="AB2234" s="91"/>
      <c r="AC2234" s="91"/>
      <c r="AD2234" s="91"/>
      <c r="AE2234" s="91"/>
      <c r="AF2234" s="91"/>
      <c r="AG2234" s="91"/>
      <c r="AH2234" s="91"/>
      <c r="AI2234" s="91"/>
      <c r="AJ2234" s="91"/>
      <c r="AK2234" s="91"/>
      <c r="AL2234" s="91"/>
      <c r="AM2234" s="91"/>
      <c r="AN2234" s="91"/>
      <c r="AO2234" s="91"/>
      <c r="AP2234" s="91"/>
      <c r="AQ2234" s="91"/>
      <c r="AR2234" s="91"/>
      <c r="AS2234" s="91"/>
      <c r="AT2234" s="91"/>
      <c r="AU2234" s="91"/>
      <c r="AV2234" s="91"/>
    </row>
    <row r="2235" spans="25:48" hidden="1" x14ac:dyDescent="0.25">
      <c r="Y2235" s="91"/>
      <c r="Z2235" s="91" t="s">
        <v>1222</v>
      </c>
      <c r="AA2235" s="178" t="e">
        <f>ROUND(1-(Ene01_49/Ene01_48),4)</f>
        <v>#DIV/0!</v>
      </c>
      <c r="AB2235" s="91"/>
      <c r="AC2235" s="91"/>
      <c r="AD2235" s="91"/>
      <c r="AE2235" s="91"/>
      <c r="AF2235" s="91"/>
      <c r="AG2235" s="91"/>
      <c r="AH2235" s="91"/>
      <c r="AI2235" s="91"/>
      <c r="AJ2235" s="91"/>
      <c r="AK2235" s="91"/>
      <c r="AL2235" s="91"/>
      <c r="AM2235" s="91"/>
      <c r="AN2235" s="91"/>
      <c r="AO2235" s="91"/>
      <c r="AP2235" s="91"/>
      <c r="AQ2235" s="91"/>
      <c r="AR2235" s="91"/>
      <c r="AS2235" s="91"/>
      <c r="AT2235" s="91"/>
      <c r="AU2235" s="91"/>
      <c r="AV2235" s="91"/>
    </row>
    <row r="2236" spans="25:48" hidden="1" x14ac:dyDescent="0.25">
      <c r="Y2236" s="91"/>
      <c r="Z2236" s="91" t="s">
        <v>1223</v>
      </c>
      <c r="AA2236" s="91">
        <f>SUM(Ene02_06:Ene02_07)</f>
        <v>0</v>
      </c>
      <c r="AB2236" s="91"/>
      <c r="AC2236" s="91"/>
      <c r="AD2236" s="91"/>
      <c r="AE2236" s="91"/>
      <c r="AF2236" s="91"/>
      <c r="AG2236" s="91"/>
      <c r="AH2236" s="91"/>
      <c r="AI2236" s="91"/>
      <c r="AJ2236" s="91"/>
      <c r="AK2236" s="91"/>
      <c r="AL2236" s="91"/>
      <c r="AM2236" s="91"/>
      <c r="AN2236" s="91"/>
      <c r="AO2236" s="91"/>
      <c r="AP2236" s="91"/>
      <c r="AQ2236" s="91"/>
      <c r="AR2236" s="91"/>
      <c r="AS2236" s="91"/>
      <c r="AT2236" s="91"/>
      <c r="AU2236" s="91"/>
      <c r="AV2236" s="91"/>
    </row>
    <row r="2237" spans="25:48" hidden="1" x14ac:dyDescent="0.25">
      <c r="Y2237" s="91"/>
      <c r="Z2237" s="91" t="s">
        <v>1224</v>
      </c>
      <c r="AA2237" s="91">
        <f>(ENE04_04+ENE04_05+ENE04_06)</f>
        <v>0</v>
      </c>
      <c r="AB2237" s="91"/>
      <c r="AC2237" s="91"/>
      <c r="AD2237" s="91"/>
      <c r="AE2237" s="91"/>
      <c r="AF2237" s="91"/>
      <c r="AG2237" s="91"/>
      <c r="AH2237" s="91"/>
      <c r="AI2237" s="91"/>
      <c r="AJ2237" s="91"/>
      <c r="AK2237" s="91"/>
      <c r="AL2237" s="91"/>
      <c r="AM2237" s="91"/>
      <c r="AN2237" s="91"/>
      <c r="AO2237" s="91"/>
      <c r="AP2237" s="91"/>
      <c r="AQ2237" s="91"/>
      <c r="AR2237" s="91"/>
      <c r="AS2237" s="91"/>
      <c r="AT2237" s="91"/>
      <c r="AU2237" s="91"/>
      <c r="AV2237" s="91"/>
    </row>
    <row r="2238" spans="25:48" hidden="1" x14ac:dyDescent="0.25">
      <c r="Y2238" s="91"/>
      <c r="Z2238" s="91" t="s">
        <v>1225</v>
      </c>
      <c r="AA2238" s="91" t="e">
        <f>((Ene04_19/Ene04_credits)*Ene04_tot)</f>
        <v>#N/A</v>
      </c>
      <c r="AB2238" s="91"/>
      <c r="AC2238" s="91"/>
      <c r="AD2238" s="91"/>
      <c r="AE2238" s="91"/>
      <c r="AF2238" s="91"/>
      <c r="AG2238" s="91"/>
      <c r="AH2238" s="91"/>
      <c r="AI2238" s="91"/>
      <c r="AJ2238" s="91"/>
      <c r="AK2238" s="91"/>
      <c r="AL2238" s="91"/>
      <c r="AM2238" s="91"/>
      <c r="AN2238" s="91"/>
      <c r="AO2238" s="91"/>
      <c r="AP2238" s="91"/>
      <c r="AQ2238" s="91"/>
      <c r="AR2238" s="91"/>
      <c r="AS2238" s="91"/>
      <c r="AT2238" s="91"/>
      <c r="AU2238" s="91"/>
      <c r="AV2238" s="91"/>
    </row>
    <row r="2239" spans="25:48" hidden="1" x14ac:dyDescent="0.25">
      <c r="Y2239" s="91"/>
      <c r="Z2239" s="91" t="s">
        <v>1226</v>
      </c>
      <c r="AA2239" s="91">
        <f>IF(ene05_19=AIS_statement32,AIS_NA,IF(AD_refrig=AD_no,AIS_NA,Ene05_07+Ene05_08+Ene05_09))</f>
        <v>0</v>
      </c>
      <c r="AB2239" s="91"/>
      <c r="AC2239" s="91"/>
      <c r="AD2239" s="91"/>
      <c r="AE2239" s="91"/>
      <c r="AF2239" s="91"/>
      <c r="AG2239" s="91"/>
      <c r="AH2239" s="91"/>
      <c r="AI2239" s="91"/>
      <c r="AJ2239" s="91"/>
      <c r="AK2239" s="91"/>
      <c r="AL2239" s="91"/>
      <c r="AM2239" s="91"/>
      <c r="AN2239" s="91"/>
      <c r="AO2239" s="91"/>
      <c r="AP2239" s="91"/>
      <c r="AQ2239" s="91"/>
      <c r="AR2239" s="91"/>
      <c r="AS2239" s="91"/>
      <c r="AT2239" s="91"/>
      <c r="AU2239" s="91"/>
      <c r="AV2239" s="91"/>
    </row>
    <row r="2240" spans="25:48" hidden="1" x14ac:dyDescent="0.25">
      <c r="Y2240" s="91"/>
      <c r="Z2240" s="91" t="s">
        <v>1227</v>
      </c>
      <c r="AA2240" s="91">
        <f>IF(Ene06_10=AIS_statement32,AIS_NA,Ene06_05+ENE06_05a)</f>
        <v>0</v>
      </c>
      <c r="AB2240" s="91"/>
      <c r="AC2240" s="91"/>
      <c r="AD2240" s="91"/>
      <c r="AE2240" s="91"/>
      <c r="AF2240" s="91"/>
      <c r="AG2240" s="91"/>
      <c r="AH2240" s="91"/>
      <c r="AI2240" s="91"/>
      <c r="AJ2240" s="91"/>
      <c r="AK2240" s="91"/>
      <c r="AL2240" s="91"/>
      <c r="AM2240" s="91"/>
      <c r="AN2240" s="91"/>
      <c r="AO2240" s="91"/>
      <c r="AP2240" s="91"/>
      <c r="AQ2240" s="91"/>
      <c r="AR2240" s="91"/>
      <c r="AS2240" s="91"/>
      <c r="AT2240" s="91"/>
      <c r="AU2240" s="91"/>
      <c r="AV2240" s="91"/>
    </row>
    <row r="2241" spans="25:48" hidden="1" x14ac:dyDescent="0.25">
      <c r="Y2241" s="91"/>
      <c r="Z2241" s="91" t="s">
        <v>1228</v>
      </c>
      <c r="AA2241" s="91" t="str">
        <f>IF(Ene07_01=AIS_statement32,AIS_NA,IF(Ene07_04=AIS_NA,Ene07_09,IF(Ene07_09=AIS_NA,Ene07_05,Ene07_05+Ene07_09)))</f>
        <v>N/A</v>
      </c>
      <c r="AB2241" s="91"/>
      <c r="AC2241" s="91"/>
      <c r="AD2241" s="91"/>
      <c r="AE2241" s="91"/>
      <c r="AF2241" s="91"/>
      <c r="AG2241" s="91"/>
      <c r="AH2241" s="91"/>
      <c r="AI2241" s="91"/>
      <c r="AJ2241" s="91"/>
      <c r="AK2241" s="91"/>
      <c r="AL2241" s="91"/>
      <c r="AM2241" s="91"/>
      <c r="AN2241" s="91"/>
      <c r="AO2241" s="91"/>
      <c r="AP2241" s="91"/>
      <c r="AQ2241" s="91"/>
      <c r="AR2241" s="91"/>
      <c r="AS2241" s="91"/>
      <c r="AT2241" s="91"/>
      <c r="AU2241" s="91"/>
      <c r="AV2241" s="91"/>
    </row>
    <row r="2242" spans="25:48" hidden="1" x14ac:dyDescent="0.25">
      <c r="Y2242" s="91"/>
      <c r="Z2242" s="91" t="s">
        <v>1229</v>
      </c>
      <c r="AA2242" s="91" t="str">
        <f>IF(Ene09_06=AIS_statement32,AIS_NA,IF(OR(ADBT0=ADBT8,ADBT0=ADBT9),1,AIS_NA))</f>
        <v>N/A</v>
      </c>
      <c r="AB2242" s="91"/>
      <c r="AC2242" s="91"/>
      <c r="AD2242" s="91"/>
      <c r="AE2242" s="91"/>
      <c r="AF2242" s="91"/>
      <c r="AG2242" s="91"/>
      <c r="AH2242" s="91"/>
      <c r="AI2242" s="91"/>
      <c r="AJ2242" s="91"/>
      <c r="AK2242" s="91"/>
      <c r="AL2242" s="91"/>
      <c r="AM2242" s="91"/>
      <c r="AN2242" s="91"/>
      <c r="AO2242" s="91"/>
      <c r="AP2242" s="91"/>
      <c r="AQ2242" s="91"/>
      <c r="AR2242" s="91"/>
      <c r="AS2242" s="91"/>
      <c r="AT2242" s="91"/>
      <c r="AU2242" s="91"/>
      <c r="AV2242" s="91"/>
    </row>
    <row r="2243" spans="25:48" hidden="1" x14ac:dyDescent="0.25">
      <c r="Y2243" s="91"/>
      <c r="Z2243" s="91" t="s">
        <v>1230</v>
      </c>
      <c r="AA2243" s="91" t="e">
        <f>(BP_35/BP_04)*Tra01_credits</f>
        <v>#VALUE!</v>
      </c>
      <c r="AB2243" s="91"/>
      <c r="AC2243" s="91"/>
      <c r="AD2243" s="91"/>
      <c r="AE2243" s="91"/>
      <c r="AF2243" s="91"/>
      <c r="AG2243" s="91"/>
      <c r="AH2243" s="91"/>
      <c r="AI2243" s="91"/>
      <c r="AJ2243" s="91"/>
      <c r="AK2243" s="91"/>
      <c r="AL2243" s="91"/>
      <c r="AM2243" s="91"/>
      <c r="AN2243" s="91"/>
      <c r="AO2243" s="91"/>
      <c r="AP2243" s="91"/>
      <c r="AQ2243" s="91"/>
      <c r="AR2243" s="91"/>
      <c r="AS2243" s="91"/>
      <c r="AT2243" s="91"/>
      <c r="AU2243" s="91"/>
      <c r="AV2243" s="91"/>
    </row>
    <row r="2244" spans="25:48" hidden="1" x14ac:dyDescent="0.25">
      <c r="Y2244" s="91"/>
      <c r="Z2244" s="91" t="s">
        <v>1231</v>
      </c>
      <c r="AA2244" s="91" t="str">
        <f>IF(Tra01_05&gt;0,Tra01_05,Tra01_06)</f>
        <v/>
      </c>
      <c r="AB2244" s="91"/>
      <c r="AC2244" s="91"/>
      <c r="AD2244" s="91"/>
      <c r="AE2244" s="91"/>
      <c r="AF2244" s="91"/>
      <c r="AG2244" s="91"/>
      <c r="AH2244" s="91"/>
      <c r="AI2244" s="91"/>
      <c r="AJ2244" s="91"/>
      <c r="AK2244" s="91"/>
      <c r="AL2244" s="91"/>
      <c r="AM2244" s="91"/>
      <c r="AN2244" s="91"/>
      <c r="AO2244" s="91"/>
      <c r="AP2244" s="91"/>
      <c r="AQ2244" s="91"/>
      <c r="AR2244" s="91"/>
      <c r="AS2244" s="91"/>
      <c r="AT2244" s="91"/>
      <c r="AU2244" s="91"/>
      <c r="AV2244" s="91"/>
    </row>
    <row r="2245" spans="25:48" hidden="1" x14ac:dyDescent="0.25">
      <c r="Y2245" s="91"/>
      <c r="Z2245" s="91" t="s">
        <v>1232</v>
      </c>
      <c r="AA2245" s="91" t="e">
        <f>(Tra01_07/Tra01_credits)*Tra01_tot</f>
        <v>#VALUE!</v>
      </c>
      <c r="AB2245" s="91"/>
      <c r="AC2245" s="91"/>
      <c r="AD2245" s="91"/>
      <c r="AE2245" s="91"/>
      <c r="AF2245" s="91"/>
      <c r="AG2245" s="91"/>
      <c r="AH2245" s="91"/>
      <c r="AI2245" s="91"/>
      <c r="AJ2245" s="91"/>
      <c r="AK2245" s="91"/>
      <c r="AL2245" s="91"/>
      <c r="AM2245" s="91"/>
      <c r="AN2245" s="91"/>
      <c r="AO2245" s="91"/>
      <c r="AP2245" s="91"/>
      <c r="AQ2245" s="91"/>
      <c r="AR2245" s="91"/>
      <c r="AS2245" s="91"/>
      <c r="AT2245" s="91"/>
      <c r="AU2245" s="91"/>
      <c r="AV2245" s="91"/>
    </row>
    <row r="2246" spans="25:48" hidden="1" x14ac:dyDescent="0.25">
      <c r="Y2246" s="91"/>
      <c r="Z2246" s="91" t="s">
        <v>1233</v>
      </c>
      <c r="AA2246" s="91" t="e">
        <f>IF(Tra02_05=AIS_statement32,AIS_NA,(BP_35/BP_04)*Tra02_credits)</f>
        <v>#VALUE!</v>
      </c>
      <c r="AB2246" s="91"/>
      <c r="AC2246" s="91"/>
      <c r="AD2246" s="91"/>
      <c r="AE2246" s="91"/>
      <c r="AF2246" s="91"/>
      <c r="AG2246" s="91"/>
      <c r="AH2246" s="91"/>
      <c r="AI2246" s="91"/>
      <c r="AJ2246" s="91"/>
      <c r="AK2246" s="91"/>
      <c r="AL2246" s="91"/>
      <c r="AM2246" s="91"/>
      <c r="AN2246" s="91"/>
      <c r="AO2246" s="91"/>
      <c r="AP2246" s="91"/>
      <c r="AQ2246" s="91"/>
      <c r="AR2246" s="91"/>
      <c r="AS2246" s="91"/>
      <c r="AT2246" s="91"/>
      <c r="AU2246" s="91"/>
      <c r="AV2246" s="91"/>
    </row>
    <row r="2247" spans="25:48" hidden="1" x14ac:dyDescent="0.25">
      <c r="Y2247" s="91"/>
      <c r="Z2247" s="91" t="s">
        <v>1234</v>
      </c>
      <c r="AA2247" s="91">
        <f>IF(ADBT0=ADBT6,AIS_NA,IF(Tra02_03="",0,IF(Tra02_01=AIS_No,0,Tra02_03)))</f>
        <v>0</v>
      </c>
      <c r="AB2247" s="91"/>
      <c r="AC2247" s="91"/>
      <c r="AD2247" s="91"/>
      <c r="AE2247" s="91"/>
      <c r="AF2247" s="91"/>
      <c r="AG2247" s="91"/>
      <c r="AH2247" s="91"/>
      <c r="AI2247" s="91"/>
      <c r="AJ2247" s="91"/>
      <c r="AK2247" s="91"/>
      <c r="AL2247" s="91"/>
      <c r="AM2247" s="91"/>
      <c r="AN2247" s="91"/>
      <c r="AO2247" s="91"/>
      <c r="AP2247" s="91"/>
      <c r="AQ2247" s="91"/>
      <c r="AR2247" s="91"/>
      <c r="AS2247" s="91"/>
      <c r="AT2247" s="91"/>
      <c r="AU2247" s="91"/>
      <c r="AV2247" s="91"/>
    </row>
    <row r="2248" spans="25:48" hidden="1" x14ac:dyDescent="0.25">
      <c r="Y2248" s="91"/>
      <c r="Z2248" s="91" t="s">
        <v>1235</v>
      </c>
      <c r="AA2248" s="91" t="e">
        <f>IF(Tra02_05=AIS_statement32,AIS_NA,(Tra02_06/Tra02_credits)*Tra02_tot)</f>
        <v>#VALUE!</v>
      </c>
      <c r="AB2248" s="91"/>
      <c r="AC2248" s="91"/>
      <c r="AD2248" s="91"/>
      <c r="AE2248" s="91"/>
      <c r="AF2248" s="91"/>
      <c r="AG2248" s="91"/>
      <c r="AH2248" s="91"/>
      <c r="AI2248" s="91"/>
      <c r="AJ2248" s="91"/>
      <c r="AK2248" s="91"/>
      <c r="AL2248" s="91"/>
      <c r="AM2248" s="91"/>
      <c r="AN2248" s="91"/>
      <c r="AO2248" s="91"/>
      <c r="AP2248" s="91"/>
      <c r="AQ2248" s="91"/>
      <c r="AR2248" s="91"/>
      <c r="AS2248" s="91"/>
      <c r="AT2248" s="91"/>
      <c r="AU2248" s="91"/>
      <c r="AV2248" s="91"/>
    </row>
    <row r="2249" spans="25:48" hidden="1" x14ac:dyDescent="0.25">
      <c r="Y2249" s="91"/>
      <c r="Z2249" s="91" t="s">
        <v>1236</v>
      </c>
      <c r="AA2249" s="91" t="e">
        <f>IF(Tra03_15=AIS_statement32,AIS_NA,(BP_35/BP_04)*Tra03_credits)</f>
        <v>#VALUE!</v>
      </c>
      <c r="AB2249" s="91"/>
      <c r="AC2249" s="91"/>
      <c r="AD2249" s="91"/>
      <c r="AE2249" s="91"/>
      <c r="AF2249" s="91"/>
      <c r="AG2249" s="91"/>
      <c r="AH2249" s="91"/>
      <c r="AI2249" s="91"/>
      <c r="AJ2249" s="91"/>
      <c r="AK2249" s="91"/>
      <c r="AL2249" s="91"/>
      <c r="AM2249" s="91"/>
      <c r="AN2249" s="91"/>
      <c r="AO2249" s="91"/>
      <c r="AP2249" s="91"/>
      <c r="AQ2249" s="91"/>
      <c r="AR2249" s="91"/>
      <c r="AS2249" s="91"/>
      <c r="AT2249" s="91"/>
      <c r="AU2249" s="91"/>
      <c r="AV2249" s="91"/>
    </row>
    <row r="2250" spans="25:48" hidden="1" x14ac:dyDescent="0.25">
      <c r="Y2250" s="91"/>
      <c r="Z2250" s="91" t="s">
        <v>1237</v>
      </c>
      <c r="AA2250" s="91">
        <f>IF(Tra03_15=AIS_statement32,AIS_NA,IF(OR(Tra03_16=$AG$2039,Tra03_16=$AG$2040,Tra03_16=$AG$2041,Tra03_16=$AG$2042,Tra03_16=AG2044),2,IF(Tra03_16=Tra03_cycle,1,0)))</f>
        <v>0</v>
      </c>
      <c r="AB2250" s="91" t="s">
        <v>1238</v>
      </c>
      <c r="AC2250" s="652" t="str">
        <f>IF(Tra03b_15=AIS_statement32,AIS_NA,IF(OR(Tra03b_16=$AJ$2039,Tra03b_16=$AJ$2040,Tra03b_16=$AJ$2041,Tra03b_16=$AJ$2042,Tra03b_16=$AJ$2044),2,IF(Tra03b_16=Tra03b_cycle,1,0)))</f>
        <v>N/A</v>
      </c>
      <c r="AD2250" s="91"/>
      <c r="AE2250" s="91"/>
      <c r="AF2250" s="91"/>
      <c r="AG2250" s="91"/>
      <c r="AH2250" s="91"/>
      <c r="AI2250" s="91"/>
      <c r="AJ2250" s="91"/>
      <c r="AK2250" s="91"/>
      <c r="AL2250" s="91"/>
      <c r="AM2250" s="91"/>
      <c r="AN2250" s="91"/>
      <c r="AO2250" s="91"/>
      <c r="AP2250" s="91"/>
      <c r="AQ2250" s="91"/>
      <c r="AR2250" s="91"/>
      <c r="AS2250" s="91"/>
      <c r="AT2250" s="91"/>
      <c r="AU2250" s="91"/>
      <c r="AV2250" s="91"/>
    </row>
    <row r="2251" spans="25:48" hidden="1" x14ac:dyDescent="0.25">
      <c r="Y2251" s="91"/>
      <c r="Z2251" s="91" t="s">
        <v>1239</v>
      </c>
      <c r="AA2251" s="91" t="e">
        <f>IF(Tra03_15=AIS_statement32,AIS_NA,IF(Tra03_tot=AIS_statement49,AIS_statement49,(Tra03_13/Tra03_credits)*Tra03_tot))</f>
        <v>#VALUE!</v>
      </c>
      <c r="AB2251" s="91" t="s">
        <v>1240</v>
      </c>
      <c r="AC2251" s="91" t="str">
        <f>IF(Tra03b_15=AIS_statement32,AIS_NA,IF(Tra03b_tot=AIS_statement49,AIS_statement49,(Tra03b_13/Tra03b_credits)*Tra03b_tot))</f>
        <v>N/A</v>
      </c>
      <c r="AD2251" s="91"/>
      <c r="AE2251" s="91"/>
      <c r="AF2251" s="91"/>
      <c r="AG2251" s="91"/>
      <c r="AH2251" s="91"/>
      <c r="AI2251" s="91"/>
      <c r="AJ2251" s="91"/>
      <c r="AK2251" s="91"/>
      <c r="AL2251" s="91"/>
      <c r="AM2251" s="91"/>
      <c r="AN2251" s="91"/>
      <c r="AO2251" s="91"/>
      <c r="AP2251" s="91"/>
      <c r="AQ2251" s="91"/>
      <c r="AR2251" s="91"/>
      <c r="AS2251" s="91"/>
      <c r="AT2251" s="91"/>
      <c r="AU2251" s="91"/>
      <c r="AV2251" s="91"/>
    </row>
    <row r="2252" spans="25:48" hidden="1" x14ac:dyDescent="0.25">
      <c r="Y2252" s="91"/>
      <c r="Z2252" s="91" t="s">
        <v>1241</v>
      </c>
      <c r="AA2252" s="91" t="e">
        <f>IF(Tra04_07=AIS_statement32,AIS_NA,(BP_35/BP_04)*Tra04_credits)</f>
        <v>#VALUE!</v>
      </c>
      <c r="AB2252" s="91"/>
      <c r="AC2252" s="91"/>
      <c r="AD2252" s="91"/>
      <c r="AE2252" s="91"/>
      <c r="AF2252" s="91"/>
      <c r="AG2252" s="91"/>
      <c r="AH2252" s="91"/>
      <c r="AI2252" s="91"/>
      <c r="AJ2252" s="91"/>
      <c r="AK2252" s="91"/>
      <c r="AL2252" s="91"/>
      <c r="AM2252" s="91"/>
      <c r="AN2252" s="91"/>
      <c r="AO2252" s="91"/>
      <c r="AP2252" s="91"/>
      <c r="AQ2252" s="91"/>
      <c r="AR2252" s="91"/>
      <c r="AS2252" s="91"/>
      <c r="AT2252" s="91"/>
      <c r="AU2252" s="91"/>
      <c r="AV2252" s="91"/>
    </row>
    <row r="2253" spans="25:48" hidden="1" x14ac:dyDescent="0.25">
      <c r="Y2253" s="91"/>
      <c r="Z2253" s="91" t="s">
        <v>1242</v>
      </c>
      <c r="AA2253" s="91">
        <f>IF(Tra04_07=AIS_statement32,AIS_NA,IF(Tra04_02=AIS_Yes,Tra04_04,0))</f>
        <v>0</v>
      </c>
      <c r="AB2253" s="91"/>
      <c r="AC2253" s="91"/>
      <c r="AD2253" s="91"/>
      <c r="AE2253" s="91"/>
      <c r="AF2253" s="91"/>
      <c r="AG2253" s="91"/>
      <c r="AH2253" s="91"/>
      <c r="AI2253" s="91"/>
      <c r="AJ2253" s="91"/>
      <c r="AK2253" s="91"/>
      <c r="AL2253" s="91"/>
      <c r="AM2253" s="91"/>
      <c r="AN2253" s="91"/>
      <c r="AO2253" s="91"/>
      <c r="AP2253" s="91"/>
      <c r="AQ2253" s="91"/>
      <c r="AR2253" s="91"/>
      <c r="AS2253" s="91"/>
      <c r="AT2253" s="91"/>
      <c r="AU2253" s="91"/>
      <c r="AV2253" s="91"/>
    </row>
    <row r="2254" spans="25:48" hidden="1" x14ac:dyDescent="0.25">
      <c r="Y2254" s="91"/>
      <c r="Z2254" s="91" t="s">
        <v>1243</v>
      </c>
      <c r="AA2254" s="91" t="e">
        <f>IF(Tra04_07=AIS_statement32,AIS_NA,(Tra04_09/Tra04_credits)*Tra04_tot)</f>
        <v>#VALUE!</v>
      </c>
      <c r="AB2254" s="91"/>
      <c r="AC2254" s="91"/>
      <c r="AD2254" s="91"/>
      <c r="AE2254" s="91"/>
      <c r="AF2254" s="91"/>
      <c r="AG2254" s="91"/>
      <c r="AH2254" s="91"/>
      <c r="AI2254" s="91"/>
      <c r="AJ2254" s="91"/>
      <c r="AK2254" s="91"/>
      <c r="AL2254" s="91"/>
      <c r="AM2254" s="91"/>
      <c r="AN2254" s="91"/>
      <c r="AO2254" s="91"/>
      <c r="AP2254" s="91"/>
      <c r="AQ2254" s="91"/>
      <c r="AR2254" s="91"/>
      <c r="AS2254" s="91"/>
      <c r="AT2254" s="91"/>
      <c r="AU2254" s="91"/>
      <c r="AV2254" s="91"/>
    </row>
    <row r="2255" spans="25:48" hidden="1" x14ac:dyDescent="0.25">
      <c r="Y2255" s="91"/>
      <c r="Z2255" s="91" t="s">
        <v>1244</v>
      </c>
      <c r="AA2255" s="91" t="e">
        <f>IF(Tra05_switch=1,AIS_NA,(BP_35/BP_04)*Tra05_credits)</f>
        <v>#VALUE!</v>
      </c>
      <c r="AB2255" s="91"/>
      <c r="AC2255" s="91"/>
      <c r="AD2255" s="91"/>
      <c r="AE2255" s="91"/>
      <c r="AF2255" s="91"/>
      <c r="AG2255" s="91"/>
      <c r="AH2255" s="91"/>
      <c r="AI2255" s="91"/>
      <c r="AJ2255" s="91"/>
      <c r="AK2255" s="91"/>
      <c r="AL2255" s="91"/>
      <c r="AM2255" s="91"/>
      <c r="AN2255" s="91"/>
      <c r="AO2255" s="91"/>
      <c r="AP2255" s="91"/>
      <c r="AQ2255" s="91"/>
      <c r="AR2255" s="91"/>
      <c r="AS2255" s="91"/>
      <c r="AT2255" s="91"/>
      <c r="AU2255" s="91"/>
      <c r="AV2255" s="91"/>
    </row>
    <row r="2256" spans="25:48" hidden="1" x14ac:dyDescent="0.25">
      <c r="Y2256" s="91"/>
      <c r="Z2256" s="91" t="s">
        <v>1245</v>
      </c>
      <c r="AA2256" s="91" t="e">
        <f>IF(Tra05_switch=1,AIS_NA,(Tra05_04/Tra05_credits)*Tra05_tot)</f>
        <v>#VALUE!</v>
      </c>
      <c r="AB2256" s="91"/>
      <c r="AC2256" s="91"/>
      <c r="AD2256" s="91"/>
      <c r="AE2256" s="91"/>
      <c r="AF2256" s="91"/>
      <c r="AG2256" s="91"/>
      <c r="AH2256" s="91"/>
      <c r="AI2256" s="91"/>
      <c r="AJ2256" s="91"/>
      <c r="AK2256" s="91"/>
      <c r="AL2256" s="91"/>
      <c r="AM2256" s="91"/>
      <c r="AN2256" s="91"/>
      <c r="AO2256" s="91"/>
      <c r="AP2256" s="91"/>
      <c r="AQ2256" s="91"/>
      <c r="AR2256" s="91"/>
      <c r="AS2256" s="91"/>
      <c r="AT2256" s="91"/>
      <c r="AU2256" s="91"/>
      <c r="AV2256" s="91"/>
    </row>
    <row r="2257" spans="25:48" hidden="1" x14ac:dyDescent="0.25">
      <c r="Y2257" s="91"/>
      <c r="Z2257" s="91" t="s">
        <v>1246</v>
      </c>
      <c r="AA2257" s="91">
        <f>IF(ADPT=ADPT02,AIS_NA,(IF(Wat01_01=AIS_option09,VLOOKUP(Wat01_05,Wat01_benchmarks,2,TRUE),IF(Wat01_01=AIS_option10,Wat01_Alt_total,0))))</f>
        <v>0</v>
      </c>
      <c r="AB2257" s="91"/>
      <c r="AC2257" s="91"/>
      <c r="AD2257" s="91"/>
      <c r="AE2257" s="91"/>
      <c r="AF2257" s="91"/>
      <c r="AG2257" s="91"/>
      <c r="AH2257" s="91"/>
      <c r="AI2257" s="91"/>
      <c r="AJ2257" s="91"/>
      <c r="AK2257" s="91"/>
      <c r="AL2257" s="91"/>
      <c r="AM2257" s="91"/>
      <c r="AN2257" s="91"/>
      <c r="AO2257" s="91"/>
      <c r="AP2257" s="91"/>
      <c r="AQ2257" s="91"/>
      <c r="AR2257" s="91"/>
      <c r="AS2257" s="91"/>
      <c r="AT2257" s="91"/>
      <c r="AU2257" s="91"/>
      <c r="AV2257" s="91"/>
    </row>
    <row r="2258" spans="25:48" hidden="1" x14ac:dyDescent="0.25">
      <c r="Y2258" s="91"/>
      <c r="Z2258" s="91" t="s">
        <v>1247</v>
      </c>
      <c r="AA2258" s="91">
        <f>(Wat01_14/Wat01_credits)*Wat01_tot</f>
        <v>0</v>
      </c>
      <c r="AB2258" s="91"/>
      <c r="AC2258" s="91"/>
      <c r="AD2258" s="91"/>
      <c r="AE2258" s="91"/>
      <c r="AF2258" s="91"/>
      <c r="AG2258" s="91"/>
      <c r="AH2258" s="91"/>
      <c r="AI2258" s="91"/>
      <c r="AJ2258" s="91"/>
      <c r="AK2258" s="91"/>
      <c r="AL2258" s="91"/>
      <c r="AM2258" s="91"/>
      <c r="AN2258" s="91"/>
      <c r="AO2258" s="91"/>
      <c r="AP2258" s="91"/>
      <c r="AQ2258" s="91"/>
      <c r="AR2258" s="91"/>
      <c r="AS2258" s="91"/>
      <c r="AT2258" s="91"/>
      <c r="AU2258" s="91"/>
      <c r="AV2258" s="91"/>
    </row>
    <row r="2259" spans="25:48" hidden="1" x14ac:dyDescent="0.25">
      <c r="Y2259" s="91"/>
      <c r="Z2259" s="91" t="s">
        <v>1248</v>
      </c>
      <c r="AA2259" s="91">
        <f>IF(Wat04_01=AIS_statement32,AIS_NA,Wat04_04)</f>
        <v>0</v>
      </c>
      <c r="AB2259" s="91"/>
      <c r="AC2259" s="91"/>
      <c r="AD2259" s="91"/>
      <c r="AE2259" s="91"/>
      <c r="AF2259" s="91"/>
      <c r="AG2259" s="91"/>
      <c r="AH2259" s="91"/>
      <c r="AI2259" s="91"/>
      <c r="AJ2259" s="91"/>
      <c r="AK2259" s="91"/>
      <c r="AL2259" s="91"/>
      <c r="AM2259" s="91"/>
      <c r="AN2259" s="91"/>
      <c r="AO2259" s="91"/>
      <c r="AP2259" s="91"/>
      <c r="AQ2259" s="91"/>
      <c r="AR2259" s="91"/>
      <c r="AS2259" s="91"/>
      <c r="AT2259" s="91"/>
      <c r="AU2259" s="91"/>
      <c r="AV2259" s="91"/>
    </row>
    <row r="2260" spans="25:48" hidden="1" x14ac:dyDescent="0.25">
      <c r="Y2260" s="91"/>
      <c r="Z2260" s="91" t="s">
        <v>1249</v>
      </c>
      <c r="AA2260" s="91" t="e">
        <f>IF(Mat03_errorcheck&gt;0,AIS_Error,SUM(Mat03_totalpoints)/(4*(COUNTIF(Mat03_elementapp,AIS_Yes))))</f>
        <v>#REF!</v>
      </c>
      <c r="AB2260" s="91"/>
      <c r="AC2260" s="91"/>
      <c r="AD2260" s="91"/>
      <c r="AE2260" s="91"/>
      <c r="AF2260" s="91"/>
      <c r="AG2260" s="91"/>
      <c r="AH2260" s="91"/>
      <c r="AI2260" s="91"/>
      <c r="AJ2260" s="91"/>
      <c r="AK2260" s="91"/>
      <c r="AL2260" s="91"/>
      <c r="AM2260" s="91"/>
      <c r="AN2260" s="91"/>
      <c r="AO2260" s="91"/>
      <c r="AP2260" s="91"/>
      <c r="AQ2260" s="91"/>
      <c r="AR2260" s="91"/>
      <c r="AS2260" s="91"/>
      <c r="AT2260" s="91"/>
      <c r="AU2260" s="91"/>
      <c r="AV2260" s="91"/>
    </row>
    <row r="2261" spans="25:48" hidden="1" x14ac:dyDescent="0.25">
      <c r="Y2261" s="91"/>
      <c r="Z2261" s="91" t="s">
        <v>1250</v>
      </c>
      <c r="AA2261" s="91">
        <f>IF(OR(Mat03_06=AIS_No,Mat03_06=""),0,VLOOKUP(Mat03_03,Mat03_credit_benchmarks,2,TRUE))</f>
        <v>0</v>
      </c>
      <c r="AB2261" s="91"/>
      <c r="AC2261" s="91"/>
      <c r="AD2261" s="91"/>
      <c r="AE2261" s="91"/>
      <c r="AF2261" s="91"/>
      <c r="AG2261" s="91"/>
      <c r="AH2261" s="91"/>
      <c r="AI2261" s="91"/>
      <c r="AJ2261" s="91"/>
      <c r="AK2261" s="91"/>
      <c r="AL2261" s="91"/>
      <c r="AM2261" s="91"/>
      <c r="AN2261" s="91"/>
      <c r="AO2261" s="91"/>
      <c r="AP2261" s="91"/>
      <c r="AQ2261" s="91"/>
      <c r="AR2261" s="91"/>
      <c r="AS2261" s="91"/>
      <c r="AT2261" s="91"/>
      <c r="AU2261" s="91"/>
      <c r="AV2261" s="91"/>
    </row>
    <row r="2262" spans="25:48" hidden="1" x14ac:dyDescent="0.25">
      <c r="Y2262" s="91"/>
      <c r="Z2262" s="586" t="s">
        <v>1251</v>
      </c>
      <c r="AA2262" s="586">
        <f>IFERROR(SUM(Wst01_credit_awarded),0)</f>
        <v>0</v>
      </c>
      <c r="AB2262" s="586">
        <f>IF(OR(Wst01_01=AIS_No,Wst01_15=AIS_No),0,IF(AND(Wst01_01=AIS_Yes,Wst01_04=AIS_units18),Wst01_13+Wst01_19,IF(AND(Wst01_01=AIS_Yes,Wst01_04=AIS_units21),Wst01_14+Wst01_20,0)))</f>
        <v>0</v>
      </c>
      <c r="AC2262" s="91"/>
      <c r="AD2262" s="91"/>
      <c r="AE2262" s="91"/>
      <c r="AF2262" s="91"/>
      <c r="AG2262" s="91"/>
      <c r="AH2262" s="91"/>
      <c r="AI2262" s="91"/>
      <c r="AJ2262" s="91"/>
      <c r="AK2262" s="91"/>
      <c r="AL2262" s="91"/>
      <c r="AM2262" s="91"/>
      <c r="AN2262" s="91"/>
      <c r="AO2262" s="91"/>
      <c r="AP2262" s="91"/>
      <c r="AQ2262" s="91"/>
      <c r="AR2262" s="91"/>
      <c r="AS2262" s="91"/>
      <c r="AT2262" s="91"/>
      <c r="AU2262" s="91"/>
      <c r="AV2262" s="91"/>
    </row>
    <row r="2263" spans="25:48" hidden="1" x14ac:dyDescent="0.25">
      <c r="Y2263" s="91"/>
      <c r="Z2263" s="586" t="s">
        <v>1252</v>
      </c>
      <c r="AA2263" s="586">
        <f>IF(AND(Wst01_Tot_Err=3,Wst01_70&gt;=0.85),1,0)</f>
        <v>0</v>
      </c>
      <c r="AB2263" s="91">
        <f>IF(OR(Wst01_01=AIS_No,Wst01_15=AIS_No),0,IF(AND(Wst01_01=AIS_Yes,Wst01_04=AIS_units18,Wst01_24=AIS_Yes,Wst01_22=AIS_Yes,OR(Wst01_01a=AIS_Yes,Wst01_01a=AIS_NA)),Wst01_26,IF(AND(Wst01_01=AIS_Yes,Wst01_04=AIS_units21,Wst01_25=AIS_Yes,Wst01_23=AIS_Yes,OR(Wst01_01a=AIS_Yes,Wst01_01a=AIS_NA)),Wst01_26,0)))</f>
        <v>0</v>
      </c>
      <c r="AC2263" s="91"/>
      <c r="AD2263" s="91"/>
      <c r="AE2263" s="91"/>
      <c r="AF2263" s="91"/>
      <c r="AG2263" s="91"/>
      <c r="AH2263" s="91"/>
      <c r="AI2263" s="91"/>
      <c r="AJ2263" s="91"/>
      <c r="AK2263" s="91"/>
      <c r="AL2263" s="91"/>
      <c r="AM2263" s="91"/>
      <c r="AN2263" s="91"/>
      <c r="AO2263" s="91"/>
      <c r="AP2263" s="91"/>
      <c r="AQ2263" s="91"/>
      <c r="AR2263" s="91"/>
      <c r="AS2263" s="91"/>
      <c r="AT2263" s="91"/>
      <c r="AU2263" s="91"/>
      <c r="AV2263" s="91"/>
    </row>
    <row r="2264" spans="25:48" hidden="1" x14ac:dyDescent="0.25">
      <c r="Y2264" s="91"/>
      <c r="Z2264" s="91" t="s">
        <v>1253</v>
      </c>
      <c r="AA2264" s="91">
        <f>IF(Wst02_16&gt;=0.25,1,0)</f>
        <v>0</v>
      </c>
      <c r="AB2264" s="91"/>
      <c r="AC2264" s="91"/>
      <c r="AD2264" s="91"/>
      <c r="AE2264" s="91"/>
      <c r="AF2264" s="91"/>
      <c r="AG2264" s="91"/>
      <c r="AH2264" s="91"/>
      <c r="AI2264" s="91"/>
      <c r="AJ2264" s="91"/>
      <c r="AK2264" s="91"/>
      <c r="AL2264" s="91"/>
      <c r="AM2264" s="91"/>
      <c r="AN2264" s="91"/>
      <c r="AO2264" s="91"/>
      <c r="AP2264" s="91"/>
      <c r="AQ2264" s="91"/>
      <c r="AR2264" s="91"/>
      <c r="AS2264" s="91"/>
      <c r="AT2264" s="91"/>
      <c r="AU2264" s="91"/>
      <c r="AV2264" s="91"/>
    </row>
    <row r="2265" spans="25:48" hidden="1" x14ac:dyDescent="0.25">
      <c r="Y2265" s="91"/>
      <c r="Z2265" s="91" t="s">
        <v>1254</v>
      </c>
      <c r="AA2265" s="91" t="str">
        <f>IF(Wst04_01=AIS_statement32,AIS_NA,Wst04_06)</f>
        <v>N/A</v>
      </c>
      <c r="AB2265" s="91"/>
      <c r="AC2265" s="91"/>
      <c r="AD2265" s="91"/>
      <c r="AE2265" s="91"/>
      <c r="AF2265" s="91"/>
      <c r="AG2265" s="91"/>
      <c r="AH2265" s="91"/>
      <c r="AI2265" s="91"/>
      <c r="AJ2265" s="91"/>
      <c r="AK2265" s="91"/>
      <c r="AL2265" s="91"/>
      <c r="AM2265" s="91"/>
      <c r="AN2265" s="91"/>
      <c r="AO2265" s="91"/>
      <c r="AP2265" s="91"/>
      <c r="AQ2265" s="91"/>
      <c r="AR2265" s="91"/>
      <c r="AS2265" s="91"/>
      <c r="AT2265" s="91"/>
      <c r="AU2265" s="91"/>
      <c r="AV2265" s="91"/>
    </row>
    <row r="2266" spans="25:48" hidden="1" x14ac:dyDescent="0.25">
      <c r="Y2266" s="91"/>
      <c r="Z2266" s="91" t="s">
        <v>1255</v>
      </c>
      <c r="AA2266" s="91">
        <f>IF(LE03_03="",0,IF(LE03_03&gt;=LE03_05,LE03_subtot,IF(LE03_03&gt;=LE03_06,LE03_08,0)))</f>
        <v>0</v>
      </c>
      <c r="AB2266" s="91"/>
      <c r="AC2266" s="91"/>
      <c r="AD2266" s="91"/>
      <c r="AE2266" s="91"/>
      <c r="AF2266" s="91"/>
      <c r="AG2266" s="91"/>
      <c r="AH2266" s="91"/>
      <c r="AI2266" s="91"/>
      <c r="AJ2266" s="91"/>
      <c r="AK2266" s="91"/>
      <c r="AL2266" s="91"/>
      <c r="AM2266" s="91"/>
      <c r="AN2266" s="91"/>
      <c r="AO2266" s="91"/>
      <c r="AP2266" s="91"/>
      <c r="AQ2266" s="91"/>
      <c r="AR2266" s="91"/>
      <c r="AS2266" s="91"/>
      <c r="AT2266" s="91"/>
      <c r="AU2266" s="91"/>
      <c r="AV2266" s="91"/>
    </row>
    <row r="2267" spans="25:48" hidden="1" x14ac:dyDescent="0.25">
      <c r="Y2267" s="91"/>
      <c r="Z2267" s="91" t="s">
        <v>1256</v>
      </c>
      <c r="AA2267" s="91">
        <f>IF(Pol01_01=AIS_statement32,AIS_NA,IF(Pol01_02=AIS_No,3,IF(Pol01_prereq=AIS_No,0,Pol01_04+Pol01_10)))</f>
        <v>0</v>
      </c>
      <c r="AB2267" s="91"/>
      <c r="AC2267" s="91"/>
      <c r="AD2267" s="91"/>
      <c r="AE2267" s="91"/>
      <c r="AF2267" s="91"/>
      <c r="AG2267" s="91"/>
      <c r="AH2267" s="91"/>
      <c r="AI2267" s="91"/>
      <c r="AJ2267" s="91"/>
      <c r="AK2267" s="91"/>
      <c r="AL2267" s="91"/>
      <c r="AM2267" s="91"/>
      <c r="AN2267" s="91"/>
      <c r="AO2267" s="91"/>
      <c r="AP2267" s="91"/>
      <c r="AQ2267" s="91"/>
      <c r="AR2267" s="91"/>
      <c r="AS2267" s="91"/>
      <c r="AT2267" s="91"/>
      <c r="AU2267" s="91"/>
      <c r="AV2267" s="91"/>
    </row>
    <row r="2268" spans="25:48" hidden="1" x14ac:dyDescent="0.25">
      <c r="Y2268" s="91"/>
      <c r="Z2268" s="91" t="s">
        <v>1257</v>
      </c>
      <c r="AA2268" s="91">
        <f>IF(AND(ADBT0=ADBT8,ADBT_sub01=ADBT_sub28),Pol03_10+Pol03_13+Pol03_36,Pol03_10+Pol03_11+Pol03_12+Pol03_13)</f>
        <v>0</v>
      </c>
      <c r="AB2268" s="91"/>
      <c r="AC2268" s="91"/>
      <c r="AD2268" s="91"/>
      <c r="AE2268" s="91"/>
      <c r="AF2268" s="91"/>
      <c r="AG2268" s="91"/>
      <c r="AH2268" s="91"/>
      <c r="AI2268" s="91"/>
      <c r="AJ2268" s="91"/>
      <c r="AK2268" s="91"/>
      <c r="AL2268" s="91"/>
      <c r="AM2268" s="91"/>
      <c r="AN2268" s="91"/>
      <c r="AO2268" s="91"/>
      <c r="AP2268" s="91"/>
      <c r="AQ2268" s="91"/>
      <c r="AR2268" s="91"/>
      <c r="AS2268" s="91"/>
      <c r="AT2268" s="91"/>
      <c r="AU2268" s="91"/>
      <c r="AV2268" s="91"/>
    </row>
    <row r="2269" spans="25:48" hidden="1" x14ac:dyDescent="0.25">
      <c r="Y2269" s="91"/>
      <c r="Z2269" s="91" t="s">
        <v>1258</v>
      </c>
      <c r="AA2269" s="91">
        <f>IF(Pol05_09=AIS_statement32,AIS_NA,Pol05_06)</f>
        <v>0</v>
      </c>
      <c r="AB2269" s="91"/>
      <c r="AC2269" s="91"/>
      <c r="AD2269" s="91"/>
      <c r="AE2269" s="91"/>
      <c r="AF2269" s="91"/>
      <c r="AG2269" s="91"/>
      <c r="AH2269" s="91"/>
      <c r="AI2269" s="91"/>
      <c r="AJ2269" s="91"/>
      <c r="AK2269" s="91"/>
      <c r="AL2269" s="91"/>
      <c r="AM2269" s="91"/>
      <c r="AN2269" s="91"/>
      <c r="AO2269" s="91"/>
      <c r="AP2269" s="91"/>
      <c r="AQ2269" s="91"/>
      <c r="AR2269" s="91"/>
      <c r="AS2269" s="91"/>
      <c r="AT2269" s="91"/>
      <c r="AU2269" s="91"/>
      <c r="AV2269" s="91"/>
    </row>
    <row r="2270" spans="25:48" hidden="1" x14ac:dyDescent="0.25">
      <c r="Y2270" s="91"/>
      <c r="Z2270" s="91" t="s">
        <v>1259</v>
      </c>
      <c r="AA2270" s="91">
        <f>IF((SUM(Inn01_03)+Inn01_01)&gt;10,10,(SUM(Inn01_03)+Inn01_01))</f>
        <v>0</v>
      </c>
      <c r="AB2270" s="91"/>
      <c r="AC2270" s="91"/>
      <c r="AD2270" s="91"/>
      <c r="AE2270" s="91"/>
      <c r="AF2270" s="91"/>
      <c r="AG2270" s="91"/>
      <c r="AH2270" s="91"/>
      <c r="AI2270" s="91"/>
      <c r="AJ2270" s="91"/>
      <c r="AK2270" s="91"/>
      <c r="AL2270" s="91"/>
      <c r="AM2270" s="91"/>
      <c r="AN2270" s="91"/>
      <c r="AO2270" s="91"/>
      <c r="AP2270" s="91"/>
      <c r="AQ2270" s="91"/>
      <c r="AR2270" s="91"/>
      <c r="AS2270" s="91"/>
      <c r="AT2270" s="91"/>
      <c r="AU2270" s="91"/>
      <c r="AV2270" s="91"/>
    </row>
    <row r="2271" spans="25:48" hidden="1" x14ac:dyDescent="0.25">
      <c r="Y2271" s="91"/>
      <c r="Z2271" s="91"/>
      <c r="AA2271" s="91"/>
      <c r="AB2271" s="91"/>
      <c r="AC2271" s="91"/>
      <c r="AD2271" s="91"/>
      <c r="AE2271" s="91"/>
      <c r="AF2271" s="91"/>
      <c r="AG2271" s="91"/>
      <c r="AH2271" s="91"/>
      <c r="AI2271" s="91"/>
      <c r="AJ2271" s="91"/>
      <c r="AK2271" s="91"/>
      <c r="AL2271" s="91"/>
      <c r="AM2271" s="91"/>
      <c r="AN2271" s="91"/>
      <c r="AO2271" s="91"/>
      <c r="AP2271" s="91"/>
      <c r="AQ2271" s="91"/>
      <c r="AR2271" s="91"/>
      <c r="AS2271" s="91"/>
      <c r="AT2271" s="91"/>
      <c r="AU2271" s="91"/>
      <c r="AV2271" s="91"/>
    </row>
    <row r="2272" spans="25:48" hidden="1" x14ac:dyDescent="0.25">
      <c r="Y2272" s="91"/>
      <c r="Z2272" s="91"/>
      <c r="AA2272" s="91"/>
      <c r="AB2272" s="91"/>
      <c r="AC2272" s="91"/>
      <c r="AD2272" s="91"/>
      <c r="AE2272" s="91"/>
      <c r="AF2272" s="91"/>
      <c r="AG2272" s="91"/>
      <c r="AH2272" s="91"/>
      <c r="AI2272" s="91"/>
      <c r="AJ2272" s="91"/>
      <c r="AK2272" s="91"/>
      <c r="AL2272" s="91"/>
      <c r="AM2272" s="91"/>
      <c r="AN2272" s="91"/>
      <c r="AO2272" s="91"/>
      <c r="AP2272" s="91"/>
      <c r="AQ2272" s="91"/>
      <c r="AR2272" s="91"/>
      <c r="AS2272" s="91"/>
      <c r="AT2272" s="91"/>
      <c r="AU2272" s="91"/>
      <c r="AV2272" s="91"/>
    </row>
    <row r="2273" spans="25:48" hidden="1" x14ac:dyDescent="0.25">
      <c r="Y2273" s="91"/>
      <c r="Z2273" s="91" t="s">
        <v>1260</v>
      </c>
      <c r="AA2273" s="91">
        <f>IF(OR(Mat01_07=AIS_No,Mat01_07=""),0,IF(Mat01_07=AIS_Yes,1,0))</f>
        <v>0</v>
      </c>
      <c r="AB2273" s="91"/>
      <c r="AC2273" s="91"/>
      <c r="AD2273" s="91"/>
      <c r="AE2273" s="91"/>
      <c r="AF2273" s="91"/>
      <c r="AG2273" s="91"/>
      <c r="AH2273" s="91"/>
      <c r="AI2273" s="91"/>
      <c r="AJ2273" s="91"/>
      <c r="AK2273" s="91"/>
      <c r="AL2273" s="91"/>
      <c r="AM2273" s="91"/>
      <c r="AN2273" s="91"/>
      <c r="AO2273" s="91"/>
      <c r="AP2273" s="91"/>
      <c r="AQ2273" s="91"/>
      <c r="AR2273" s="91"/>
      <c r="AS2273" s="91"/>
      <c r="AT2273" s="91"/>
      <c r="AU2273" s="91"/>
      <c r="AV2273" s="91"/>
    </row>
    <row r="2274" spans="25:48" hidden="1" x14ac:dyDescent="0.25">
      <c r="Y2274" s="91"/>
      <c r="Z2274" s="91" t="s">
        <v>1261</v>
      </c>
      <c r="AA2274" s="91">
        <f>IF(OR(Mat01_29=AIS_No,Mat01_29=""),0,IF(Mat01_29=AIS_Yes,2,0))</f>
        <v>0</v>
      </c>
      <c r="AB2274" s="91"/>
      <c r="AC2274" s="91"/>
      <c r="AD2274" s="91"/>
      <c r="AE2274" s="91"/>
      <c r="AF2274" s="91"/>
      <c r="AG2274" s="91"/>
      <c r="AH2274" s="91"/>
      <c r="AI2274" s="91"/>
      <c r="AJ2274" s="91"/>
      <c r="AK2274" s="91"/>
      <c r="AL2274" s="91"/>
      <c r="AM2274" s="91"/>
      <c r="AN2274" s="91"/>
      <c r="AO2274" s="91"/>
      <c r="AP2274" s="91"/>
      <c r="AQ2274" s="91"/>
      <c r="AR2274" s="91"/>
      <c r="AS2274" s="91"/>
      <c r="AT2274" s="91"/>
      <c r="AU2274" s="91"/>
      <c r="AV2274" s="91"/>
    </row>
    <row r="2275" spans="25:48" hidden="1" x14ac:dyDescent="0.25">
      <c r="Y2275" s="91"/>
      <c r="Z2275" s="91" t="s">
        <v>1262</v>
      </c>
      <c r="AA2275" s="91">
        <f>SUM(AA2273:AA2274)</f>
        <v>0</v>
      </c>
      <c r="AB2275" s="91"/>
      <c r="AC2275" s="91"/>
      <c r="AD2275" s="91"/>
      <c r="AE2275" s="91"/>
      <c r="AF2275" s="91"/>
      <c r="AG2275" s="91"/>
      <c r="AH2275" s="91"/>
      <c r="AI2275" s="91"/>
      <c r="AJ2275" s="91"/>
      <c r="AK2275" s="91"/>
      <c r="AL2275" s="91"/>
      <c r="AM2275" s="91"/>
      <c r="AN2275" s="91"/>
      <c r="AO2275" s="91"/>
      <c r="AP2275" s="91"/>
      <c r="AQ2275" s="91"/>
      <c r="AR2275" s="91"/>
      <c r="AS2275" s="91"/>
      <c r="AT2275" s="91"/>
      <c r="AU2275" s="91"/>
      <c r="AV2275" s="91"/>
    </row>
    <row r="2276" spans="25:48" hidden="1" x14ac:dyDescent="0.25">
      <c r="Y2276" s="91"/>
      <c r="Z2276" s="91"/>
      <c r="AA2276" s="91"/>
      <c r="AB2276" s="91"/>
      <c r="AC2276" s="91"/>
      <c r="AD2276" s="91"/>
      <c r="AE2276" s="91"/>
      <c r="AF2276" s="91"/>
      <c r="AG2276" s="91"/>
      <c r="AH2276" s="91"/>
      <c r="AI2276" s="91"/>
      <c r="AJ2276" s="91"/>
      <c r="AK2276" s="91"/>
      <c r="AL2276" s="91"/>
      <c r="AM2276" s="91"/>
      <c r="AN2276" s="91"/>
      <c r="AO2276" s="91"/>
      <c r="AP2276" s="91"/>
      <c r="AQ2276" s="91"/>
      <c r="AR2276" s="91"/>
      <c r="AS2276" s="91"/>
      <c r="AT2276" s="91"/>
      <c r="AU2276" s="91"/>
      <c r="AV2276" s="91"/>
    </row>
    <row r="2277" spans="25:48" hidden="1" x14ac:dyDescent="0.25">
      <c r="Y2277" s="91"/>
      <c r="Z2277" s="91"/>
      <c r="AA2277" s="91"/>
      <c r="AB2277" s="91"/>
      <c r="AC2277" s="91"/>
      <c r="AD2277" s="91"/>
      <c r="AE2277" s="91"/>
      <c r="AF2277" s="91"/>
      <c r="AG2277" s="91"/>
      <c r="AH2277" s="91"/>
      <c r="AI2277" s="91"/>
      <c r="AJ2277" s="91"/>
      <c r="AK2277" s="91"/>
      <c r="AL2277" s="91"/>
      <c r="AM2277" s="91"/>
      <c r="AN2277" s="91"/>
      <c r="AO2277" s="91"/>
      <c r="AP2277" s="91"/>
      <c r="AQ2277" s="91"/>
      <c r="AR2277" s="91"/>
      <c r="AS2277" s="91"/>
      <c r="AT2277" s="91"/>
      <c r="AU2277" s="91"/>
      <c r="AV2277" s="91"/>
    </row>
    <row r="2278" spans="25:48" hidden="1" x14ac:dyDescent="0.25">
      <c r="Y2278" s="91"/>
      <c r="Z2278" s="91" t="s">
        <v>1263</v>
      </c>
      <c r="AA2278" s="91" t="e">
        <f>IF(AND(Tra03_02=Tra03_option16,Tra03_03&gt;0,Tra03_06=AIS_Yes),1,0)</f>
        <v>#REF!</v>
      </c>
      <c r="AB2278" s="91"/>
      <c r="AC2278" s="91"/>
      <c r="AD2278" s="91"/>
      <c r="AE2278" s="91"/>
      <c r="AF2278" s="91"/>
      <c r="AG2278" s="91"/>
      <c r="AH2278" s="91"/>
      <c r="AI2278" s="91"/>
      <c r="AJ2278" s="91"/>
      <c r="AK2278" s="91"/>
      <c r="AL2278" s="91"/>
      <c r="AM2278" s="91"/>
      <c r="AN2278" s="91"/>
      <c r="AO2278" s="91"/>
      <c r="AP2278" s="91"/>
      <c r="AQ2278" s="91"/>
      <c r="AR2278" s="91"/>
      <c r="AS2278" s="91"/>
      <c r="AT2278" s="91"/>
      <c r="AU2278" s="91"/>
      <c r="AV2278" s="91"/>
    </row>
    <row r="2279" spans="25:48" hidden="1" x14ac:dyDescent="0.25">
      <c r="Y2279" s="91"/>
      <c r="Z2279" s="91"/>
      <c r="AA2279" s="91"/>
      <c r="AB2279" s="91"/>
      <c r="AC2279" s="91"/>
      <c r="AD2279" s="91"/>
      <c r="AE2279" s="91"/>
      <c r="AF2279" s="91"/>
      <c r="AG2279" s="91"/>
      <c r="AH2279" s="91"/>
      <c r="AI2279" s="91"/>
      <c r="AJ2279" s="91"/>
      <c r="AK2279" s="91"/>
      <c r="AL2279" s="91"/>
      <c r="AM2279" s="91"/>
      <c r="AN2279" s="91"/>
      <c r="AO2279" s="91"/>
      <c r="AP2279" s="91"/>
      <c r="AQ2279" s="91"/>
      <c r="AR2279" s="91"/>
      <c r="AS2279" s="91"/>
      <c r="AT2279" s="91"/>
      <c r="AU2279" s="91"/>
      <c r="AV2279" s="91"/>
    </row>
    <row r="2280" spans="25:48" hidden="1" x14ac:dyDescent="0.25">
      <c r="Y2280" s="91"/>
      <c r="Z2280" s="91"/>
      <c r="AA2280" s="91"/>
      <c r="AB2280" s="91"/>
      <c r="AC2280" s="91"/>
      <c r="AD2280" s="91"/>
      <c r="AE2280" s="91"/>
      <c r="AF2280" s="91"/>
      <c r="AG2280" s="91"/>
      <c r="AH2280" s="91"/>
      <c r="AI2280" s="91"/>
      <c r="AJ2280" s="91"/>
      <c r="AK2280" s="91"/>
      <c r="AL2280" s="91"/>
      <c r="AM2280" s="91"/>
      <c r="AN2280" s="91"/>
      <c r="AO2280" s="91"/>
      <c r="AP2280" s="91"/>
      <c r="AQ2280" s="91"/>
      <c r="AR2280" s="91"/>
      <c r="AS2280" s="91"/>
      <c r="AT2280" s="91"/>
      <c r="AU2280" s="91"/>
      <c r="AV2280" s="91"/>
    </row>
    <row r="2281" spans="25:48" hidden="1" x14ac:dyDescent="0.25">
      <c r="Y2281" s="91"/>
      <c r="Z2281" s="91"/>
      <c r="AA2281" s="91"/>
      <c r="AB2281" s="91"/>
      <c r="AC2281" s="91"/>
      <c r="AD2281" s="91"/>
      <c r="AE2281" s="91"/>
      <c r="AF2281" s="91"/>
      <c r="AG2281" s="91"/>
      <c r="AH2281" s="91"/>
      <c r="AI2281" s="91"/>
      <c r="AJ2281" s="91"/>
      <c r="AK2281" s="91"/>
      <c r="AL2281" s="91"/>
      <c r="AM2281" s="91"/>
      <c r="AN2281" s="91"/>
      <c r="AO2281" s="91"/>
      <c r="AP2281" s="91"/>
      <c r="AQ2281" s="91"/>
      <c r="AR2281" s="91"/>
      <c r="AS2281" s="91"/>
      <c r="AT2281" s="91"/>
      <c r="AU2281" s="91"/>
      <c r="AV2281" s="91"/>
    </row>
    <row r="2282" spans="25:48" hidden="1" x14ac:dyDescent="0.25">
      <c r="Y2282" s="91"/>
      <c r="Z2282" s="91"/>
      <c r="AA2282" s="91"/>
      <c r="AB2282" s="91"/>
      <c r="AC2282" s="91"/>
      <c r="AD2282" s="91"/>
      <c r="AE2282" s="91"/>
      <c r="AF2282" s="91"/>
      <c r="AG2282" s="91"/>
      <c r="AH2282" s="91"/>
      <c r="AI2282" s="91"/>
      <c r="AJ2282" s="91"/>
      <c r="AK2282" s="91"/>
      <c r="AL2282" s="91"/>
      <c r="AM2282" s="91"/>
      <c r="AN2282" s="91"/>
      <c r="AO2282" s="91"/>
      <c r="AP2282" s="91"/>
      <c r="AQ2282" s="91"/>
      <c r="AR2282" s="91"/>
      <c r="AS2282" s="91"/>
      <c r="AT2282" s="91"/>
      <c r="AU2282" s="91"/>
      <c r="AV2282" s="91"/>
    </row>
    <row r="2283" spans="25:48" hidden="1" x14ac:dyDescent="0.25">
      <c r="Y2283" s="91"/>
      <c r="Z2283" s="91"/>
      <c r="AA2283" s="91"/>
      <c r="AB2283" s="91"/>
      <c r="AC2283" s="91"/>
      <c r="AD2283" s="91"/>
      <c r="AE2283" s="91"/>
      <c r="AF2283" s="91"/>
      <c r="AG2283" s="91"/>
      <c r="AH2283" s="91"/>
      <c r="AI2283" s="91"/>
      <c r="AJ2283" s="91"/>
      <c r="AK2283" s="91"/>
      <c r="AL2283" s="91"/>
      <c r="AM2283" s="91"/>
      <c r="AN2283" s="91"/>
      <c r="AO2283" s="91"/>
      <c r="AP2283" s="91"/>
      <c r="AQ2283" s="91"/>
      <c r="AR2283" s="91"/>
      <c r="AS2283" s="91"/>
      <c r="AT2283" s="91"/>
      <c r="AU2283" s="91"/>
      <c r="AV2283" s="91"/>
    </row>
    <row r="2284" spans="25:48" hidden="1" x14ac:dyDescent="0.25">
      <c r="Y2284" s="91"/>
      <c r="Z2284" s="91"/>
      <c r="AA2284" s="91"/>
      <c r="AB2284" s="91"/>
      <c r="AC2284" s="91"/>
      <c r="AD2284" s="91"/>
      <c r="AE2284" s="91"/>
      <c r="AF2284" s="91"/>
      <c r="AG2284" s="91"/>
      <c r="AH2284" s="91"/>
      <c r="AI2284" s="91"/>
      <c r="AJ2284" s="91"/>
      <c r="AK2284" s="91"/>
      <c r="AL2284" s="91"/>
      <c r="AM2284" s="91"/>
      <c r="AN2284" s="91"/>
      <c r="AO2284" s="91"/>
      <c r="AP2284" s="91"/>
      <c r="AQ2284" s="91"/>
      <c r="AR2284" s="91"/>
      <c r="AS2284" s="91"/>
      <c r="AT2284" s="91"/>
      <c r="AU2284" s="91"/>
      <c r="AV2284" s="91"/>
    </row>
    <row r="2285" spans="25:48" hidden="1" x14ac:dyDescent="0.25">
      <c r="Y2285" s="91"/>
      <c r="Z2285" s="91"/>
      <c r="AA2285" s="91"/>
      <c r="AB2285" s="91"/>
      <c r="AC2285" s="91"/>
      <c r="AD2285" s="91"/>
      <c r="AE2285" s="91"/>
      <c r="AF2285" s="91"/>
      <c r="AG2285" s="91"/>
      <c r="AH2285" s="91"/>
      <c r="AI2285" s="91"/>
      <c r="AJ2285" s="91"/>
      <c r="AK2285" s="91"/>
      <c r="AL2285" s="91"/>
      <c r="AM2285" s="91"/>
      <c r="AN2285" s="91"/>
      <c r="AO2285" s="91"/>
      <c r="AP2285" s="91"/>
      <c r="AQ2285" s="91"/>
      <c r="AR2285" s="91"/>
      <c r="AS2285" s="91"/>
      <c r="AT2285" s="91"/>
      <c r="AU2285" s="91"/>
      <c r="AV2285" s="91"/>
    </row>
    <row r="2286" spans="25:48" hidden="1" x14ac:dyDescent="0.25">
      <c r="Y2286" s="91"/>
      <c r="Z2286" s="91"/>
      <c r="AA2286" s="91"/>
      <c r="AB2286" s="91"/>
      <c r="AC2286" s="91"/>
      <c r="AD2286" s="91"/>
      <c r="AE2286" s="91"/>
      <c r="AF2286" s="91"/>
      <c r="AG2286" s="91"/>
      <c r="AH2286" s="91"/>
      <c r="AI2286" s="91"/>
      <c r="AJ2286" s="91"/>
      <c r="AK2286" s="91"/>
      <c r="AL2286" s="91"/>
      <c r="AM2286" s="91"/>
      <c r="AN2286" s="91"/>
      <c r="AO2286" s="91"/>
      <c r="AP2286" s="91"/>
      <c r="AQ2286" s="91"/>
      <c r="AR2286" s="91"/>
      <c r="AS2286" s="91"/>
      <c r="AT2286" s="91"/>
      <c r="AU2286" s="91"/>
      <c r="AV2286" s="91"/>
    </row>
    <row r="2287" spans="25:48" hidden="1" x14ac:dyDescent="0.25">
      <c r="Y2287" s="91"/>
      <c r="Z2287" s="91"/>
      <c r="AA2287" s="91"/>
      <c r="AB2287" s="91"/>
      <c r="AC2287" s="91"/>
      <c r="AD2287" s="91"/>
      <c r="AE2287" s="91"/>
      <c r="AF2287" s="91"/>
      <c r="AG2287" s="91"/>
      <c r="AH2287" s="91"/>
      <c r="AI2287" s="91"/>
      <c r="AJ2287" s="91"/>
      <c r="AK2287" s="91"/>
      <c r="AL2287" s="91"/>
      <c r="AM2287" s="91"/>
      <c r="AN2287" s="91"/>
      <c r="AO2287" s="91"/>
      <c r="AP2287" s="91"/>
      <c r="AQ2287" s="91"/>
      <c r="AR2287" s="91"/>
      <c r="AS2287" s="91"/>
      <c r="AT2287" s="91"/>
      <c r="AU2287" s="91"/>
      <c r="AV2287" s="91"/>
    </row>
    <row r="2288" spans="25:48" hidden="1" x14ac:dyDescent="0.25">
      <c r="Y2288" s="91"/>
      <c r="Z2288" s="91"/>
      <c r="AA2288" s="91"/>
      <c r="AB2288" s="91"/>
      <c r="AC2288" s="91"/>
      <c r="AD2288" s="91"/>
      <c r="AE2288" s="91"/>
      <c r="AF2288" s="91"/>
      <c r="AG2288" s="91"/>
      <c r="AH2288" s="91"/>
      <c r="AI2288" s="91"/>
      <c r="AJ2288" s="91"/>
      <c r="AK2288" s="91"/>
      <c r="AL2288" s="91"/>
      <c r="AM2288" s="91"/>
      <c r="AN2288" s="91"/>
      <c r="AO2288" s="91"/>
      <c r="AP2288" s="91"/>
      <c r="AQ2288" s="91"/>
      <c r="AR2288" s="91"/>
      <c r="AS2288" s="91"/>
      <c r="AT2288" s="91"/>
      <c r="AU2288" s="91"/>
      <c r="AV2288" s="91"/>
    </row>
    <row r="2289" spans="25:61" hidden="1" x14ac:dyDescent="0.25">
      <c r="Y2289" s="91"/>
      <c r="Z2289" s="91"/>
      <c r="AA2289" s="91"/>
      <c r="AB2289" s="91"/>
      <c r="AC2289" s="91"/>
      <c r="AD2289" s="91"/>
      <c r="AE2289" s="91"/>
      <c r="AF2289" s="91"/>
      <c r="AG2289" s="91"/>
      <c r="AH2289" s="91"/>
      <c r="AI2289" s="91"/>
      <c r="AJ2289" s="91"/>
      <c r="AK2289" s="91"/>
      <c r="AL2289" s="91"/>
      <c r="AM2289" s="91"/>
      <c r="AN2289" s="91"/>
      <c r="AO2289" s="91"/>
      <c r="AP2289" s="91"/>
      <c r="AQ2289" s="91"/>
      <c r="AR2289" s="91"/>
      <c r="AS2289" s="91"/>
      <c r="AT2289" s="91"/>
      <c r="AU2289" s="91"/>
      <c r="AV2289" s="91"/>
    </row>
    <row r="2290" spans="25:61" hidden="1" x14ac:dyDescent="0.25">
      <c r="Y2290" s="501"/>
      <c r="AV2290" s="502"/>
      <c r="AW2290" s="503"/>
      <c r="BH2290" s="18"/>
      <c r="BI2290" s="3"/>
    </row>
    <row r="2291" spans="25:61" hidden="1" x14ac:dyDescent="0.25">
      <c r="Y2291" s="501"/>
    </row>
    <row r="2292" spans="25:61" hidden="1" x14ac:dyDescent="0.25">
      <c r="Y2292" s="501"/>
    </row>
    <row r="2293" spans="25:61" hidden="1" x14ac:dyDescent="0.25">
      <c r="Y2293" s="501"/>
    </row>
    <row r="2294" spans="25:61" hidden="1" x14ac:dyDescent="0.25">
      <c r="Y2294" s="501"/>
    </row>
    <row r="2295" spans="25:61" hidden="1" x14ac:dyDescent="0.25">
      <c r="Y2295" s="501"/>
    </row>
    <row r="2296" spans="25:61" hidden="1" x14ac:dyDescent="0.25">
      <c r="Y2296" s="501"/>
    </row>
    <row r="2297" spans="25:61" hidden="1" x14ac:dyDescent="0.25">
      <c r="Y2297" s="501"/>
    </row>
    <row r="2298" spans="25:61" hidden="1" x14ac:dyDescent="0.25">
      <c r="Y2298" s="501"/>
    </row>
    <row r="2299" spans="25:61" hidden="1" x14ac:dyDescent="0.25">
      <c r="Y2299" s="501"/>
    </row>
    <row r="2300" spans="25:61" hidden="1" x14ac:dyDescent="0.25">
      <c r="Y2300" s="501"/>
    </row>
    <row r="2301" spans="25:61" hidden="1" x14ac:dyDescent="0.25">
      <c r="Y2301" s="501"/>
    </row>
    <row r="2302" spans="25:61" hidden="1" x14ac:dyDescent="0.25">
      <c r="Y2302" s="501"/>
    </row>
    <row r="2303" spans="25:61" hidden="1" x14ac:dyDescent="0.25">
      <c r="Y2303" s="501"/>
    </row>
    <row r="2304" spans="25:61" hidden="1" x14ac:dyDescent="0.25">
      <c r="Y2304" s="501"/>
    </row>
    <row r="2305" spans="25:25" hidden="1" x14ac:dyDescent="0.25">
      <c r="Y2305" s="501"/>
    </row>
    <row r="2306" spans="25:25" hidden="1" x14ac:dyDescent="0.25">
      <c r="Y2306" s="501"/>
    </row>
    <row r="2307" spans="25:25" hidden="1" x14ac:dyDescent="0.25">
      <c r="Y2307" s="501"/>
    </row>
    <row r="2308" spans="25:25" hidden="1" x14ac:dyDescent="0.25">
      <c r="Y2308" s="501"/>
    </row>
    <row r="2309" spans="25:25" hidden="1" x14ac:dyDescent="0.25">
      <c r="Y2309" s="501"/>
    </row>
    <row r="2310" spans="25:25" hidden="1" x14ac:dyDescent="0.25">
      <c r="Y2310" s="501"/>
    </row>
    <row r="2311" spans="25:25" hidden="1" x14ac:dyDescent="0.25">
      <c r="Y2311" s="501"/>
    </row>
    <row r="2312" spans="25:25" hidden="1" x14ac:dyDescent="0.25">
      <c r="Y2312" s="501"/>
    </row>
    <row r="2313" spans="25:25" hidden="1" x14ac:dyDescent="0.25">
      <c r="Y2313" s="501"/>
    </row>
    <row r="2314" spans="25:25" hidden="1" x14ac:dyDescent="0.25">
      <c r="Y2314" s="501"/>
    </row>
    <row r="2315" spans="25:25" hidden="1" x14ac:dyDescent="0.25">
      <c r="Y2315" s="501"/>
    </row>
    <row r="2316" spans="25:25" hidden="1" x14ac:dyDescent="0.25">
      <c r="Y2316" s="501"/>
    </row>
    <row r="2317" spans="25:25" hidden="1" x14ac:dyDescent="0.25">
      <c r="Y2317" s="501"/>
    </row>
    <row r="2318" spans="25:25" hidden="1" x14ac:dyDescent="0.25">
      <c r="Y2318" s="501"/>
    </row>
    <row r="2319" spans="25:25" hidden="1" x14ac:dyDescent="0.25">
      <c r="Y2319" s="501"/>
    </row>
    <row r="2320" spans="25:25" hidden="1" x14ac:dyDescent="0.25">
      <c r="Y2320" s="501"/>
    </row>
    <row r="2321" spans="25:25" hidden="1" x14ac:dyDescent="0.25">
      <c r="Y2321" s="501"/>
    </row>
    <row r="2322" spans="25:25" hidden="1" x14ac:dyDescent="0.25">
      <c r="Y2322" s="501"/>
    </row>
    <row r="2323" spans="25:25" hidden="1" x14ac:dyDescent="0.25">
      <c r="Y2323" s="501"/>
    </row>
    <row r="2324" spans="25:25" hidden="1" x14ac:dyDescent="0.25">
      <c r="Y2324" s="501"/>
    </row>
    <row r="2325" spans="25:25" hidden="1" x14ac:dyDescent="0.25">
      <c r="Y2325" s="501"/>
    </row>
    <row r="2326" spans="25:25" hidden="1" x14ac:dyDescent="0.25">
      <c r="Y2326" s="501"/>
    </row>
    <row r="2327" spans="25:25" hidden="1" x14ac:dyDescent="0.25">
      <c r="Y2327" s="501"/>
    </row>
    <row r="2328" spans="25:25" hidden="1" x14ac:dyDescent="0.25">
      <c r="Y2328" s="501"/>
    </row>
    <row r="2329" spans="25:25" hidden="1" x14ac:dyDescent="0.25">
      <c r="Y2329" s="501"/>
    </row>
    <row r="2330" spans="25:25" hidden="1" x14ac:dyDescent="0.25">
      <c r="Y2330" s="501"/>
    </row>
    <row r="2331" spans="25:25" hidden="1" x14ac:dyDescent="0.25">
      <c r="Y2331" s="501"/>
    </row>
    <row r="2332" spans="25:25" hidden="1" x14ac:dyDescent="0.25">
      <c r="Y2332" s="501"/>
    </row>
    <row r="2333" spans="25:25" hidden="1" x14ac:dyDescent="0.25">
      <c r="Y2333" s="501"/>
    </row>
    <row r="2334" spans="25:25" hidden="1" x14ac:dyDescent="0.25">
      <c r="Y2334" s="501"/>
    </row>
    <row r="2335" spans="25:25" hidden="1" x14ac:dyDescent="0.25">
      <c r="Y2335" s="501"/>
    </row>
    <row r="2336" spans="25:25" hidden="1" x14ac:dyDescent="0.25">
      <c r="Y2336" s="501"/>
    </row>
    <row r="2337" spans="25:25" hidden="1" x14ac:dyDescent="0.25">
      <c r="Y2337" s="501"/>
    </row>
    <row r="2338" spans="25:25" hidden="1" x14ac:dyDescent="0.25">
      <c r="Y2338" s="501"/>
    </row>
    <row r="2339" spans="25:25" hidden="1" x14ac:dyDescent="0.25">
      <c r="Y2339" s="501"/>
    </row>
    <row r="2340" spans="25:25" hidden="1" x14ac:dyDescent="0.25">
      <c r="Y2340" s="501"/>
    </row>
    <row r="2341" spans="25:25" hidden="1" x14ac:dyDescent="0.25">
      <c r="Y2341" s="501"/>
    </row>
    <row r="2342" spans="25:25" hidden="1" x14ac:dyDescent="0.25">
      <c r="Y2342" s="501"/>
    </row>
    <row r="2343" spans="25:25" hidden="1" x14ac:dyDescent="0.25">
      <c r="Y2343" s="501"/>
    </row>
    <row r="2344" spans="25:25" hidden="1" x14ac:dyDescent="0.25">
      <c r="Y2344" s="501"/>
    </row>
    <row r="2345" spans="25:25" hidden="1" x14ac:dyDescent="0.25">
      <c r="Y2345" s="501"/>
    </row>
    <row r="2346" spans="25:25" hidden="1" x14ac:dyDescent="0.25">
      <c r="Y2346" s="501"/>
    </row>
    <row r="2347" spans="25:25" hidden="1" x14ac:dyDescent="0.25">
      <c r="Y2347" s="501"/>
    </row>
    <row r="2348" spans="25:25" hidden="1" x14ac:dyDescent="0.25">
      <c r="Y2348" s="501"/>
    </row>
    <row r="2349" spans="25:25" hidden="1" x14ac:dyDescent="0.25">
      <c r="Y2349" s="501"/>
    </row>
    <row r="2350" spans="25:25" hidden="1" x14ac:dyDescent="0.25">
      <c r="Y2350" s="501"/>
    </row>
    <row r="2351" spans="25:25" hidden="1" x14ac:dyDescent="0.25">
      <c r="Y2351" s="501"/>
    </row>
    <row r="2352" spans="25:25" hidden="1" x14ac:dyDescent="0.25">
      <c r="Y2352" s="501"/>
    </row>
    <row r="2353" spans="25:25" hidden="1" x14ac:dyDescent="0.25">
      <c r="Y2353" s="501"/>
    </row>
    <row r="2354" spans="25:25" hidden="1" x14ac:dyDescent="0.25">
      <c r="Y2354" s="501"/>
    </row>
    <row r="2355" spans="25:25" hidden="1" x14ac:dyDescent="0.25">
      <c r="Y2355" s="501"/>
    </row>
    <row r="2356" spans="25:25" hidden="1" x14ac:dyDescent="0.25">
      <c r="Y2356" s="501"/>
    </row>
    <row r="2357" spans="25:25" hidden="1" x14ac:dyDescent="0.25">
      <c r="Y2357" s="501"/>
    </row>
    <row r="2358" spans="25:25" hidden="1" x14ac:dyDescent="0.25">
      <c r="Y2358" s="501"/>
    </row>
    <row r="2359" spans="25:25" hidden="1" x14ac:dyDescent="0.25">
      <c r="Y2359" s="501"/>
    </row>
    <row r="2360" spans="25:25" hidden="1" x14ac:dyDescent="0.25">
      <c r="Y2360" s="501"/>
    </row>
    <row r="2361" spans="25:25" hidden="1" x14ac:dyDescent="0.25">
      <c r="Y2361" s="501"/>
    </row>
    <row r="2362" spans="25:25" hidden="1" x14ac:dyDescent="0.25">
      <c r="Y2362" s="501"/>
    </row>
    <row r="2363" spans="25:25" hidden="1" x14ac:dyDescent="0.25">
      <c r="Y2363" s="501"/>
    </row>
    <row r="2364" spans="25:25" hidden="1" x14ac:dyDescent="0.25">
      <c r="Y2364" s="501"/>
    </row>
    <row r="2365" spans="25:25" hidden="1" x14ac:dyDescent="0.25">
      <c r="Y2365" s="501"/>
    </row>
    <row r="2366" spans="25:25" hidden="1" x14ac:dyDescent="0.25">
      <c r="Y2366" s="501"/>
    </row>
    <row r="2367" spans="25:25" hidden="1" x14ac:dyDescent="0.25">
      <c r="Y2367" s="501"/>
    </row>
    <row r="2368" spans="25:25" hidden="1" x14ac:dyDescent="0.25">
      <c r="Y2368" s="501"/>
    </row>
    <row r="2369" spans="25:25" hidden="1" x14ac:dyDescent="0.25">
      <c r="Y2369" s="501"/>
    </row>
    <row r="2370" spans="25:25" hidden="1" x14ac:dyDescent="0.25">
      <c r="Y2370" s="501"/>
    </row>
    <row r="2371" spans="25:25" hidden="1" x14ac:dyDescent="0.25">
      <c r="Y2371" s="501"/>
    </row>
    <row r="2372" spans="25:25" hidden="1" x14ac:dyDescent="0.25">
      <c r="Y2372" s="501"/>
    </row>
    <row r="2373" spans="25:25" hidden="1" x14ac:dyDescent="0.25">
      <c r="Y2373" s="501"/>
    </row>
    <row r="2374" spans="25:25" hidden="1" x14ac:dyDescent="0.25">
      <c r="Y2374" s="501"/>
    </row>
    <row r="2375" spans="25:25" hidden="1" x14ac:dyDescent="0.25">
      <c r="Y2375" s="501"/>
    </row>
    <row r="2376" spans="25:25" hidden="1" x14ac:dyDescent="0.25">
      <c r="Y2376" s="501"/>
    </row>
    <row r="2377" spans="25:25" hidden="1" x14ac:dyDescent="0.25">
      <c r="Y2377" s="501"/>
    </row>
    <row r="2378" spans="25:25" hidden="1" x14ac:dyDescent="0.25">
      <c r="Y2378" s="501"/>
    </row>
    <row r="2379" spans="25:25" hidden="1" x14ac:dyDescent="0.25">
      <c r="Y2379" s="501"/>
    </row>
    <row r="2380" spans="25:25" hidden="1" x14ac:dyDescent="0.25">
      <c r="Y2380" s="501"/>
    </row>
    <row r="2381" spans="25:25" hidden="1" x14ac:dyDescent="0.25">
      <c r="Y2381" s="501"/>
    </row>
    <row r="2382" spans="25:25" hidden="1" x14ac:dyDescent="0.25">
      <c r="Y2382" s="501"/>
    </row>
    <row r="2383" spans="25:25" hidden="1" x14ac:dyDescent="0.25">
      <c r="Y2383" s="501"/>
    </row>
    <row r="2384" spans="25:25" hidden="1" x14ac:dyDescent="0.25">
      <c r="Y2384" s="501"/>
    </row>
    <row r="2385" spans="25:25" hidden="1" x14ac:dyDescent="0.25">
      <c r="Y2385" s="501"/>
    </row>
    <row r="2386" spans="25:25" hidden="1" x14ac:dyDescent="0.25">
      <c r="Y2386" s="501"/>
    </row>
    <row r="2387" spans="25:25" hidden="1" x14ac:dyDescent="0.25">
      <c r="Y2387" s="501"/>
    </row>
    <row r="2388" spans="25:25" hidden="1" x14ac:dyDescent="0.25">
      <c r="Y2388" s="501"/>
    </row>
    <row r="2389" spans="25:25" hidden="1" x14ac:dyDescent="0.25">
      <c r="Y2389" s="501"/>
    </row>
    <row r="2390" spans="25:25" hidden="1" x14ac:dyDescent="0.25">
      <c r="Y2390" s="501"/>
    </row>
    <row r="2391" spans="25:25" hidden="1" x14ac:dyDescent="0.25">
      <c r="Y2391" s="501"/>
    </row>
    <row r="2392" spans="25:25" hidden="1" x14ac:dyDescent="0.25">
      <c r="Y2392" s="501"/>
    </row>
    <row r="2393" spans="25:25" hidden="1" x14ac:dyDescent="0.25">
      <c r="Y2393" s="501"/>
    </row>
    <row r="2394" spans="25:25" hidden="1" x14ac:dyDescent="0.25">
      <c r="Y2394" s="501"/>
    </row>
    <row r="2395" spans="25:25" hidden="1" x14ac:dyDescent="0.25">
      <c r="Y2395" s="501"/>
    </row>
    <row r="2396" spans="25:25" hidden="1" x14ac:dyDescent="0.25">
      <c r="Y2396" s="501"/>
    </row>
    <row r="2397" spans="25:25" hidden="1" x14ac:dyDescent="0.25">
      <c r="Y2397" s="501"/>
    </row>
    <row r="2398" spans="25:25" hidden="1" x14ac:dyDescent="0.25">
      <c r="Y2398" s="501"/>
    </row>
    <row r="2399" spans="25:25" hidden="1" x14ac:dyDescent="0.25">
      <c r="Y2399" s="501"/>
    </row>
    <row r="2400" spans="25:25" hidden="1" x14ac:dyDescent="0.25">
      <c r="Y2400" s="501"/>
    </row>
    <row r="2401" spans="25:25" hidden="1" x14ac:dyDescent="0.25">
      <c r="Y2401" s="501"/>
    </row>
    <row r="2402" spans="25:25" hidden="1" x14ac:dyDescent="0.25">
      <c r="Y2402" s="501"/>
    </row>
    <row r="2403" spans="25:25" hidden="1" x14ac:dyDescent="0.25">
      <c r="Y2403" s="501"/>
    </row>
    <row r="2404" spans="25:25" hidden="1" x14ac:dyDescent="0.25">
      <c r="Y2404" s="501"/>
    </row>
    <row r="2405" spans="25:25" hidden="1" x14ac:dyDescent="0.25">
      <c r="Y2405" s="501"/>
    </row>
    <row r="2406" spans="25:25" hidden="1" x14ac:dyDescent="0.25">
      <c r="Y2406" s="501"/>
    </row>
    <row r="2407" spans="25:25" hidden="1" x14ac:dyDescent="0.25">
      <c r="Y2407" s="501"/>
    </row>
    <row r="2408" spans="25:25" hidden="1" x14ac:dyDescent="0.25">
      <c r="Y2408" s="501"/>
    </row>
    <row r="2409" spans="25:25" hidden="1" x14ac:dyDescent="0.25">
      <c r="Y2409" s="501"/>
    </row>
    <row r="2410" spans="25:25" hidden="1" x14ac:dyDescent="0.25">
      <c r="Y2410" s="501"/>
    </row>
    <row r="2411" spans="25:25" hidden="1" x14ac:dyDescent="0.25">
      <c r="Y2411" s="501"/>
    </row>
    <row r="2412" spans="25:25" hidden="1" x14ac:dyDescent="0.25">
      <c r="Y2412" s="501"/>
    </row>
    <row r="2413" spans="25:25" hidden="1" x14ac:dyDescent="0.25">
      <c r="Y2413" s="501"/>
    </row>
    <row r="2414" spans="25:25" hidden="1" x14ac:dyDescent="0.25">
      <c r="Y2414" s="501"/>
    </row>
    <row r="2415" spans="25:25" hidden="1" x14ac:dyDescent="0.25">
      <c r="Y2415" s="501"/>
    </row>
    <row r="2416" spans="25:25" hidden="1" x14ac:dyDescent="0.25">
      <c r="Y2416" s="501"/>
    </row>
    <row r="2417" spans="25:25" hidden="1" x14ac:dyDescent="0.25">
      <c r="Y2417" s="501"/>
    </row>
    <row r="2418" spans="25:25" hidden="1" x14ac:dyDescent="0.25">
      <c r="Y2418" s="501"/>
    </row>
    <row r="2419" spans="25:25" hidden="1" x14ac:dyDescent="0.25">
      <c r="Y2419" s="501"/>
    </row>
    <row r="2420" spans="25:25" hidden="1" x14ac:dyDescent="0.25">
      <c r="Y2420" s="501"/>
    </row>
    <row r="2421" spans="25:25" hidden="1" x14ac:dyDescent="0.25">
      <c r="Y2421" s="501"/>
    </row>
    <row r="2422" spans="25:25" hidden="1" x14ac:dyDescent="0.25">
      <c r="Y2422" s="501"/>
    </row>
    <row r="2423" spans="25:25" hidden="1" x14ac:dyDescent="0.25">
      <c r="Y2423" s="501"/>
    </row>
    <row r="2424" spans="25:25" hidden="1" x14ac:dyDescent="0.25">
      <c r="Y2424" s="501"/>
    </row>
    <row r="2425" spans="25:25" hidden="1" x14ac:dyDescent="0.25">
      <c r="Y2425" s="501"/>
    </row>
    <row r="2426" spans="25:25" hidden="1" x14ac:dyDescent="0.25">
      <c r="Y2426" s="501"/>
    </row>
    <row r="2427" spans="25:25" hidden="1" x14ac:dyDescent="0.25">
      <c r="Y2427" s="501"/>
    </row>
    <row r="2428" spans="25:25" hidden="1" x14ac:dyDescent="0.25">
      <c r="Y2428" s="501"/>
    </row>
    <row r="2429" spans="25:25" hidden="1" x14ac:dyDescent="0.25">
      <c r="Y2429" s="501"/>
    </row>
    <row r="2430" spans="25:25" hidden="1" x14ac:dyDescent="0.25">
      <c r="Y2430" s="501"/>
    </row>
    <row r="2431" spans="25:25" hidden="1" x14ac:dyDescent="0.25">
      <c r="Y2431" s="501"/>
    </row>
    <row r="2432" spans="25:25" hidden="1" x14ac:dyDescent="0.25">
      <c r="Y2432" s="501"/>
    </row>
    <row r="2433" spans="25:25" hidden="1" x14ac:dyDescent="0.25">
      <c r="Y2433" s="501"/>
    </row>
    <row r="2434" spans="25:25" hidden="1" x14ac:dyDescent="0.25">
      <c r="Y2434" s="501"/>
    </row>
    <row r="2435" spans="25:25" hidden="1" x14ac:dyDescent="0.25">
      <c r="Y2435" s="501"/>
    </row>
    <row r="2436" spans="25:25" hidden="1" x14ac:dyDescent="0.25">
      <c r="Y2436" s="501"/>
    </row>
    <row r="2437" spans="25:25" hidden="1" x14ac:dyDescent="0.25">
      <c r="Y2437" s="501"/>
    </row>
    <row r="2438" spans="25:25" hidden="1" x14ac:dyDescent="0.25">
      <c r="Y2438" s="501"/>
    </row>
    <row r="2439" spans="25:25" hidden="1" x14ac:dyDescent="0.25">
      <c r="Y2439" s="501"/>
    </row>
    <row r="2440" spans="25:25" hidden="1" x14ac:dyDescent="0.25">
      <c r="Y2440" s="501"/>
    </row>
    <row r="2441" spans="25:25" hidden="1" x14ac:dyDescent="0.25">
      <c r="Y2441" s="501"/>
    </row>
    <row r="2442" spans="25:25" hidden="1" x14ac:dyDescent="0.25">
      <c r="Y2442" s="501"/>
    </row>
    <row r="2443" spans="25:25" hidden="1" x14ac:dyDescent="0.25">
      <c r="Y2443" s="501"/>
    </row>
    <row r="2444" spans="25:25" hidden="1" x14ac:dyDescent="0.25">
      <c r="Y2444" s="501"/>
    </row>
    <row r="2445" spans="25:25" hidden="1" x14ac:dyDescent="0.25">
      <c r="Y2445" s="501"/>
    </row>
    <row r="2446" spans="25:25" hidden="1" x14ac:dyDescent="0.25">
      <c r="Y2446" s="501"/>
    </row>
    <row r="2447" spans="25:25" hidden="1" x14ac:dyDescent="0.25">
      <c r="Y2447" s="501"/>
    </row>
    <row r="2448" spans="25:25" hidden="1" x14ac:dyDescent="0.25">
      <c r="Y2448" s="501"/>
    </row>
    <row r="2449" spans="25:25" hidden="1" x14ac:dyDescent="0.25">
      <c r="Y2449" s="501"/>
    </row>
    <row r="2450" spans="25:25" hidden="1" x14ac:dyDescent="0.25">
      <c r="Y2450" s="501"/>
    </row>
    <row r="2451" spans="25:25" hidden="1" x14ac:dyDescent="0.25">
      <c r="Y2451" s="501"/>
    </row>
    <row r="2452" spans="25:25" hidden="1" x14ac:dyDescent="0.25">
      <c r="Y2452" s="501"/>
    </row>
    <row r="2453" spans="25:25" hidden="1" x14ac:dyDescent="0.25">
      <c r="Y2453" s="501"/>
    </row>
    <row r="2454" spans="25:25" hidden="1" x14ac:dyDescent="0.25">
      <c r="Y2454" s="501"/>
    </row>
    <row r="2455" spans="25:25" hidden="1" x14ac:dyDescent="0.25">
      <c r="Y2455" s="501"/>
    </row>
    <row r="2456" spans="25:25" hidden="1" x14ac:dyDescent="0.25">
      <c r="Y2456" s="501"/>
    </row>
    <row r="2457" spans="25:25" hidden="1" x14ac:dyDescent="0.25">
      <c r="Y2457" s="501"/>
    </row>
    <row r="2458" spans="25:25" hidden="1" x14ac:dyDescent="0.25">
      <c r="Y2458" s="501"/>
    </row>
    <row r="2459" spans="25:25" hidden="1" x14ac:dyDescent="0.25">
      <c r="Y2459" s="501"/>
    </row>
    <row r="2460" spans="25:25" hidden="1" x14ac:dyDescent="0.25">
      <c r="Y2460" s="501"/>
    </row>
    <row r="2461" spans="25:25" hidden="1" x14ac:dyDescent="0.25">
      <c r="Y2461" s="501"/>
    </row>
    <row r="2462" spans="25:25" hidden="1" x14ac:dyDescent="0.25">
      <c r="Y2462" s="501"/>
    </row>
    <row r="2463" spans="25:25" hidden="1" x14ac:dyDescent="0.25">
      <c r="Y2463" s="501"/>
    </row>
    <row r="2464" spans="25:25" hidden="1" x14ac:dyDescent="0.25">
      <c r="Y2464" s="501"/>
    </row>
    <row r="2465" spans="25:25" hidden="1" x14ac:dyDescent="0.25">
      <c r="Y2465" s="501"/>
    </row>
    <row r="2466" spans="25:25" hidden="1" x14ac:dyDescent="0.25">
      <c r="Y2466" s="501"/>
    </row>
    <row r="2467" spans="25:25" hidden="1" x14ac:dyDescent="0.25">
      <c r="Y2467" s="501"/>
    </row>
    <row r="2468" spans="25:25" hidden="1" x14ac:dyDescent="0.25">
      <c r="Y2468" s="501"/>
    </row>
    <row r="2469" spans="25:25" hidden="1" x14ac:dyDescent="0.25">
      <c r="Y2469" s="501"/>
    </row>
    <row r="2470" spans="25:25" hidden="1" x14ac:dyDescent="0.25">
      <c r="Y2470" s="501"/>
    </row>
    <row r="2471" spans="25:25" hidden="1" x14ac:dyDescent="0.25">
      <c r="Y2471" s="501"/>
    </row>
    <row r="2472" spans="25:25" hidden="1" x14ac:dyDescent="0.25">
      <c r="Y2472" s="501"/>
    </row>
    <row r="2473" spans="25:25" hidden="1" x14ac:dyDescent="0.25">
      <c r="Y2473" s="501"/>
    </row>
    <row r="2474" spans="25:25" hidden="1" x14ac:dyDescent="0.25">
      <c r="Y2474" s="501"/>
    </row>
    <row r="2475" spans="25:25" hidden="1" x14ac:dyDescent="0.25">
      <c r="Y2475" s="501"/>
    </row>
    <row r="2476" spans="25:25" hidden="1" x14ac:dyDescent="0.25">
      <c r="Y2476" s="501"/>
    </row>
    <row r="2477" spans="25:25" hidden="1" x14ac:dyDescent="0.25">
      <c r="Y2477" s="501"/>
    </row>
    <row r="2478" spans="25:25" hidden="1" x14ac:dyDescent="0.25">
      <c r="Y2478" s="501"/>
    </row>
    <row r="2479" spans="25:25" hidden="1" x14ac:dyDescent="0.25">
      <c r="Y2479" s="501"/>
    </row>
    <row r="2480" spans="25:25" hidden="1" x14ac:dyDescent="0.25">
      <c r="Y2480" s="501"/>
    </row>
    <row r="2481" spans="25:25" hidden="1" x14ac:dyDescent="0.25">
      <c r="Y2481" s="501"/>
    </row>
    <row r="2482" spans="25:25" hidden="1" x14ac:dyDescent="0.25">
      <c r="Y2482" s="501"/>
    </row>
    <row r="2483" spans="25:25" hidden="1" x14ac:dyDescent="0.25">
      <c r="Y2483" s="501"/>
    </row>
    <row r="2484" spans="25:25" hidden="1" x14ac:dyDescent="0.25">
      <c r="Y2484" s="501"/>
    </row>
    <row r="2485" spans="25:25" hidden="1" x14ac:dyDescent="0.25">
      <c r="Y2485" s="501"/>
    </row>
    <row r="2486" spans="25:25" hidden="1" x14ac:dyDescent="0.25">
      <c r="Y2486" s="501"/>
    </row>
    <row r="2487" spans="25:25" hidden="1" x14ac:dyDescent="0.25">
      <c r="Y2487" s="501"/>
    </row>
    <row r="2488" spans="25:25" hidden="1" x14ac:dyDescent="0.25">
      <c r="Y2488" s="501"/>
    </row>
    <row r="2489" spans="25:25" hidden="1" x14ac:dyDescent="0.25">
      <c r="Y2489" s="501"/>
    </row>
    <row r="2490" spans="25:25" hidden="1" x14ac:dyDescent="0.25">
      <c r="Y2490" s="501"/>
    </row>
    <row r="2491" spans="25:25" hidden="1" x14ac:dyDescent="0.25">
      <c r="Y2491" s="501"/>
    </row>
    <row r="2492" spans="25:25" hidden="1" x14ac:dyDescent="0.25">
      <c r="Y2492" s="501"/>
    </row>
    <row r="2493" spans="25:25" hidden="1" x14ac:dyDescent="0.25">
      <c r="Y2493" s="501"/>
    </row>
    <row r="2494" spans="25:25" hidden="1" x14ac:dyDescent="0.25">
      <c r="Y2494" s="501"/>
    </row>
    <row r="2495" spans="25:25" hidden="1" x14ac:dyDescent="0.25">
      <c r="Y2495" s="501"/>
    </row>
    <row r="2496" spans="25:25" hidden="1" x14ac:dyDescent="0.25">
      <c r="Y2496" s="501"/>
    </row>
    <row r="2497" spans="25:25" hidden="1" x14ac:dyDescent="0.25">
      <c r="Y2497" s="501"/>
    </row>
    <row r="2498" spans="25:25" hidden="1" x14ac:dyDescent="0.25">
      <c r="Y2498" s="501"/>
    </row>
    <row r="2499" spans="25:25" hidden="1" x14ac:dyDescent="0.25">
      <c r="Y2499" s="501"/>
    </row>
    <row r="2500" spans="25:25" hidden="1" x14ac:dyDescent="0.25">
      <c r="Y2500" s="501"/>
    </row>
    <row r="2501" spans="25:25" hidden="1" x14ac:dyDescent="0.25">
      <c r="Y2501" s="501"/>
    </row>
    <row r="2502" spans="25:25" hidden="1" x14ac:dyDescent="0.25">
      <c r="Y2502" s="501"/>
    </row>
    <row r="2503" spans="25:25" hidden="1" x14ac:dyDescent="0.25">
      <c r="Y2503" s="501"/>
    </row>
    <row r="2504" spans="25:25" hidden="1" x14ac:dyDescent="0.25">
      <c r="Y2504" s="501"/>
    </row>
    <row r="2505" spans="25:25" hidden="1" x14ac:dyDescent="0.25">
      <c r="Y2505" s="501"/>
    </row>
    <row r="2506" spans="25:25" hidden="1" x14ac:dyDescent="0.25">
      <c r="Y2506" s="501"/>
    </row>
    <row r="2507" spans="25:25" hidden="1" x14ac:dyDescent="0.25">
      <c r="Y2507" s="501"/>
    </row>
    <row r="2508" spans="25:25" hidden="1" x14ac:dyDescent="0.25">
      <c r="Y2508" s="501"/>
    </row>
    <row r="2509" spans="25:25" hidden="1" x14ac:dyDescent="0.25">
      <c r="Y2509" s="501"/>
    </row>
    <row r="2510" spans="25:25" hidden="1" x14ac:dyDescent="0.25">
      <c r="Y2510" s="501"/>
    </row>
    <row r="2511" spans="25:25" hidden="1" x14ac:dyDescent="0.25">
      <c r="Y2511" s="501"/>
    </row>
    <row r="2512" spans="25:25" hidden="1" x14ac:dyDescent="0.25">
      <c r="Y2512" s="501"/>
    </row>
    <row r="2513" spans="25:25" hidden="1" x14ac:dyDescent="0.25">
      <c r="Y2513" s="501"/>
    </row>
    <row r="2514" spans="25:25" hidden="1" x14ac:dyDescent="0.25">
      <c r="Y2514" s="501"/>
    </row>
    <row r="2515" spans="25:25" hidden="1" x14ac:dyDescent="0.25">
      <c r="Y2515" s="501"/>
    </row>
    <row r="2516" spans="25:25" hidden="1" x14ac:dyDescent="0.25">
      <c r="Y2516" s="501"/>
    </row>
    <row r="2517" spans="25:25" hidden="1" x14ac:dyDescent="0.25">
      <c r="Y2517" s="501"/>
    </row>
    <row r="2518" spans="25:25" hidden="1" x14ac:dyDescent="0.25">
      <c r="Y2518" s="501"/>
    </row>
    <row r="2519" spans="25:25" hidden="1" x14ac:dyDescent="0.25">
      <c r="Y2519" s="501"/>
    </row>
    <row r="2520" spans="25:25" hidden="1" x14ac:dyDescent="0.25">
      <c r="Y2520" s="501"/>
    </row>
    <row r="2521" spans="25:25" hidden="1" x14ac:dyDescent="0.25">
      <c r="Y2521" s="501"/>
    </row>
    <row r="2522" spans="25:25" hidden="1" x14ac:dyDescent="0.25">
      <c r="Y2522" s="501"/>
    </row>
    <row r="2523" spans="25:25" hidden="1" x14ac:dyDescent="0.25">
      <c r="Y2523" s="501"/>
    </row>
    <row r="2524" spans="25:25" hidden="1" x14ac:dyDescent="0.25">
      <c r="Y2524" s="501"/>
    </row>
    <row r="2525" spans="25:25" hidden="1" x14ac:dyDescent="0.25">
      <c r="Y2525" s="501"/>
    </row>
    <row r="2526" spans="25:25" hidden="1" x14ac:dyDescent="0.25">
      <c r="Y2526" s="501"/>
    </row>
    <row r="2527" spans="25:25" hidden="1" x14ac:dyDescent="0.25">
      <c r="Y2527" s="501"/>
    </row>
    <row r="2528" spans="25:25" hidden="1" x14ac:dyDescent="0.25">
      <c r="Y2528" s="501"/>
    </row>
    <row r="2529" spans="25:25" hidden="1" x14ac:dyDescent="0.25">
      <c r="Y2529" s="501"/>
    </row>
    <row r="2530" spans="25:25" hidden="1" x14ac:dyDescent="0.25">
      <c r="Y2530" s="501"/>
    </row>
    <row r="2531" spans="25:25" hidden="1" x14ac:dyDescent="0.25">
      <c r="Y2531" s="501"/>
    </row>
    <row r="2532" spans="25:25" hidden="1" x14ac:dyDescent="0.25">
      <c r="Y2532" s="501"/>
    </row>
    <row r="2533" spans="25:25" hidden="1" x14ac:dyDescent="0.25">
      <c r="Y2533" s="501"/>
    </row>
    <row r="2534" spans="25:25" hidden="1" x14ac:dyDescent="0.25">
      <c r="Y2534" s="501"/>
    </row>
    <row r="2535" spans="25:25" hidden="1" x14ac:dyDescent="0.25">
      <c r="Y2535" s="501"/>
    </row>
    <row r="2536" spans="25:25" hidden="1" x14ac:dyDescent="0.25">
      <c r="Y2536" s="501"/>
    </row>
    <row r="2537" spans="25:25" hidden="1" x14ac:dyDescent="0.25">
      <c r="Y2537" s="501"/>
    </row>
    <row r="2538" spans="25:25" hidden="1" x14ac:dyDescent="0.25">
      <c r="Y2538" s="501"/>
    </row>
    <row r="2539" spans="25:25" hidden="1" x14ac:dyDescent="0.25">
      <c r="Y2539" s="501"/>
    </row>
    <row r="2540" spans="25:25" hidden="1" x14ac:dyDescent="0.25">
      <c r="Y2540" s="501"/>
    </row>
    <row r="2541" spans="25:25" hidden="1" x14ac:dyDescent="0.25">
      <c r="Y2541" s="501"/>
    </row>
    <row r="2542" spans="25:25" hidden="1" x14ac:dyDescent="0.25">
      <c r="Y2542" s="501"/>
    </row>
    <row r="2543" spans="25:25" hidden="1" x14ac:dyDescent="0.25">
      <c r="Y2543" s="501"/>
    </row>
    <row r="2544" spans="25:25" hidden="1" x14ac:dyDescent="0.25">
      <c r="Y2544" s="501"/>
    </row>
    <row r="2545" spans="25:25" hidden="1" x14ac:dyDescent="0.25">
      <c r="Y2545" s="501"/>
    </row>
    <row r="2546" spans="25:25" hidden="1" x14ac:dyDescent="0.25">
      <c r="Y2546" s="501"/>
    </row>
    <row r="2547" spans="25:25" hidden="1" x14ac:dyDescent="0.25">
      <c r="Y2547" s="501"/>
    </row>
    <row r="2548" spans="25:25" hidden="1" x14ac:dyDescent="0.25">
      <c r="Y2548" s="501"/>
    </row>
    <row r="2549" spans="25:25" hidden="1" x14ac:dyDescent="0.25">
      <c r="Y2549" s="501"/>
    </row>
    <row r="2550" spans="25:25" hidden="1" x14ac:dyDescent="0.25">
      <c r="Y2550" s="501"/>
    </row>
    <row r="2551" spans="25:25" hidden="1" x14ac:dyDescent="0.25">
      <c r="Y2551" s="501"/>
    </row>
    <row r="2552" spans="25:25" hidden="1" x14ac:dyDescent="0.25">
      <c r="Y2552" s="501"/>
    </row>
    <row r="2553" spans="25:25" hidden="1" x14ac:dyDescent="0.25">
      <c r="Y2553" s="501"/>
    </row>
    <row r="2554" spans="25:25" hidden="1" x14ac:dyDescent="0.25">
      <c r="Y2554" s="501"/>
    </row>
    <row r="2555" spans="25:25" hidden="1" x14ac:dyDescent="0.25">
      <c r="Y2555" s="501"/>
    </row>
    <row r="2556" spans="25:25" hidden="1" x14ac:dyDescent="0.25">
      <c r="Y2556" s="501"/>
    </row>
    <row r="2557" spans="25:25" hidden="1" x14ac:dyDescent="0.25">
      <c r="Y2557" s="501"/>
    </row>
    <row r="2558" spans="25:25" hidden="1" x14ac:dyDescent="0.25">
      <c r="Y2558" s="501"/>
    </row>
    <row r="2559" spans="25:25" hidden="1" x14ac:dyDescent="0.25">
      <c r="Y2559" s="501"/>
    </row>
    <row r="2560" spans="25:25" hidden="1" x14ac:dyDescent="0.25">
      <c r="Y2560" s="501"/>
    </row>
    <row r="2561" spans="25:25" hidden="1" x14ac:dyDescent="0.25">
      <c r="Y2561" s="501"/>
    </row>
    <row r="2562" spans="25:25" hidden="1" x14ac:dyDescent="0.25">
      <c r="Y2562" s="501"/>
    </row>
    <row r="2563" spans="25:25" hidden="1" x14ac:dyDescent="0.25">
      <c r="Y2563" s="501"/>
    </row>
    <row r="2564" spans="25:25" hidden="1" x14ac:dyDescent="0.25">
      <c r="Y2564" s="501"/>
    </row>
    <row r="2565" spans="25:25" hidden="1" x14ac:dyDescent="0.25">
      <c r="Y2565" s="501"/>
    </row>
    <row r="2566" spans="25:25" hidden="1" x14ac:dyDescent="0.25">
      <c r="Y2566" s="501"/>
    </row>
    <row r="2567" spans="25:25" hidden="1" x14ac:dyDescent="0.25">
      <c r="Y2567" s="501"/>
    </row>
    <row r="2568" spans="25:25" hidden="1" x14ac:dyDescent="0.25">
      <c r="Y2568" s="501"/>
    </row>
    <row r="2569" spans="25:25" hidden="1" x14ac:dyDescent="0.25">
      <c r="Y2569" s="501"/>
    </row>
    <row r="2570" spans="25:25" hidden="1" x14ac:dyDescent="0.25">
      <c r="Y2570" s="501"/>
    </row>
    <row r="2571" spans="25:25" hidden="1" x14ac:dyDescent="0.25">
      <c r="Y2571" s="501"/>
    </row>
    <row r="2572" spans="25:25" hidden="1" x14ac:dyDescent="0.25">
      <c r="Y2572" s="501"/>
    </row>
    <row r="2573" spans="25:25" hidden="1" x14ac:dyDescent="0.25">
      <c r="Y2573" s="501"/>
    </row>
    <row r="2574" spans="25:25" hidden="1" x14ac:dyDescent="0.25">
      <c r="Y2574" s="501"/>
    </row>
    <row r="2575" spans="25:25" hidden="1" x14ac:dyDescent="0.25">
      <c r="Y2575" s="501"/>
    </row>
    <row r="2576" spans="25:25" hidden="1" x14ac:dyDescent="0.25">
      <c r="Y2576" s="501"/>
    </row>
    <row r="2577" spans="25:25" hidden="1" x14ac:dyDescent="0.25">
      <c r="Y2577" s="501"/>
    </row>
    <row r="2578" spans="25:25" hidden="1" x14ac:dyDescent="0.25">
      <c r="Y2578" s="501"/>
    </row>
    <row r="2579" spans="25:25" hidden="1" x14ac:dyDescent="0.25">
      <c r="Y2579" s="501"/>
    </row>
    <row r="2580" spans="25:25" hidden="1" x14ac:dyDescent="0.25">
      <c r="Y2580" s="501"/>
    </row>
    <row r="2581" spans="25:25" hidden="1" x14ac:dyDescent="0.25">
      <c r="Y2581" s="501"/>
    </row>
    <row r="2582" spans="25:25" hidden="1" x14ac:dyDescent="0.25">
      <c r="Y2582" s="501"/>
    </row>
    <row r="2583" spans="25:25" hidden="1" x14ac:dyDescent="0.25">
      <c r="Y2583" s="501"/>
    </row>
    <row r="2584" spans="25:25" hidden="1" x14ac:dyDescent="0.25">
      <c r="Y2584" s="501"/>
    </row>
    <row r="2585" spans="25:25" hidden="1" x14ac:dyDescent="0.25">
      <c r="Y2585" s="501"/>
    </row>
    <row r="2586" spans="25:25" hidden="1" x14ac:dyDescent="0.25">
      <c r="Y2586" s="501"/>
    </row>
    <row r="2587" spans="25:25" hidden="1" x14ac:dyDescent="0.25">
      <c r="Y2587" s="501"/>
    </row>
    <row r="2588" spans="25:25" hidden="1" x14ac:dyDescent="0.25">
      <c r="Y2588" s="501"/>
    </row>
    <row r="2589" spans="25:25" hidden="1" x14ac:dyDescent="0.25">
      <c r="Y2589" s="501"/>
    </row>
    <row r="2590" spans="25:25" hidden="1" x14ac:dyDescent="0.25">
      <c r="Y2590" s="501"/>
    </row>
    <row r="2591" spans="25:25" hidden="1" x14ac:dyDescent="0.25">
      <c r="Y2591" s="501"/>
    </row>
    <row r="2592" spans="25:25" hidden="1" x14ac:dyDescent="0.25">
      <c r="Y2592" s="501"/>
    </row>
    <row r="2593" spans="25:25" hidden="1" x14ac:dyDescent="0.25">
      <c r="Y2593" s="501"/>
    </row>
    <row r="2594" spans="25:25" hidden="1" x14ac:dyDescent="0.25">
      <c r="Y2594" s="501"/>
    </row>
    <row r="2595" spans="25:25" hidden="1" x14ac:dyDescent="0.25">
      <c r="Y2595" s="501"/>
    </row>
    <row r="2596" spans="25:25" hidden="1" x14ac:dyDescent="0.25">
      <c r="Y2596" s="501"/>
    </row>
    <row r="2597" spans="25:25" hidden="1" x14ac:dyDescent="0.25">
      <c r="Y2597" s="501"/>
    </row>
    <row r="2598" spans="25:25" hidden="1" x14ac:dyDescent="0.25">
      <c r="Y2598" s="501"/>
    </row>
    <row r="2599" spans="25:25" hidden="1" x14ac:dyDescent="0.25">
      <c r="Y2599" s="501"/>
    </row>
    <row r="2600" spans="25:25" hidden="1" x14ac:dyDescent="0.25">
      <c r="Y2600" s="501"/>
    </row>
    <row r="2601" spans="25:25" hidden="1" x14ac:dyDescent="0.25">
      <c r="Y2601" s="501"/>
    </row>
    <row r="2602" spans="25:25" hidden="1" x14ac:dyDescent="0.25">
      <c r="Y2602" s="501"/>
    </row>
    <row r="2603" spans="25:25" hidden="1" x14ac:dyDescent="0.25">
      <c r="Y2603" s="501"/>
    </row>
    <row r="2604" spans="25:25" hidden="1" x14ac:dyDescent="0.25">
      <c r="Y2604" s="501"/>
    </row>
    <row r="2605" spans="25:25" hidden="1" x14ac:dyDescent="0.25">
      <c r="Y2605" s="501"/>
    </row>
    <row r="2606" spans="25:25" hidden="1" x14ac:dyDescent="0.25">
      <c r="Y2606" s="501"/>
    </row>
    <row r="2607" spans="25:25" hidden="1" x14ac:dyDescent="0.25">
      <c r="Y2607" s="501"/>
    </row>
    <row r="2608" spans="25:25" hidden="1" x14ac:dyDescent="0.25">
      <c r="Y2608" s="501"/>
    </row>
    <row r="2609" spans="25:25" hidden="1" x14ac:dyDescent="0.25">
      <c r="Y2609" s="501"/>
    </row>
    <row r="2610" spans="25:25" hidden="1" x14ac:dyDescent="0.25">
      <c r="Y2610" s="501"/>
    </row>
    <row r="2611" spans="25:25" hidden="1" x14ac:dyDescent="0.25">
      <c r="Y2611" s="501"/>
    </row>
    <row r="2612" spans="25:25" hidden="1" x14ac:dyDescent="0.25">
      <c r="Y2612" s="501"/>
    </row>
    <row r="2613" spans="25:25" hidden="1" x14ac:dyDescent="0.25">
      <c r="Y2613" s="501"/>
    </row>
    <row r="2614" spans="25:25" hidden="1" x14ac:dyDescent="0.25">
      <c r="Y2614" s="501"/>
    </row>
    <row r="2615" spans="25:25" hidden="1" x14ac:dyDescent="0.25">
      <c r="Y2615" s="501"/>
    </row>
    <row r="2616" spans="25:25" hidden="1" x14ac:dyDescent="0.25">
      <c r="Y2616" s="501"/>
    </row>
    <row r="2617" spans="25:25" hidden="1" x14ac:dyDescent="0.25">
      <c r="Y2617" s="501"/>
    </row>
    <row r="2618" spans="25:25" hidden="1" x14ac:dyDescent="0.25">
      <c r="Y2618" s="501"/>
    </row>
    <row r="2619" spans="25:25" hidden="1" x14ac:dyDescent="0.25">
      <c r="Y2619" s="501"/>
    </row>
    <row r="2620" spans="25:25" hidden="1" x14ac:dyDescent="0.25">
      <c r="Y2620" s="501"/>
    </row>
    <row r="2621" spans="25:25" hidden="1" x14ac:dyDescent="0.25">
      <c r="Y2621" s="501"/>
    </row>
    <row r="2622" spans="25:25" hidden="1" x14ac:dyDescent="0.25">
      <c r="Y2622" s="501"/>
    </row>
    <row r="2623" spans="25:25" hidden="1" x14ac:dyDescent="0.25">
      <c r="Y2623" s="501"/>
    </row>
    <row r="2624" spans="25:25" hidden="1" x14ac:dyDescent="0.25">
      <c r="Y2624" s="501"/>
    </row>
    <row r="2625" spans="25:25" hidden="1" x14ac:dyDescent="0.25">
      <c r="Y2625" s="501"/>
    </row>
    <row r="2626" spans="25:25" hidden="1" x14ac:dyDescent="0.25">
      <c r="Y2626" s="501"/>
    </row>
    <row r="2627" spans="25:25" hidden="1" x14ac:dyDescent="0.25">
      <c r="Y2627" s="501"/>
    </row>
    <row r="2628" spans="25:25" hidden="1" x14ac:dyDescent="0.25">
      <c r="Y2628" s="501"/>
    </row>
    <row r="2629" spans="25:25" hidden="1" x14ac:dyDescent="0.25">
      <c r="Y2629" s="501"/>
    </row>
    <row r="2630" spans="25:25" hidden="1" x14ac:dyDescent="0.25">
      <c r="Y2630" s="501"/>
    </row>
    <row r="2631" spans="25:25" hidden="1" x14ac:dyDescent="0.25">
      <c r="Y2631" s="501"/>
    </row>
    <row r="2632" spans="25:25" hidden="1" x14ac:dyDescent="0.25">
      <c r="Y2632" s="501"/>
    </row>
    <row r="2633" spans="25:25" hidden="1" x14ac:dyDescent="0.25">
      <c r="Y2633" s="501"/>
    </row>
    <row r="2634" spans="25:25" hidden="1" x14ac:dyDescent="0.25">
      <c r="Y2634" s="501"/>
    </row>
    <row r="2635" spans="25:25" hidden="1" x14ac:dyDescent="0.25">
      <c r="Y2635" s="501"/>
    </row>
    <row r="2636" spans="25:25" hidden="1" x14ac:dyDescent="0.25">
      <c r="Y2636" s="501"/>
    </row>
    <row r="2637" spans="25:25" hidden="1" x14ac:dyDescent="0.25">
      <c r="Y2637" s="501"/>
    </row>
    <row r="2638" spans="25:25" hidden="1" x14ac:dyDescent="0.25">
      <c r="Y2638" s="501"/>
    </row>
    <row r="2639" spans="25:25" hidden="1" x14ac:dyDescent="0.25">
      <c r="Y2639" s="501"/>
    </row>
    <row r="2640" spans="25:25" hidden="1" x14ac:dyDescent="0.25">
      <c r="Y2640" s="501"/>
    </row>
    <row r="2641" spans="25:25" hidden="1" x14ac:dyDescent="0.25">
      <c r="Y2641" s="501"/>
    </row>
    <row r="2642" spans="25:25" hidden="1" x14ac:dyDescent="0.25">
      <c r="Y2642" s="501"/>
    </row>
    <row r="2643" spans="25:25" hidden="1" x14ac:dyDescent="0.25">
      <c r="Y2643" s="501"/>
    </row>
    <row r="2644" spans="25:25" hidden="1" x14ac:dyDescent="0.25">
      <c r="Y2644" s="501"/>
    </row>
    <row r="2645" spans="25:25" hidden="1" x14ac:dyDescent="0.25">
      <c r="Y2645" s="501"/>
    </row>
    <row r="2646" spans="25:25" hidden="1" x14ac:dyDescent="0.25">
      <c r="Y2646" s="501"/>
    </row>
    <row r="2647" spans="25:25" hidden="1" x14ac:dyDescent="0.25">
      <c r="Y2647" s="501"/>
    </row>
    <row r="2648" spans="25:25" hidden="1" x14ac:dyDescent="0.25">
      <c r="Y2648" s="501"/>
    </row>
    <row r="2649" spans="25:25" hidden="1" x14ac:dyDescent="0.25">
      <c r="Y2649" s="501"/>
    </row>
    <row r="2650" spans="25:25" hidden="1" x14ac:dyDescent="0.25">
      <c r="Y2650" s="501"/>
    </row>
    <row r="2651" spans="25:25" hidden="1" x14ac:dyDescent="0.25">
      <c r="Y2651" s="501"/>
    </row>
    <row r="2652" spans="25:25" hidden="1" x14ac:dyDescent="0.25">
      <c r="Y2652" s="501"/>
    </row>
    <row r="2653" spans="25:25" hidden="1" x14ac:dyDescent="0.25">
      <c r="Y2653" s="501"/>
    </row>
    <row r="2654" spans="25:25" hidden="1" x14ac:dyDescent="0.25">
      <c r="Y2654" s="501"/>
    </row>
    <row r="2655" spans="25:25" hidden="1" x14ac:dyDescent="0.25">
      <c r="Y2655" s="501"/>
    </row>
    <row r="2656" spans="25:25" hidden="1" x14ac:dyDescent="0.25">
      <c r="Y2656" s="501"/>
    </row>
    <row r="2657" spans="25:25" hidden="1" x14ac:dyDescent="0.25">
      <c r="Y2657" s="501"/>
    </row>
    <row r="2658" spans="25:25" hidden="1" x14ac:dyDescent="0.25">
      <c r="Y2658" s="501"/>
    </row>
    <row r="2659" spans="25:25" hidden="1" x14ac:dyDescent="0.25">
      <c r="Y2659" s="501"/>
    </row>
    <row r="2660" spans="25:25" hidden="1" x14ac:dyDescent="0.25">
      <c r="Y2660" s="501"/>
    </row>
    <row r="2661" spans="25:25" hidden="1" x14ac:dyDescent="0.25">
      <c r="Y2661" s="501"/>
    </row>
    <row r="2662" spans="25:25" hidden="1" x14ac:dyDescent="0.25">
      <c r="Y2662" s="501"/>
    </row>
    <row r="2663" spans="25:25" hidden="1" x14ac:dyDescent="0.25">
      <c r="Y2663" s="501"/>
    </row>
    <row r="2664" spans="25:25" hidden="1" x14ac:dyDescent="0.25">
      <c r="Y2664" s="501"/>
    </row>
    <row r="2665" spans="25:25" hidden="1" x14ac:dyDescent="0.25">
      <c r="Y2665" s="501"/>
    </row>
    <row r="2666" spans="25:25" hidden="1" x14ac:dyDescent="0.25">
      <c r="Y2666" s="501"/>
    </row>
    <row r="2667" spans="25:25" hidden="1" x14ac:dyDescent="0.25">
      <c r="Y2667" s="501"/>
    </row>
    <row r="2668" spans="25:25" hidden="1" x14ac:dyDescent="0.25">
      <c r="Y2668" s="501"/>
    </row>
    <row r="2669" spans="25:25" hidden="1" x14ac:dyDescent="0.25">
      <c r="Y2669" s="501"/>
    </row>
    <row r="2670" spans="25:25" hidden="1" x14ac:dyDescent="0.25">
      <c r="Y2670" s="501"/>
    </row>
    <row r="2671" spans="25:25" hidden="1" x14ac:dyDescent="0.25">
      <c r="Y2671" s="501"/>
    </row>
    <row r="2672" spans="25:25" hidden="1" x14ac:dyDescent="0.25">
      <c r="Y2672" s="501"/>
    </row>
    <row r="2673" spans="25:25" hidden="1" x14ac:dyDescent="0.25">
      <c r="Y2673" s="501"/>
    </row>
    <row r="2674" spans="25:25" hidden="1" x14ac:dyDescent="0.25">
      <c r="Y2674" s="501"/>
    </row>
    <row r="2675" spans="25:25" hidden="1" x14ac:dyDescent="0.25">
      <c r="Y2675" s="501"/>
    </row>
    <row r="2676" spans="25:25" hidden="1" x14ac:dyDescent="0.25">
      <c r="Y2676" s="501"/>
    </row>
    <row r="2677" spans="25:25" hidden="1" x14ac:dyDescent="0.25">
      <c r="Y2677" s="501"/>
    </row>
    <row r="2678" spans="25:25" hidden="1" x14ac:dyDescent="0.25">
      <c r="Y2678" s="501"/>
    </row>
    <row r="2679" spans="25:25" hidden="1" x14ac:dyDescent="0.25">
      <c r="Y2679" s="501"/>
    </row>
    <row r="2680" spans="25:25" hidden="1" x14ac:dyDescent="0.25">
      <c r="Y2680" s="501"/>
    </row>
    <row r="2681" spans="25:25" hidden="1" x14ac:dyDescent="0.25">
      <c r="Y2681" s="501"/>
    </row>
    <row r="2682" spans="25:25" hidden="1" x14ac:dyDescent="0.25">
      <c r="Y2682" s="501"/>
    </row>
    <row r="2683" spans="25:25" hidden="1" x14ac:dyDescent="0.25">
      <c r="Y2683" s="501"/>
    </row>
    <row r="2684" spans="25:25" hidden="1" x14ac:dyDescent="0.25">
      <c r="Y2684" s="501"/>
    </row>
    <row r="2685" spans="25:25" hidden="1" x14ac:dyDescent="0.25">
      <c r="Y2685" s="501"/>
    </row>
    <row r="2686" spans="25:25" hidden="1" x14ac:dyDescent="0.25">
      <c r="Y2686" s="501"/>
    </row>
    <row r="2687" spans="25:25" hidden="1" x14ac:dyDescent="0.25">
      <c r="Y2687" s="501"/>
    </row>
    <row r="2688" spans="25:25" hidden="1" x14ac:dyDescent="0.25">
      <c r="Y2688" s="501"/>
    </row>
    <row r="2689" spans="25:25" hidden="1" x14ac:dyDescent="0.25">
      <c r="Y2689" s="501"/>
    </row>
    <row r="2690" spans="25:25" hidden="1" x14ac:dyDescent="0.25">
      <c r="Y2690" s="501"/>
    </row>
    <row r="2691" spans="25:25" hidden="1" x14ac:dyDescent="0.25">
      <c r="Y2691" s="501"/>
    </row>
    <row r="2692" spans="25:25" hidden="1" x14ac:dyDescent="0.25">
      <c r="Y2692" s="501"/>
    </row>
    <row r="2693" spans="25:25" hidden="1" x14ac:dyDescent="0.25">
      <c r="Y2693" s="501"/>
    </row>
    <row r="2694" spans="25:25" hidden="1" x14ac:dyDescent="0.25">
      <c r="Y2694" s="501"/>
    </row>
    <row r="2695" spans="25:25" hidden="1" x14ac:dyDescent="0.25">
      <c r="Y2695" s="501"/>
    </row>
    <row r="2696" spans="25:25" hidden="1" x14ac:dyDescent="0.25">
      <c r="Y2696" s="501"/>
    </row>
    <row r="2697" spans="25:25" hidden="1" x14ac:dyDescent="0.25">
      <c r="Y2697" s="501"/>
    </row>
    <row r="2698" spans="25:25" hidden="1" x14ac:dyDescent="0.25">
      <c r="Y2698" s="501"/>
    </row>
    <row r="2699" spans="25:25" hidden="1" x14ac:dyDescent="0.25">
      <c r="Y2699" s="501"/>
    </row>
    <row r="2700" spans="25:25" hidden="1" x14ac:dyDescent="0.25">
      <c r="Y2700" s="501"/>
    </row>
    <row r="2701" spans="25:25" hidden="1" x14ac:dyDescent="0.25">
      <c r="Y2701" s="501"/>
    </row>
    <row r="2702" spans="25:25" hidden="1" x14ac:dyDescent="0.25">
      <c r="Y2702" s="501"/>
    </row>
    <row r="2703" spans="25:25" hidden="1" x14ac:dyDescent="0.25">
      <c r="Y2703" s="501"/>
    </row>
    <row r="2704" spans="25:25" hidden="1" x14ac:dyDescent="0.25">
      <c r="Y2704" s="501"/>
    </row>
    <row r="2705" spans="25:25" hidden="1" x14ac:dyDescent="0.25">
      <c r="Y2705" s="501"/>
    </row>
    <row r="2706" spans="25:25" hidden="1" x14ac:dyDescent="0.25">
      <c r="Y2706" s="501"/>
    </row>
    <row r="2707" spans="25:25" hidden="1" x14ac:dyDescent="0.25">
      <c r="Y2707" s="501"/>
    </row>
    <row r="2708" spans="25:25" hidden="1" x14ac:dyDescent="0.25">
      <c r="Y2708" s="501"/>
    </row>
    <row r="2709" spans="25:25" hidden="1" x14ac:dyDescent="0.25">
      <c r="Y2709" s="501"/>
    </row>
    <row r="2710" spans="25:25" hidden="1" x14ac:dyDescent="0.25">
      <c r="Y2710" s="501"/>
    </row>
    <row r="2711" spans="25:25" hidden="1" x14ac:dyDescent="0.25">
      <c r="Y2711" s="501"/>
    </row>
    <row r="2712" spans="25:25" hidden="1" x14ac:dyDescent="0.25">
      <c r="Y2712" s="501"/>
    </row>
    <row r="2713" spans="25:25" hidden="1" x14ac:dyDescent="0.25">
      <c r="Y2713" s="501"/>
    </row>
    <row r="2714" spans="25:25" hidden="1" x14ac:dyDescent="0.25">
      <c r="Y2714" s="501"/>
    </row>
    <row r="2715" spans="25:25" hidden="1" x14ac:dyDescent="0.25">
      <c r="Y2715" s="501"/>
    </row>
    <row r="2716" spans="25:25" hidden="1" x14ac:dyDescent="0.25">
      <c r="Y2716" s="501"/>
    </row>
    <row r="2717" spans="25:25" hidden="1" x14ac:dyDescent="0.25">
      <c r="Y2717" s="501"/>
    </row>
    <row r="2718" spans="25:25" hidden="1" x14ac:dyDescent="0.25">
      <c r="Y2718" s="501"/>
    </row>
    <row r="2719" spans="25:25" hidden="1" x14ac:dyDescent="0.25">
      <c r="Y2719" s="501"/>
    </row>
    <row r="2720" spans="25:25" hidden="1" x14ac:dyDescent="0.25">
      <c r="Y2720" s="501"/>
    </row>
    <row r="2721" spans="25:25" hidden="1" x14ac:dyDescent="0.25">
      <c r="Y2721" s="501"/>
    </row>
    <row r="2722" spans="25:25" hidden="1" x14ac:dyDescent="0.25">
      <c r="Y2722" s="501"/>
    </row>
    <row r="2723" spans="25:25" hidden="1" x14ac:dyDescent="0.25">
      <c r="Y2723" s="501"/>
    </row>
    <row r="2724" spans="25:25" hidden="1" x14ac:dyDescent="0.25">
      <c r="Y2724" s="501"/>
    </row>
    <row r="2725" spans="25:25" hidden="1" x14ac:dyDescent="0.25">
      <c r="Y2725" s="501"/>
    </row>
    <row r="2726" spans="25:25" hidden="1" x14ac:dyDescent="0.25">
      <c r="Y2726" s="501"/>
    </row>
    <row r="2727" spans="25:25" hidden="1" x14ac:dyDescent="0.25">
      <c r="Y2727" s="501"/>
    </row>
    <row r="2728" spans="25:25" hidden="1" x14ac:dyDescent="0.25">
      <c r="Y2728" s="501"/>
    </row>
    <row r="2729" spans="25:25" hidden="1" x14ac:dyDescent="0.25">
      <c r="Y2729" s="501"/>
    </row>
    <row r="2730" spans="25:25" hidden="1" x14ac:dyDescent="0.25">
      <c r="Y2730" s="501"/>
    </row>
    <row r="2731" spans="25:25" hidden="1" x14ac:dyDescent="0.25">
      <c r="Y2731" s="501"/>
    </row>
    <row r="2732" spans="25:25" hidden="1" x14ac:dyDescent="0.25">
      <c r="Y2732" s="501"/>
    </row>
    <row r="2733" spans="25:25" hidden="1" x14ac:dyDescent="0.25">
      <c r="Y2733" s="501"/>
    </row>
    <row r="2734" spans="25:25" hidden="1" x14ac:dyDescent="0.25">
      <c r="Y2734" s="501"/>
    </row>
    <row r="2735" spans="25:25" hidden="1" x14ac:dyDescent="0.25">
      <c r="Y2735" s="501"/>
    </row>
    <row r="2736" spans="25:25" hidden="1" x14ac:dyDescent="0.25">
      <c r="Y2736" s="501"/>
    </row>
    <row r="2737" spans="25:25" hidden="1" x14ac:dyDescent="0.25">
      <c r="Y2737" s="501"/>
    </row>
    <row r="2738" spans="25:25" hidden="1" x14ac:dyDescent="0.25">
      <c r="Y2738" s="501"/>
    </row>
    <row r="2739" spans="25:25" hidden="1" x14ac:dyDescent="0.25">
      <c r="Y2739" s="501"/>
    </row>
    <row r="2740" spans="25:25" hidden="1" x14ac:dyDescent="0.25">
      <c r="Y2740" s="501"/>
    </row>
    <row r="2741" spans="25:25" hidden="1" x14ac:dyDescent="0.25">
      <c r="Y2741" s="501"/>
    </row>
    <row r="2742" spans="25:25" hidden="1" x14ac:dyDescent="0.25">
      <c r="Y2742" s="501"/>
    </row>
    <row r="2743" spans="25:25" hidden="1" x14ac:dyDescent="0.25">
      <c r="Y2743" s="501"/>
    </row>
    <row r="2744" spans="25:25" hidden="1" x14ac:dyDescent="0.25">
      <c r="Y2744" s="501"/>
    </row>
    <row r="2745" spans="25:25" hidden="1" x14ac:dyDescent="0.25">
      <c r="Y2745" s="501"/>
    </row>
    <row r="2746" spans="25:25" hidden="1" x14ac:dyDescent="0.25">
      <c r="Y2746" s="501"/>
    </row>
    <row r="2747" spans="25:25" hidden="1" x14ac:dyDescent="0.25">
      <c r="Y2747" s="501"/>
    </row>
    <row r="2748" spans="25:25" hidden="1" x14ac:dyDescent="0.25">
      <c r="Y2748" s="501"/>
    </row>
    <row r="2749" spans="25:25" hidden="1" x14ac:dyDescent="0.25">
      <c r="Y2749" s="501"/>
    </row>
    <row r="2750" spans="25:25" hidden="1" x14ac:dyDescent="0.25">
      <c r="Y2750" s="501"/>
    </row>
    <row r="2751" spans="25:25" hidden="1" x14ac:dyDescent="0.25">
      <c r="Y2751" s="501"/>
    </row>
    <row r="2752" spans="25:25" hidden="1" x14ac:dyDescent="0.25">
      <c r="Y2752" s="501"/>
    </row>
    <row r="2753" spans="25:25" hidden="1" x14ac:dyDescent="0.25">
      <c r="Y2753" s="501"/>
    </row>
    <row r="2754" spans="25:25" hidden="1" x14ac:dyDescent="0.25">
      <c r="Y2754" s="501"/>
    </row>
    <row r="2755" spans="25:25" hidden="1" x14ac:dyDescent="0.25">
      <c r="Y2755" s="501"/>
    </row>
    <row r="2756" spans="25:25" hidden="1" x14ac:dyDescent="0.25">
      <c r="Y2756" s="501"/>
    </row>
    <row r="2757" spans="25:25" hidden="1" x14ac:dyDescent="0.25">
      <c r="Y2757" s="501"/>
    </row>
    <row r="2758" spans="25:25" hidden="1" x14ac:dyDescent="0.25">
      <c r="Y2758" s="501"/>
    </row>
    <row r="2759" spans="25:25" hidden="1" x14ac:dyDescent="0.25">
      <c r="Y2759" s="501"/>
    </row>
    <row r="2760" spans="25:25" hidden="1" x14ac:dyDescent="0.25">
      <c r="Y2760" s="501"/>
    </row>
    <row r="2761" spans="25:25" hidden="1" x14ac:dyDescent="0.25">
      <c r="Y2761" s="501"/>
    </row>
    <row r="2762" spans="25:25" hidden="1" x14ac:dyDescent="0.25">
      <c r="Y2762" s="501"/>
    </row>
    <row r="2763" spans="25:25" hidden="1" x14ac:dyDescent="0.25">
      <c r="Y2763" s="501"/>
    </row>
    <row r="2764" spans="25:25" hidden="1" x14ac:dyDescent="0.25">
      <c r="Y2764" s="501"/>
    </row>
    <row r="2765" spans="25:25" hidden="1" x14ac:dyDescent="0.25">
      <c r="Y2765" s="501"/>
    </row>
    <row r="2766" spans="25:25" hidden="1" x14ac:dyDescent="0.25">
      <c r="Y2766" s="501"/>
    </row>
    <row r="2767" spans="25:25" hidden="1" x14ac:dyDescent="0.25">
      <c r="Y2767" s="501"/>
    </row>
    <row r="2768" spans="25:25" hidden="1" x14ac:dyDescent="0.25">
      <c r="Y2768" s="501"/>
    </row>
    <row r="2769" spans="25:25" hidden="1" x14ac:dyDescent="0.25">
      <c r="Y2769" s="501"/>
    </row>
    <row r="2770" spans="25:25" hidden="1" x14ac:dyDescent="0.25">
      <c r="Y2770" s="501"/>
    </row>
    <row r="2771" spans="25:25" hidden="1" x14ac:dyDescent="0.25">
      <c r="Y2771" s="501"/>
    </row>
    <row r="2772" spans="25:25" hidden="1" x14ac:dyDescent="0.25">
      <c r="Y2772" s="501"/>
    </row>
    <row r="2773" spans="25:25" hidden="1" x14ac:dyDescent="0.25">
      <c r="Y2773" s="501"/>
    </row>
    <row r="2774" spans="25:25" hidden="1" x14ac:dyDescent="0.25">
      <c r="Y2774" s="501"/>
    </row>
    <row r="2775" spans="25:25" hidden="1" x14ac:dyDescent="0.25">
      <c r="Y2775" s="501"/>
    </row>
    <row r="2776" spans="25:25" hidden="1" x14ac:dyDescent="0.25">
      <c r="Y2776" s="501"/>
    </row>
    <row r="2777" spans="25:25" hidden="1" x14ac:dyDescent="0.25">
      <c r="Y2777" s="501"/>
    </row>
    <row r="2778" spans="25:25" hidden="1" x14ac:dyDescent="0.25">
      <c r="Y2778" s="501"/>
    </row>
    <row r="2779" spans="25:25" hidden="1" x14ac:dyDescent="0.25">
      <c r="Y2779" s="501"/>
    </row>
    <row r="2780" spans="25:25" hidden="1" x14ac:dyDescent="0.25">
      <c r="Y2780" s="501"/>
    </row>
    <row r="2781" spans="25:25" hidden="1" x14ac:dyDescent="0.25">
      <c r="Y2781" s="501"/>
    </row>
    <row r="2782" spans="25:25" hidden="1" x14ac:dyDescent="0.25">
      <c r="Y2782" s="501"/>
    </row>
    <row r="2783" spans="25:25" hidden="1" x14ac:dyDescent="0.25">
      <c r="Y2783" s="501"/>
    </row>
    <row r="2784" spans="25:25" hidden="1" x14ac:dyDescent="0.25">
      <c r="Y2784" s="501"/>
    </row>
    <row r="2785" spans="25:25" hidden="1" x14ac:dyDescent="0.25">
      <c r="Y2785" s="501"/>
    </row>
    <row r="2786" spans="25:25" hidden="1" x14ac:dyDescent="0.25">
      <c r="Y2786" s="501"/>
    </row>
    <row r="2787" spans="25:25" hidden="1" x14ac:dyDescent="0.25">
      <c r="Y2787" s="501"/>
    </row>
    <row r="2788" spans="25:25" hidden="1" x14ac:dyDescent="0.25">
      <c r="Y2788" s="501"/>
    </row>
    <row r="2789" spans="25:25" hidden="1" x14ac:dyDescent="0.25">
      <c r="Y2789" s="501"/>
    </row>
    <row r="2790" spans="25:25" hidden="1" x14ac:dyDescent="0.25">
      <c r="Y2790" s="501"/>
    </row>
    <row r="2791" spans="25:25" hidden="1" x14ac:dyDescent="0.25">
      <c r="Y2791" s="501"/>
    </row>
    <row r="2792" spans="25:25" hidden="1" x14ac:dyDescent="0.25">
      <c r="Y2792" s="501"/>
    </row>
    <row r="2793" spans="25:25" hidden="1" x14ac:dyDescent="0.25">
      <c r="Y2793" s="501"/>
    </row>
    <row r="2794" spans="25:25" hidden="1" x14ac:dyDescent="0.25">
      <c r="Y2794" s="501"/>
    </row>
    <row r="2795" spans="25:25" hidden="1" x14ac:dyDescent="0.25">
      <c r="Y2795" s="501"/>
    </row>
    <row r="2796" spans="25:25" hidden="1" x14ac:dyDescent="0.25">
      <c r="Y2796" s="501"/>
    </row>
    <row r="2797" spans="25:25" hidden="1" x14ac:dyDescent="0.25">
      <c r="Y2797" s="501"/>
    </row>
    <row r="2798" spans="25:25" hidden="1" x14ac:dyDescent="0.25">
      <c r="Y2798" s="501"/>
    </row>
    <row r="2799" spans="25:25" hidden="1" x14ac:dyDescent="0.25">
      <c r="Y2799" s="501"/>
    </row>
    <row r="2800" spans="25:25" hidden="1" x14ac:dyDescent="0.25">
      <c r="Y2800" s="501"/>
    </row>
    <row r="2801" spans="25:25" hidden="1" x14ac:dyDescent="0.25">
      <c r="Y2801" s="501"/>
    </row>
    <row r="2802" spans="25:25" hidden="1" x14ac:dyDescent="0.25">
      <c r="Y2802" s="501"/>
    </row>
    <row r="2803" spans="25:25" hidden="1" x14ac:dyDescent="0.25">
      <c r="Y2803" s="501"/>
    </row>
    <row r="2804" spans="25:25" hidden="1" x14ac:dyDescent="0.25">
      <c r="Y2804" s="501"/>
    </row>
    <row r="2805" spans="25:25" hidden="1" x14ac:dyDescent="0.25">
      <c r="Y2805" s="501"/>
    </row>
    <row r="2806" spans="25:25" hidden="1" x14ac:dyDescent="0.25">
      <c r="Y2806" s="501"/>
    </row>
    <row r="2807" spans="25:25" hidden="1" x14ac:dyDescent="0.25">
      <c r="Y2807" s="501"/>
    </row>
    <row r="2808" spans="25:25" hidden="1" x14ac:dyDescent="0.25">
      <c r="Y2808" s="501"/>
    </row>
    <row r="2809" spans="25:25" hidden="1" x14ac:dyDescent="0.25">
      <c r="Y2809" s="501"/>
    </row>
    <row r="2810" spans="25:25" hidden="1" x14ac:dyDescent="0.25">
      <c r="Y2810" s="501"/>
    </row>
    <row r="2811" spans="25:25" hidden="1" x14ac:dyDescent="0.25">
      <c r="Y2811" s="501"/>
    </row>
    <row r="2812" spans="25:25" hidden="1" x14ac:dyDescent="0.25">
      <c r="Y2812" s="501"/>
    </row>
    <row r="2813" spans="25:25" hidden="1" x14ac:dyDescent="0.25">
      <c r="Y2813" s="501"/>
    </row>
    <row r="2814" spans="25:25" hidden="1" x14ac:dyDescent="0.25">
      <c r="Y2814" s="501"/>
    </row>
    <row r="2815" spans="25:25" hidden="1" x14ac:dyDescent="0.25">
      <c r="Y2815" s="501"/>
    </row>
    <row r="2816" spans="25:25" hidden="1" x14ac:dyDescent="0.25">
      <c r="Y2816" s="501"/>
    </row>
    <row r="2817" spans="25:25" hidden="1" x14ac:dyDescent="0.25">
      <c r="Y2817" s="501"/>
    </row>
    <row r="2818" spans="25:25" hidden="1" x14ac:dyDescent="0.25">
      <c r="Y2818" s="501"/>
    </row>
    <row r="2819" spans="25:25" hidden="1" x14ac:dyDescent="0.25">
      <c r="Y2819" s="501"/>
    </row>
    <row r="2820" spans="25:25" hidden="1" x14ac:dyDescent="0.25">
      <c r="Y2820" s="501"/>
    </row>
    <row r="2821" spans="25:25" hidden="1" x14ac:dyDescent="0.25">
      <c r="Y2821" s="501"/>
    </row>
    <row r="2822" spans="25:25" hidden="1" x14ac:dyDescent="0.25">
      <c r="Y2822" s="501"/>
    </row>
    <row r="2823" spans="25:25" hidden="1" x14ac:dyDescent="0.25">
      <c r="Y2823" s="501"/>
    </row>
    <row r="2824" spans="25:25" hidden="1" x14ac:dyDescent="0.25">
      <c r="Y2824" s="501"/>
    </row>
    <row r="2825" spans="25:25" hidden="1" x14ac:dyDescent="0.25">
      <c r="Y2825" s="501"/>
    </row>
    <row r="2826" spans="25:25" hidden="1" x14ac:dyDescent="0.25">
      <c r="Y2826" s="501"/>
    </row>
    <row r="2827" spans="25:25" hidden="1" x14ac:dyDescent="0.25">
      <c r="Y2827" s="501"/>
    </row>
    <row r="2828" spans="25:25" hidden="1" x14ac:dyDescent="0.25">
      <c r="Y2828" s="501"/>
    </row>
    <row r="2829" spans="25:25" hidden="1" x14ac:dyDescent="0.25">
      <c r="Y2829" s="501"/>
    </row>
    <row r="2830" spans="25:25" hidden="1" x14ac:dyDescent="0.25">
      <c r="Y2830" s="501"/>
    </row>
    <row r="2831" spans="25:25" hidden="1" x14ac:dyDescent="0.25">
      <c r="Y2831" s="501"/>
    </row>
    <row r="2832" spans="25:25" hidden="1" x14ac:dyDescent="0.25">
      <c r="Y2832" s="501"/>
    </row>
    <row r="2833" spans="25:25" hidden="1" x14ac:dyDescent="0.25">
      <c r="Y2833" s="501"/>
    </row>
    <row r="2834" spans="25:25" hidden="1" x14ac:dyDescent="0.25">
      <c r="Y2834" s="501"/>
    </row>
    <row r="2835" spans="25:25" hidden="1" x14ac:dyDescent="0.25">
      <c r="Y2835" s="501"/>
    </row>
    <row r="2836" spans="25:25" hidden="1" x14ac:dyDescent="0.25">
      <c r="Y2836" s="501"/>
    </row>
    <row r="2837" spans="25:25" hidden="1" x14ac:dyDescent="0.25">
      <c r="Y2837" s="501"/>
    </row>
    <row r="2838" spans="25:25" hidden="1" x14ac:dyDescent="0.25">
      <c r="Y2838" s="501"/>
    </row>
    <row r="2839" spans="25:25" hidden="1" x14ac:dyDescent="0.25">
      <c r="Y2839" s="501"/>
    </row>
    <row r="2840" spans="25:25" hidden="1" x14ac:dyDescent="0.25">
      <c r="Y2840" s="501"/>
    </row>
    <row r="2841" spans="25:25" hidden="1" x14ac:dyDescent="0.25">
      <c r="Y2841" s="501"/>
    </row>
    <row r="2842" spans="25:25" hidden="1" x14ac:dyDescent="0.25">
      <c r="Y2842" s="501"/>
    </row>
    <row r="2843" spans="25:25" hidden="1" x14ac:dyDescent="0.25">
      <c r="Y2843" s="501"/>
    </row>
    <row r="2844" spans="25:25" hidden="1" x14ac:dyDescent="0.25">
      <c r="Y2844" s="501"/>
    </row>
    <row r="2845" spans="25:25" hidden="1" x14ac:dyDescent="0.25">
      <c r="Y2845" s="501"/>
    </row>
    <row r="2846" spans="25:25" hidden="1" x14ac:dyDescent="0.25">
      <c r="Y2846" s="501"/>
    </row>
    <row r="2847" spans="25:25" hidden="1" x14ac:dyDescent="0.25">
      <c r="Y2847" s="501"/>
    </row>
    <row r="2848" spans="25:25" hidden="1" x14ac:dyDescent="0.25">
      <c r="Y2848" s="501"/>
    </row>
    <row r="2849" spans="25:25" hidden="1" x14ac:dyDescent="0.25">
      <c r="Y2849" s="501"/>
    </row>
    <row r="2850" spans="25:25" hidden="1" x14ac:dyDescent="0.25">
      <c r="Y2850" s="501"/>
    </row>
    <row r="2851" spans="25:25" hidden="1" x14ac:dyDescent="0.25">
      <c r="Y2851" s="501"/>
    </row>
    <row r="2852" spans="25:25" hidden="1" x14ac:dyDescent="0.25">
      <c r="Y2852" s="501"/>
    </row>
    <row r="2853" spans="25:25" hidden="1" x14ac:dyDescent="0.25">
      <c r="Y2853" s="501"/>
    </row>
    <row r="2854" spans="25:25" hidden="1" x14ac:dyDescent="0.25">
      <c r="Y2854" s="501"/>
    </row>
    <row r="2855" spans="25:25" hidden="1" x14ac:dyDescent="0.25">
      <c r="Y2855" s="501"/>
    </row>
    <row r="2856" spans="25:25" hidden="1" x14ac:dyDescent="0.25">
      <c r="Y2856" s="501"/>
    </row>
    <row r="2857" spans="25:25" hidden="1" x14ac:dyDescent="0.25">
      <c r="Y2857" s="501"/>
    </row>
    <row r="2858" spans="25:25" hidden="1" x14ac:dyDescent="0.25">
      <c r="Y2858" s="501"/>
    </row>
    <row r="2859" spans="25:25" hidden="1" x14ac:dyDescent="0.25">
      <c r="Y2859" s="501"/>
    </row>
    <row r="2860" spans="25:25" hidden="1" x14ac:dyDescent="0.25">
      <c r="Y2860" s="501"/>
    </row>
    <row r="2861" spans="25:25" hidden="1" x14ac:dyDescent="0.25">
      <c r="Y2861" s="501"/>
    </row>
    <row r="2862" spans="25:25" hidden="1" x14ac:dyDescent="0.25">
      <c r="Y2862" s="501"/>
    </row>
    <row r="2863" spans="25:25" hidden="1" x14ac:dyDescent="0.25">
      <c r="Y2863" s="501"/>
    </row>
    <row r="2864" spans="25:25" hidden="1" x14ac:dyDescent="0.25">
      <c r="Y2864" s="501"/>
    </row>
    <row r="2865" spans="25:25" hidden="1" x14ac:dyDescent="0.25">
      <c r="Y2865" s="501"/>
    </row>
    <row r="2866" spans="25:25" hidden="1" x14ac:dyDescent="0.25">
      <c r="Y2866" s="501"/>
    </row>
    <row r="2867" spans="25:25" hidden="1" x14ac:dyDescent="0.25">
      <c r="Y2867" s="501"/>
    </row>
    <row r="2868" spans="25:25" hidden="1" x14ac:dyDescent="0.25">
      <c r="Y2868" s="501"/>
    </row>
    <row r="2869" spans="25:25" hidden="1" x14ac:dyDescent="0.25">
      <c r="Y2869" s="501"/>
    </row>
    <row r="2870" spans="25:25" hidden="1" x14ac:dyDescent="0.25">
      <c r="Y2870" s="501"/>
    </row>
    <row r="2871" spans="25:25" hidden="1" x14ac:dyDescent="0.25">
      <c r="Y2871" s="501"/>
    </row>
    <row r="2872" spans="25:25" hidden="1" x14ac:dyDescent="0.25">
      <c r="Y2872" s="501"/>
    </row>
    <row r="2873" spans="25:25" hidden="1" x14ac:dyDescent="0.25">
      <c r="Y2873" s="501"/>
    </row>
    <row r="2874" spans="25:25" hidden="1" x14ac:dyDescent="0.25">
      <c r="Y2874" s="501"/>
    </row>
    <row r="2875" spans="25:25" hidden="1" x14ac:dyDescent="0.25">
      <c r="Y2875" s="501"/>
    </row>
    <row r="2876" spans="25:25" hidden="1" x14ac:dyDescent="0.25">
      <c r="Y2876" s="501"/>
    </row>
    <row r="2877" spans="25:25" hidden="1" x14ac:dyDescent="0.25">
      <c r="Y2877" s="501"/>
    </row>
    <row r="2878" spans="25:25" hidden="1" x14ac:dyDescent="0.25">
      <c r="Y2878" s="501"/>
    </row>
    <row r="2879" spans="25:25" hidden="1" x14ac:dyDescent="0.25">
      <c r="Y2879" s="501"/>
    </row>
    <row r="2880" spans="25:25" hidden="1" x14ac:dyDescent="0.25">
      <c r="Y2880" s="501"/>
    </row>
    <row r="2881" spans="25:25" hidden="1" x14ac:dyDescent="0.25">
      <c r="Y2881" s="501"/>
    </row>
    <row r="2882" spans="25:25" hidden="1" x14ac:dyDescent="0.25">
      <c r="Y2882" s="501"/>
    </row>
    <row r="2883" spans="25:25" hidden="1" x14ac:dyDescent="0.25">
      <c r="Y2883" s="501"/>
    </row>
    <row r="2884" spans="25:25" hidden="1" x14ac:dyDescent="0.25">
      <c r="Y2884" s="501"/>
    </row>
    <row r="2885" spans="25:25" hidden="1" x14ac:dyDescent="0.25">
      <c r="Y2885" s="501"/>
    </row>
    <row r="2886" spans="25:25" hidden="1" x14ac:dyDescent="0.25">
      <c r="Y2886" s="501"/>
    </row>
    <row r="2887" spans="25:25" hidden="1" x14ac:dyDescent="0.25">
      <c r="Y2887" s="501"/>
    </row>
    <row r="2888" spans="25:25" hidden="1" x14ac:dyDescent="0.25">
      <c r="Y2888" s="501"/>
    </row>
    <row r="2889" spans="25:25" hidden="1" x14ac:dyDescent="0.25">
      <c r="Y2889" s="501"/>
    </row>
    <row r="2890" spans="25:25" hidden="1" x14ac:dyDescent="0.25">
      <c r="Y2890" s="501"/>
    </row>
    <row r="2891" spans="25:25" hidden="1" x14ac:dyDescent="0.25">
      <c r="Y2891" s="501"/>
    </row>
    <row r="2892" spans="25:25" hidden="1" x14ac:dyDescent="0.25">
      <c r="Y2892" s="501"/>
    </row>
    <row r="2893" spans="25:25" hidden="1" x14ac:dyDescent="0.25">
      <c r="Y2893" s="501"/>
    </row>
    <row r="2894" spans="25:25" hidden="1" x14ac:dyDescent="0.25">
      <c r="Y2894" s="501"/>
    </row>
    <row r="2895" spans="25:25" hidden="1" x14ac:dyDescent="0.25">
      <c r="Y2895" s="501"/>
    </row>
    <row r="2896" spans="25:25" hidden="1" x14ac:dyDescent="0.25">
      <c r="Y2896" s="501"/>
    </row>
    <row r="2897" spans="25:25" hidden="1" x14ac:dyDescent="0.25">
      <c r="Y2897" s="501"/>
    </row>
    <row r="2898" spans="25:25" hidden="1" x14ac:dyDescent="0.25">
      <c r="Y2898" s="501"/>
    </row>
    <row r="2899" spans="25:25" hidden="1" x14ac:dyDescent="0.25">
      <c r="Y2899" s="501"/>
    </row>
    <row r="2900" spans="25:25" hidden="1" x14ac:dyDescent="0.25">
      <c r="Y2900" s="501"/>
    </row>
    <row r="2901" spans="25:25" hidden="1" x14ac:dyDescent="0.25">
      <c r="Y2901" s="501"/>
    </row>
    <row r="2902" spans="25:25" hidden="1" x14ac:dyDescent="0.25">
      <c r="Y2902" s="501"/>
    </row>
    <row r="2903" spans="25:25" hidden="1" x14ac:dyDescent="0.25">
      <c r="Y2903" s="501"/>
    </row>
    <row r="2904" spans="25:25" hidden="1" x14ac:dyDescent="0.25">
      <c r="Y2904" s="501"/>
    </row>
    <row r="2905" spans="25:25" hidden="1" x14ac:dyDescent="0.25">
      <c r="Y2905" s="501"/>
    </row>
    <row r="2906" spans="25:25" hidden="1" x14ac:dyDescent="0.25">
      <c r="Y2906" s="501"/>
    </row>
    <row r="2907" spans="25:25" hidden="1" x14ac:dyDescent="0.25">
      <c r="Y2907" s="501"/>
    </row>
    <row r="2908" spans="25:25" hidden="1" x14ac:dyDescent="0.25">
      <c r="Y2908" s="501"/>
    </row>
    <row r="2909" spans="25:25" hidden="1" x14ac:dyDescent="0.25">
      <c r="Y2909" s="501"/>
    </row>
    <row r="2910" spans="25:25" hidden="1" x14ac:dyDescent="0.25">
      <c r="Y2910" s="501"/>
    </row>
    <row r="2911" spans="25:25" hidden="1" x14ac:dyDescent="0.25">
      <c r="Y2911" s="501"/>
    </row>
    <row r="2912" spans="25:25" hidden="1" x14ac:dyDescent="0.25">
      <c r="Y2912" s="501"/>
    </row>
    <row r="2913" spans="25:25" hidden="1" x14ac:dyDescent="0.25">
      <c r="Y2913" s="501"/>
    </row>
    <row r="2914" spans="25:25" hidden="1" x14ac:dyDescent="0.25">
      <c r="Y2914" s="501"/>
    </row>
    <row r="2915" spans="25:25" hidden="1" x14ac:dyDescent="0.25">
      <c r="Y2915" s="501"/>
    </row>
    <row r="2916" spans="25:25" hidden="1" x14ac:dyDescent="0.25">
      <c r="Y2916" s="501"/>
    </row>
    <row r="2917" spans="25:25" hidden="1" x14ac:dyDescent="0.25">
      <c r="Y2917" s="501"/>
    </row>
    <row r="2918" spans="25:25" hidden="1" x14ac:dyDescent="0.25">
      <c r="Y2918" s="501"/>
    </row>
    <row r="2919" spans="25:25" hidden="1" x14ac:dyDescent="0.25">
      <c r="Y2919" s="501"/>
    </row>
    <row r="2920" spans="25:25" hidden="1" x14ac:dyDescent="0.25">
      <c r="Y2920" s="501"/>
    </row>
    <row r="2921" spans="25:25" hidden="1" x14ac:dyDescent="0.25">
      <c r="Y2921" s="501"/>
    </row>
    <row r="2922" spans="25:25" hidden="1" x14ac:dyDescent="0.25">
      <c r="Y2922" s="501"/>
    </row>
    <row r="2923" spans="25:25" hidden="1" x14ac:dyDescent="0.25">
      <c r="Y2923" s="501"/>
    </row>
    <row r="2924" spans="25:25" hidden="1" x14ac:dyDescent="0.25">
      <c r="Y2924" s="501"/>
    </row>
    <row r="2925" spans="25:25" hidden="1" x14ac:dyDescent="0.25">
      <c r="Y2925" s="501"/>
    </row>
    <row r="2926" spans="25:25" hidden="1" x14ac:dyDescent="0.25">
      <c r="Y2926" s="501"/>
    </row>
    <row r="2927" spans="25:25" hidden="1" x14ac:dyDescent="0.25">
      <c r="Y2927" s="501"/>
    </row>
    <row r="2928" spans="25:25" hidden="1" x14ac:dyDescent="0.25">
      <c r="Y2928" s="501"/>
    </row>
    <row r="2929" spans="25:25" hidden="1" x14ac:dyDescent="0.25">
      <c r="Y2929" s="501"/>
    </row>
    <row r="2930" spans="25:25" hidden="1" x14ac:dyDescent="0.25">
      <c r="Y2930" s="501"/>
    </row>
    <row r="2931" spans="25:25" hidden="1" x14ac:dyDescent="0.25">
      <c r="Y2931" s="501"/>
    </row>
    <row r="2932" spans="25:25" hidden="1" x14ac:dyDescent="0.25">
      <c r="Y2932" s="501"/>
    </row>
    <row r="2933" spans="25:25" hidden="1" x14ac:dyDescent="0.25">
      <c r="Y2933" s="501"/>
    </row>
    <row r="2934" spans="25:25" hidden="1" x14ac:dyDescent="0.25">
      <c r="Y2934" s="501"/>
    </row>
    <row r="2935" spans="25:25" hidden="1" x14ac:dyDescent="0.25">
      <c r="Y2935" s="501"/>
    </row>
    <row r="2936" spans="25:25" hidden="1" x14ac:dyDescent="0.25">
      <c r="Y2936" s="501"/>
    </row>
    <row r="2937" spans="25:25" hidden="1" x14ac:dyDescent="0.25">
      <c r="Y2937" s="501"/>
    </row>
    <row r="2938" spans="25:25" hidden="1" x14ac:dyDescent="0.25">
      <c r="Y2938" s="501"/>
    </row>
    <row r="2939" spans="25:25" hidden="1" x14ac:dyDescent="0.25">
      <c r="Y2939" s="501"/>
    </row>
    <row r="2940" spans="25:25" hidden="1" x14ac:dyDescent="0.25">
      <c r="Y2940" s="501"/>
    </row>
    <row r="2941" spans="25:25" hidden="1" x14ac:dyDescent="0.25">
      <c r="Y2941" s="501"/>
    </row>
    <row r="2942" spans="25:25" hidden="1" x14ac:dyDescent="0.25">
      <c r="Y2942" s="501"/>
    </row>
    <row r="2943" spans="25:25" hidden="1" x14ac:dyDescent="0.25">
      <c r="Y2943" s="501"/>
    </row>
    <row r="2944" spans="25:25" hidden="1" x14ac:dyDescent="0.25">
      <c r="Y2944" s="501"/>
    </row>
    <row r="2945" spans="25:25" hidden="1" x14ac:dyDescent="0.25">
      <c r="Y2945" s="501"/>
    </row>
    <row r="2946" spans="25:25" hidden="1" x14ac:dyDescent="0.25">
      <c r="Y2946" s="501"/>
    </row>
    <row r="2947" spans="25:25" hidden="1" x14ac:dyDescent="0.25">
      <c r="Y2947" s="501"/>
    </row>
    <row r="2948" spans="25:25" hidden="1" x14ac:dyDescent="0.25">
      <c r="Y2948" s="501"/>
    </row>
    <row r="2949" spans="25:25" hidden="1" x14ac:dyDescent="0.25">
      <c r="Y2949" s="501"/>
    </row>
    <row r="2950" spans="25:25" hidden="1" x14ac:dyDescent="0.25">
      <c r="Y2950" s="501"/>
    </row>
    <row r="2951" spans="25:25" hidden="1" x14ac:dyDescent="0.25">
      <c r="Y2951" s="501"/>
    </row>
    <row r="2952" spans="25:25" hidden="1" x14ac:dyDescent="0.25">
      <c r="Y2952" s="501"/>
    </row>
    <row r="2953" spans="25:25" hidden="1" x14ac:dyDescent="0.25">
      <c r="Y2953" s="501"/>
    </row>
    <row r="2954" spans="25:25" hidden="1" x14ac:dyDescent="0.25">
      <c r="Y2954" s="501"/>
    </row>
    <row r="2955" spans="25:25" hidden="1" x14ac:dyDescent="0.25">
      <c r="Y2955" s="501"/>
    </row>
    <row r="2956" spans="25:25" hidden="1" x14ac:dyDescent="0.25">
      <c r="Y2956" s="501"/>
    </row>
    <row r="2957" spans="25:25" hidden="1" x14ac:dyDescent="0.25">
      <c r="Y2957" s="501"/>
    </row>
    <row r="2958" spans="25:25" hidden="1" x14ac:dyDescent="0.25">
      <c r="Y2958" s="501"/>
    </row>
    <row r="2959" spans="25:25" hidden="1" x14ac:dyDescent="0.25">
      <c r="Y2959" s="501"/>
    </row>
    <row r="2960" spans="25:25" hidden="1" x14ac:dyDescent="0.25">
      <c r="Y2960" s="501"/>
    </row>
    <row r="2961" spans="25:25" hidden="1" x14ac:dyDescent="0.25">
      <c r="Y2961" s="501"/>
    </row>
    <row r="2962" spans="25:25" hidden="1" x14ac:dyDescent="0.25">
      <c r="Y2962" s="501"/>
    </row>
    <row r="2963" spans="25:25" hidden="1" x14ac:dyDescent="0.25">
      <c r="Y2963" s="501"/>
    </row>
    <row r="2964" spans="25:25" hidden="1" x14ac:dyDescent="0.25">
      <c r="Y2964" s="501"/>
    </row>
    <row r="2965" spans="25:25" hidden="1" x14ac:dyDescent="0.25">
      <c r="Y2965" s="501"/>
    </row>
    <row r="2966" spans="25:25" hidden="1" x14ac:dyDescent="0.25">
      <c r="Y2966" s="501"/>
    </row>
    <row r="2967" spans="25:25" hidden="1" x14ac:dyDescent="0.25">
      <c r="Y2967" s="501"/>
    </row>
    <row r="2968" spans="25:25" hidden="1" x14ac:dyDescent="0.25">
      <c r="Y2968" s="501"/>
    </row>
    <row r="2969" spans="25:25" hidden="1" x14ac:dyDescent="0.25">
      <c r="Y2969" s="501"/>
    </row>
    <row r="2970" spans="25:25" hidden="1" x14ac:dyDescent="0.25">
      <c r="Y2970" s="501"/>
    </row>
    <row r="2971" spans="25:25" hidden="1" x14ac:dyDescent="0.25">
      <c r="Y2971" s="501"/>
    </row>
    <row r="2972" spans="25:25" hidden="1" x14ac:dyDescent="0.25">
      <c r="Y2972" s="501"/>
    </row>
    <row r="2973" spans="25:25" hidden="1" x14ac:dyDescent="0.25">
      <c r="Y2973" s="501"/>
    </row>
    <row r="2974" spans="25:25" hidden="1" x14ac:dyDescent="0.25">
      <c r="Y2974" s="501"/>
    </row>
    <row r="2975" spans="25:25" hidden="1" x14ac:dyDescent="0.25">
      <c r="Y2975" s="501"/>
    </row>
    <row r="2976" spans="25:25" hidden="1" x14ac:dyDescent="0.25">
      <c r="Y2976" s="501"/>
    </row>
    <row r="2977" spans="25:25" hidden="1" x14ac:dyDescent="0.25">
      <c r="Y2977" s="501"/>
    </row>
    <row r="2978" spans="25:25" hidden="1" x14ac:dyDescent="0.25">
      <c r="Y2978" s="501"/>
    </row>
    <row r="2979" spans="25:25" hidden="1" x14ac:dyDescent="0.25">
      <c r="Y2979" s="501"/>
    </row>
    <row r="2980" spans="25:25" hidden="1" x14ac:dyDescent="0.25">
      <c r="Y2980" s="501"/>
    </row>
    <row r="2981" spans="25:25" hidden="1" x14ac:dyDescent="0.25">
      <c r="Y2981" s="501"/>
    </row>
    <row r="2982" spans="25:25" hidden="1" x14ac:dyDescent="0.25">
      <c r="Y2982" s="501"/>
    </row>
    <row r="2983" spans="25:25" hidden="1" x14ac:dyDescent="0.25">
      <c r="Y2983" s="501"/>
    </row>
    <row r="2984" spans="25:25" hidden="1" x14ac:dyDescent="0.25">
      <c r="Y2984" s="501"/>
    </row>
    <row r="2985" spans="25:25" hidden="1" x14ac:dyDescent="0.25">
      <c r="Y2985" s="501"/>
    </row>
    <row r="2986" spans="25:25" hidden="1" x14ac:dyDescent="0.25">
      <c r="Y2986" s="501"/>
    </row>
    <row r="2987" spans="25:25" hidden="1" x14ac:dyDescent="0.25">
      <c r="Y2987" s="501"/>
    </row>
    <row r="2988" spans="25:25" hidden="1" x14ac:dyDescent="0.25">
      <c r="Y2988" s="501"/>
    </row>
    <row r="2989" spans="25:25" hidden="1" x14ac:dyDescent="0.25">
      <c r="Y2989" s="501"/>
    </row>
    <row r="2990" spans="25:25" hidden="1" x14ac:dyDescent="0.25">
      <c r="Y2990" s="501"/>
    </row>
    <row r="2991" spans="25:25" hidden="1" x14ac:dyDescent="0.25">
      <c r="Y2991" s="501"/>
    </row>
    <row r="2992" spans="25:25" hidden="1" x14ac:dyDescent="0.25">
      <c r="Y2992" s="501"/>
    </row>
    <row r="2993" spans="25:25" hidden="1" x14ac:dyDescent="0.25">
      <c r="Y2993" s="501"/>
    </row>
    <row r="2994" spans="25:25" hidden="1" x14ac:dyDescent="0.25">
      <c r="Y2994" s="501"/>
    </row>
    <row r="2995" spans="25:25" hidden="1" x14ac:dyDescent="0.25">
      <c r="Y2995" s="501"/>
    </row>
    <row r="2996" spans="25:25" hidden="1" x14ac:dyDescent="0.25">
      <c r="Y2996" s="501"/>
    </row>
    <row r="2997" spans="25:25" hidden="1" x14ac:dyDescent="0.25">
      <c r="Y2997" s="501"/>
    </row>
    <row r="2998" spans="25:25" hidden="1" x14ac:dyDescent="0.25">
      <c r="Y2998" s="501"/>
    </row>
    <row r="2999" spans="25:25" hidden="1" x14ac:dyDescent="0.25">
      <c r="Y2999" s="501"/>
    </row>
    <row r="3000" spans="25:25" hidden="1" x14ac:dyDescent="0.25">
      <c r="Y3000" s="501"/>
    </row>
    <row r="3001" spans="25:25" hidden="1" x14ac:dyDescent="0.25">
      <c r="Y3001" s="501"/>
    </row>
    <row r="3002" spans="25:25" hidden="1" x14ac:dyDescent="0.25">
      <c r="Y3002" s="501"/>
    </row>
    <row r="3003" spans="25:25" hidden="1" x14ac:dyDescent="0.25">
      <c r="Y3003" s="501"/>
    </row>
    <row r="3004" spans="25:25" hidden="1" x14ac:dyDescent="0.25">
      <c r="Y3004" s="501"/>
    </row>
    <row r="3005" spans="25:25" hidden="1" x14ac:dyDescent="0.25">
      <c r="Y3005" s="501"/>
    </row>
    <row r="3006" spans="25:25" hidden="1" x14ac:dyDescent="0.25">
      <c r="Y3006" s="501"/>
    </row>
    <row r="3007" spans="25:25" hidden="1" x14ac:dyDescent="0.25">
      <c r="Y3007" s="501"/>
    </row>
    <row r="3008" spans="25:25" hidden="1" x14ac:dyDescent="0.25">
      <c r="Y3008" s="501"/>
    </row>
    <row r="3009" spans="25:25" hidden="1" x14ac:dyDescent="0.25">
      <c r="Y3009" s="501"/>
    </row>
    <row r="3010" spans="25:25" hidden="1" x14ac:dyDescent="0.25">
      <c r="Y3010" s="501"/>
    </row>
    <row r="3011" spans="25:25" hidden="1" x14ac:dyDescent="0.25">
      <c r="Y3011" s="501"/>
    </row>
    <row r="3012" spans="25:25" hidden="1" x14ac:dyDescent="0.25">
      <c r="Y3012" s="501"/>
    </row>
    <row r="3013" spans="25:25" hidden="1" x14ac:dyDescent="0.25">
      <c r="Y3013" s="501"/>
    </row>
    <row r="3014" spans="25:25" hidden="1" x14ac:dyDescent="0.25">
      <c r="Y3014" s="501"/>
    </row>
    <row r="3015" spans="25:25" hidden="1" x14ac:dyDescent="0.25">
      <c r="Y3015" s="501"/>
    </row>
    <row r="3016" spans="25:25" hidden="1" x14ac:dyDescent="0.25">
      <c r="Y3016" s="501"/>
    </row>
    <row r="3017" spans="25:25" hidden="1" x14ac:dyDescent="0.25">
      <c r="Y3017" s="501"/>
    </row>
    <row r="3018" spans="25:25" hidden="1" x14ac:dyDescent="0.25">
      <c r="Y3018" s="501"/>
    </row>
    <row r="3019" spans="25:25" hidden="1" x14ac:dyDescent="0.25">
      <c r="Y3019" s="501"/>
    </row>
    <row r="3020" spans="25:25" hidden="1" x14ac:dyDescent="0.25">
      <c r="Y3020" s="501"/>
    </row>
    <row r="3021" spans="25:25" hidden="1" x14ac:dyDescent="0.25">
      <c r="Y3021" s="501"/>
    </row>
    <row r="3022" spans="25:25" hidden="1" x14ac:dyDescent="0.25">
      <c r="Y3022" s="501"/>
    </row>
    <row r="3023" spans="25:25" hidden="1" x14ac:dyDescent="0.25">
      <c r="Y3023" s="501"/>
    </row>
    <row r="3024" spans="25:25" hidden="1" x14ac:dyDescent="0.25">
      <c r="Y3024" s="501"/>
    </row>
    <row r="3025" spans="25:25" hidden="1" x14ac:dyDescent="0.25">
      <c r="Y3025" s="501"/>
    </row>
    <row r="3026" spans="25:25" hidden="1" x14ac:dyDescent="0.25">
      <c r="Y3026" s="501"/>
    </row>
    <row r="3027" spans="25:25" hidden="1" x14ac:dyDescent="0.25">
      <c r="Y3027" s="501"/>
    </row>
    <row r="3028" spans="25:25" hidden="1" x14ac:dyDescent="0.25">
      <c r="Y3028" s="501"/>
    </row>
    <row r="3029" spans="25:25" hidden="1" x14ac:dyDescent="0.25">
      <c r="Y3029" s="501"/>
    </row>
    <row r="3030" spans="25:25" hidden="1" x14ac:dyDescent="0.25">
      <c r="Y3030" s="501"/>
    </row>
    <row r="3031" spans="25:25" hidden="1" x14ac:dyDescent="0.25">
      <c r="Y3031" s="501"/>
    </row>
    <row r="3032" spans="25:25" hidden="1" x14ac:dyDescent="0.25">
      <c r="Y3032" s="501"/>
    </row>
    <row r="3033" spans="25:25" hidden="1" x14ac:dyDescent="0.25">
      <c r="Y3033" s="501"/>
    </row>
    <row r="3034" spans="25:25" hidden="1" x14ac:dyDescent="0.25">
      <c r="Y3034" s="501"/>
    </row>
    <row r="3035" spans="25:25" hidden="1" x14ac:dyDescent="0.25">
      <c r="Y3035" s="501"/>
    </row>
    <row r="3036" spans="25:25" hidden="1" x14ac:dyDescent="0.25">
      <c r="Y3036" s="501"/>
    </row>
    <row r="3037" spans="25:25" hidden="1" x14ac:dyDescent="0.25">
      <c r="Y3037" s="501"/>
    </row>
    <row r="3038" spans="25:25" hidden="1" x14ac:dyDescent="0.25">
      <c r="Y3038" s="501"/>
    </row>
    <row r="3039" spans="25:25" hidden="1" x14ac:dyDescent="0.25">
      <c r="Y3039" s="501"/>
    </row>
    <row r="3040" spans="25:25" hidden="1" x14ac:dyDescent="0.25">
      <c r="Y3040" s="501"/>
    </row>
    <row r="3041" spans="25:25" hidden="1" x14ac:dyDescent="0.25">
      <c r="Y3041" s="501"/>
    </row>
    <row r="3042" spans="25:25" hidden="1" x14ac:dyDescent="0.25">
      <c r="Y3042" s="501"/>
    </row>
    <row r="3043" spans="25:25" hidden="1" x14ac:dyDescent="0.25">
      <c r="Y3043" s="501"/>
    </row>
    <row r="3044" spans="25:25" hidden="1" x14ac:dyDescent="0.25">
      <c r="Y3044" s="501"/>
    </row>
    <row r="3045" spans="25:25" hidden="1" x14ac:dyDescent="0.25">
      <c r="Y3045" s="501"/>
    </row>
    <row r="3046" spans="25:25" hidden="1" x14ac:dyDescent="0.25">
      <c r="Y3046" s="501"/>
    </row>
    <row r="3047" spans="25:25" hidden="1" x14ac:dyDescent="0.25">
      <c r="Y3047" s="501"/>
    </row>
    <row r="3048" spans="25:25" hidden="1" x14ac:dyDescent="0.25">
      <c r="Y3048" s="501"/>
    </row>
    <row r="3049" spans="25:25" hidden="1" x14ac:dyDescent="0.25">
      <c r="Y3049" s="501"/>
    </row>
    <row r="3050" spans="25:25" hidden="1" x14ac:dyDescent="0.25">
      <c r="Y3050" s="501"/>
    </row>
    <row r="3051" spans="25:25" hidden="1" x14ac:dyDescent="0.25">
      <c r="Y3051" s="501"/>
    </row>
    <row r="3052" spans="25:25" hidden="1" x14ac:dyDescent="0.25">
      <c r="Y3052" s="501"/>
    </row>
    <row r="3053" spans="25:25" hidden="1" x14ac:dyDescent="0.25">
      <c r="Y3053" s="501"/>
    </row>
    <row r="3054" spans="25:25" hidden="1" x14ac:dyDescent="0.25">
      <c r="Y3054" s="501"/>
    </row>
    <row r="3055" spans="25:25" hidden="1" x14ac:dyDescent="0.25">
      <c r="Y3055" s="501"/>
    </row>
    <row r="3056" spans="25:25" hidden="1" x14ac:dyDescent="0.25">
      <c r="Y3056" s="501"/>
    </row>
    <row r="3057" spans="25:25" hidden="1" x14ac:dyDescent="0.25">
      <c r="Y3057" s="501"/>
    </row>
    <row r="3058" spans="25:25" hidden="1" x14ac:dyDescent="0.25">
      <c r="Y3058" s="501"/>
    </row>
    <row r="3059" spans="25:25" hidden="1" x14ac:dyDescent="0.25">
      <c r="Y3059" s="501"/>
    </row>
    <row r="3060" spans="25:25" hidden="1" x14ac:dyDescent="0.25">
      <c r="Y3060" s="501"/>
    </row>
    <row r="3061" spans="25:25" hidden="1" x14ac:dyDescent="0.25">
      <c r="Y3061" s="501"/>
    </row>
    <row r="3062" spans="25:25" hidden="1" x14ac:dyDescent="0.25">
      <c r="Y3062" s="501"/>
    </row>
    <row r="3063" spans="25:25" hidden="1" x14ac:dyDescent="0.25">
      <c r="Y3063" s="501"/>
    </row>
    <row r="3064" spans="25:25" hidden="1" x14ac:dyDescent="0.25">
      <c r="Y3064" s="501"/>
    </row>
    <row r="3065" spans="25:25" hidden="1" x14ac:dyDescent="0.25">
      <c r="Y3065" s="501"/>
    </row>
    <row r="3066" spans="25:25" hidden="1" x14ac:dyDescent="0.25">
      <c r="Y3066" s="501"/>
    </row>
    <row r="3067" spans="25:25" hidden="1" x14ac:dyDescent="0.25">
      <c r="Y3067" s="501"/>
    </row>
    <row r="3068" spans="25:25" hidden="1" x14ac:dyDescent="0.25">
      <c r="Y3068" s="501"/>
    </row>
    <row r="3069" spans="25:25" hidden="1" x14ac:dyDescent="0.25">
      <c r="Y3069" s="501"/>
    </row>
    <row r="3070" spans="25:25" hidden="1" x14ac:dyDescent="0.25">
      <c r="Y3070" s="501"/>
    </row>
    <row r="3071" spans="25:25" hidden="1" x14ac:dyDescent="0.25">
      <c r="Y3071" s="501"/>
    </row>
    <row r="3072" spans="25:25" hidden="1" x14ac:dyDescent="0.25">
      <c r="Y3072" s="501"/>
    </row>
    <row r="3073" spans="25:25" hidden="1" x14ac:dyDescent="0.25">
      <c r="Y3073" s="501"/>
    </row>
    <row r="3074" spans="25:25" hidden="1" x14ac:dyDescent="0.25">
      <c r="Y3074" s="501"/>
    </row>
    <row r="3075" spans="25:25" hidden="1" x14ac:dyDescent="0.25">
      <c r="Y3075" s="501"/>
    </row>
    <row r="3076" spans="25:25" hidden="1" x14ac:dyDescent="0.25">
      <c r="Y3076" s="501"/>
    </row>
    <row r="3077" spans="25:25" hidden="1" x14ac:dyDescent="0.25">
      <c r="Y3077" s="501"/>
    </row>
    <row r="3078" spans="25:25" hidden="1" x14ac:dyDescent="0.25">
      <c r="Y3078" s="501"/>
    </row>
    <row r="3079" spans="25:25" hidden="1" x14ac:dyDescent="0.25">
      <c r="Y3079" s="501"/>
    </row>
    <row r="3080" spans="25:25" hidden="1" x14ac:dyDescent="0.25">
      <c r="Y3080" s="501"/>
    </row>
    <row r="3081" spans="25:25" hidden="1" x14ac:dyDescent="0.25">
      <c r="Y3081" s="501"/>
    </row>
    <row r="3082" spans="25:25" hidden="1" x14ac:dyDescent="0.25">
      <c r="Y3082" s="501"/>
    </row>
    <row r="3083" spans="25:25" hidden="1" x14ac:dyDescent="0.25">
      <c r="Y3083" s="501"/>
    </row>
    <row r="3084" spans="25:25" hidden="1" x14ac:dyDescent="0.25">
      <c r="Y3084" s="501"/>
    </row>
    <row r="3085" spans="25:25" hidden="1" x14ac:dyDescent="0.25">
      <c r="Y3085" s="501"/>
    </row>
    <row r="3086" spans="25:25" hidden="1" x14ac:dyDescent="0.25">
      <c r="Y3086" s="501"/>
    </row>
    <row r="3087" spans="25:25" hidden="1" x14ac:dyDescent="0.25">
      <c r="Y3087" s="501"/>
    </row>
    <row r="3088" spans="25:25" hidden="1" x14ac:dyDescent="0.25">
      <c r="Y3088" s="501"/>
    </row>
    <row r="3089" spans="25:25" hidden="1" x14ac:dyDescent="0.25">
      <c r="Y3089" s="501"/>
    </row>
    <row r="3090" spans="25:25" hidden="1" x14ac:dyDescent="0.25">
      <c r="Y3090" s="501"/>
    </row>
    <row r="3091" spans="25:25" hidden="1" x14ac:dyDescent="0.25">
      <c r="Y3091" s="501"/>
    </row>
    <row r="3092" spans="25:25" hidden="1" x14ac:dyDescent="0.25">
      <c r="Y3092" s="501"/>
    </row>
    <row r="3093" spans="25:25" hidden="1" x14ac:dyDescent="0.25">
      <c r="Y3093" s="501"/>
    </row>
    <row r="3094" spans="25:25" hidden="1" x14ac:dyDescent="0.25">
      <c r="Y3094" s="501"/>
    </row>
    <row r="3095" spans="25:25" hidden="1" x14ac:dyDescent="0.25">
      <c r="Y3095" s="501"/>
    </row>
    <row r="3096" spans="25:25" hidden="1" x14ac:dyDescent="0.25">
      <c r="Y3096" s="501"/>
    </row>
    <row r="3097" spans="25:25" hidden="1" x14ac:dyDescent="0.25">
      <c r="Y3097" s="501"/>
    </row>
    <row r="3098" spans="25:25" hidden="1" x14ac:dyDescent="0.25">
      <c r="Y3098" s="501"/>
    </row>
    <row r="3099" spans="25:25" hidden="1" x14ac:dyDescent="0.25">
      <c r="Y3099" s="501"/>
    </row>
    <row r="3100" spans="25:25" hidden="1" x14ac:dyDescent="0.25">
      <c r="Y3100" s="501"/>
    </row>
    <row r="3101" spans="25:25" hidden="1" x14ac:dyDescent="0.25">
      <c r="Y3101" s="501"/>
    </row>
    <row r="3102" spans="25:25" hidden="1" x14ac:dyDescent="0.25">
      <c r="Y3102" s="501"/>
    </row>
    <row r="3103" spans="25:25" hidden="1" x14ac:dyDescent="0.25">
      <c r="Y3103" s="501"/>
    </row>
    <row r="3104" spans="25:25" hidden="1" x14ac:dyDescent="0.25">
      <c r="Y3104" s="501"/>
    </row>
    <row r="3105" spans="25:25" hidden="1" x14ac:dyDescent="0.25">
      <c r="Y3105" s="501"/>
    </row>
    <row r="3106" spans="25:25" hidden="1" x14ac:dyDescent="0.25">
      <c r="Y3106" s="501"/>
    </row>
    <row r="3107" spans="25:25" hidden="1" x14ac:dyDescent="0.25">
      <c r="Y3107" s="501"/>
    </row>
    <row r="3108" spans="25:25" hidden="1" x14ac:dyDescent="0.25">
      <c r="Y3108" s="501"/>
    </row>
    <row r="3109" spans="25:25" hidden="1" x14ac:dyDescent="0.25">
      <c r="Y3109" s="501"/>
    </row>
    <row r="3110" spans="25:25" hidden="1" x14ac:dyDescent="0.25">
      <c r="Y3110" s="501"/>
    </row>
    <row r="3111" spans="25:25" hidden="1" x14ac:dyDescent="0.25">
      <c r="Y3111" s="501"/>
    </row>
    <row r="3112" spans="25:25" hidden="1" x14ac:dyDescent="0.25">
      <c r="Y3112" s="501"/>
    </row>
    <row r="3113" spans="25:25" hidden="1" x14ac:dyDescent="0.25">
      <c r="Y3113" s="501"/>
    </row>
    <row r="3114" spans="25:25" hidden="1" x14ac:dyDescent="0.25">
      <c r="Y3114" s="501"/>
    </row>
    <row r="3115" spans="25:25" hidden="1" x14ac:dyDescent="0.25">
      <c r="Y3115" s="501"/>
    </row>
    <row r="3116" spans="25:25" hidden="1" x14ac:dyDescent="0.25">
      <c r="Y3116" s="501"/>
    </row>
    <row r="3117" spans="25:25" hidden="1" x14ac:dyDescent="0.25">
      <c r="Y3117" s="501"/>
    </row>
    <row r="3118" spans="25:25" hidden="1" x14ac:dyDescent="0.25">
      <c r="Y3118" s="501"/>
    </row>
    <row r="3119" spans="25:25" hidden="1" x14ac:dyDescent="0.25">
      <c r="Y3119" s="501"/>
    </row>
    <row r="3120" spans="25:25" hidden="1" x14ac:dyDescent="0.25">
      <c r="Y3120" s="501"/>
    </row>
    <row r="3121" spans="25:25" hidden="1" x14ac:dyDescent="0.25">
      <c r="Y3121" s="501"/>
    </row>
    <row r="3122" spans="25:25" hidden="1" x14ac:dyDescent="0.25">
      <c r="Y3122" s="501"/>
    </row>
    <row r="3123" spans="25:25" hidden="1" x14ac:dyDescent="0.25">
      <c r="Y3123" s="501"/>
    </row>
    <row r="3124" spans="25:25" hidden="1" x14ac:dyDescent="0.25">
      <c r="Y3124" s="501"/>
    </row>
    <row r="3125" spans="25:25" hidden="1" x14ac:dyDescent="0.25">
      <c r="Y3125" s="501"/>
    </row>
    <row r="3126" spans="25:25" hidden="1" x14ac:dyDescent="0.25">
      <c r="Y3126" s="501"/>
    </row>
    <row r="3127" spans="25:25" hidden="1" x14ac:dyDescent="0.25">
      <c r="Y3127" s="501"/>
    </row>
    <row r="3128" spans="25:25" hidden="1" x14ac:dyDescent="0.25">
      <c r="Y3128" s="501"/>
    </row>
    <row r="3129" spans="25:25" hidden="1" x14ac:dyDescent="0.25">
      <c r="Y3129" s="501"/>
    </row>
    <row r="3130" spans="25:25" hidden="1" x14ac:dyDescent="0.25">
      <c r="Y3130" s="501"/>
    </row>
    <row r="3131" spans="25:25" hidden="1" x14ac:dyDescent="0.25">
      <c r="Y3131" s="501"/>
    </row>
    <row r="3132" spans="25:25" hidden="1" x14ac:dyDescent="0.25">
      <c r="Y3132" s="501"/>
    </row>
    <row r="3133" spans="25:25" hidden="1" x14ac:dyDescent="0.25">
      <c r="Y3133" s="501"/>
    </row>
    <row r="3134" spans="25:25" hidden="1" x14ac:dyDescent="0.25">
      <c r="Y3134" s="501"/>
    </row>
    <row r="3135" spans="25:25" hidden="1" x14ac:dyDescent="0.25">
      <c r="Y3135" s="501"/>
    </row>
    <row r="3136" spans="25:25" hidden="1" x14ac:dyDescent="0.25">
      <c r="Y3136" s="501"/>
    </row>
    <row r="3137" spans="25:25" hidden="1" x14ac:dyDescent="0.25">
      <c r="Y3137" s="501"/>
    </row>
    <row r="3138" spans="25:25" hidden="1" x14ac:dyDescent="0.25">
      <c r="Y3138" s="501"/>
    </row>
    <row r="3139" spans="25:25" hidden="1" x14ac:dyDescent="0.25">
      <c r="Y3139" s="501"/>
    </row>
    <row r="3140" spans="25:25" hidden="1" x14ac:dyDescent="0.25">
      <c r="Y3140" s="501"/>
    </row>
    <row r="3141" spans="25:25" hidden="1" x14ac:dyDescent="0.25">
      <c r="Y3141" s="501"/>
    </row>
    <row r="3142" spans="25:25" hidden="1" x14ac:dyDescent="0.25">
      <c r="Y3142" s="501"/>
    </row>
    <row r="3143" spans="25:25" hidden="1" x14ac:dyDescent="0.25">
      <c r="Y3143" s="501"/>
    </row>
    <row r="3144" spans="25:25" hidden="1" x14ac:dyDescent="0.25">
      <c r="Y3144" s="501"/>
    </row>
    <row r="3145" spans="25:25" hidden="1" x14ac:dyDescent="0.25">
      <c r="Y3145" s="501"/>
    </row>
    <row r="3146" spans="25:25" hidden="1" x14ac:dyDescent="0.25">
      <c r="Y3146" s="501"/>
    </row>
    <row r="3147" spans="25:25" hidden="1" x14ac:dyDescent="0.25">
      <c r="Y3147" s="501"/>
    </row>
    <row r="3148" spans="25:25" hidden="1" x14ac:dyDescent="0.25">
      <c r="Y3148" s="501"/>
    </row>
    <row r="3149" spans="25:25" hidden="1" x14ac:dyDescent="0.25">
      <c r="Y3149" s="501"/>
    </row>
    <row r="3150" spans="25:25" hidden="1" x14ac:dyDescent="0.25">
      <c r="Y3150" s="501"/>
    </row>
    <row r="3151" spans="25:25" hidden="1" x14ac:dyDescent="0.25">
      <c r="Y3151" s="501"/>
    </row>
    <row r="3152" spans="25:25" hidden="1" x14ac:dyDescent="0.25">
      <c r="Y3152" s="501"/>
    </row>
    <row r="3153" spans="25:25" hidden="1" x14ac:dyDescent="0.25">
      <c r="Y3153" s="501"/>
    </row>
    <row r="3154" spans="25:25" hidden="1" x14ac:dyDescent="0.25">
      <c r="Y3154" s="501"/>
    </row>
    <row r="3155" spans="25:25" hidden="1" x14ac:dyDescent="0.25">
      <c r="Y3155" s="501"/>
    </row>
    <row r="3156" spans="25:25" hidden="1" x14ac:dyDescent="0.25">
      <c r="Y3156" s="501"/>
    </row>
    <row r="3157" spans="25:25" hidden="1" x14ac:dyDescent="0.25">
      <c r="Y3157" s="501"/>
    </row>
    <row r="3158" spans="25:25" hidden="1" x14ac:dyDescent="0.25">
      <c r="Y3158" s="501"/>
    </row>
    <row r="3159" spans="25:25" hidden="1" x14ac:dyDescent="0.25">
      <c r="Y3159" s="501"/>
    </row>
    <row r="3160" spans="25:25" hidden="1" x14ac:dyDescent="0.25">
      <c r="Y3160" s="501"/>
    </row>
    <row r="3161" spans="25:25" hidden="1" x14ac:dyDescent="0.25">
      <c r="Y3161" s="501"/>
    </row>
    <row r="3162" spans="25:25" hidden="1" x14ac:dyDescent="0.25">
      <c r="Y3162" s="501"/>
    </row>
    <row r="3163" spans="25:25" hidden="1" x14ac:dyDescent="0.25">
      <c r="Y3163" s="501"/>
    </row>
    <row r="3164" spans="25:25" hidden="1" x14ac:dyDescent="0.25">
      <c r="Y3164" s="501"/>
    </row>
    <row r="3165" spans="25:25" hidden="1" x14ac:dyDescent="0.25">
      <c r="Y3165" s="501"/>
    </row>
    <row r="3166" spans="25:25" hidden="1" x14ac:dyDescent="0.25">
      <c r="Y3166" s="501"/>
    </row>
    <row r="3167" spans="25:25" hidden="1" x14ac:dyDescent="0.25">
      <c r="Y3167" s="501"/>
    </row>
    <row r="3168" spans="25:25" hidden="1" x14ac:dyDescent="0.25">
      <c r="Y3168" s="501"/>
    </row>
    <row r="3169" spans="25:25" hidden="1" x14ac:dyDescent="0.25">
      <c r="Y3169" s="501"/>
    </row>
    <row r="3170" spans="25:25" hidden="1" x14ac:dyDescent="0.25">
      <c r="Y3170" s="501"/>
    </row>
    <row r="3171" spans="25:25" hidden="1" x14ac:dyDescent="0.25">
      <c r="Y3171" s="501"/>
    </row>
    <row r="3172" spans="25:25" hidden="1" x14ac:dyDescent="0.25">
      <c r="Y3172" s="501"/>
    </row>
    <row r="3173" spans="25:25" hidden="1" x14ac:dyDescent="0.25">
      <c r="Y3173" s="501"/>
    </row>
    <row r="3174" spans="25:25" hidden="1" x14ac:dyDescent="0.25">
      <c r="Y3174" s="501"/>
    </row>
    <row r="3175" spans="25:25" hidden="1" x14ac:dyDescent="0.25">
      <c r="Y3175" s="501"/>
    </row>
    <row r="3176" spans="25:25" hidden="1" x14ac:dyDescent="0.25">
      <c r="Y3176" s="501"/>
    </row>
    <row r="3177" spans="25:25" hidden="1" x14ac:dyDescent="0.25">
      <c r="Y3177" s="501"/>
    </row>
    <row r="3178" spans="25:25" hidden="1" x14ac:dyDescent="0.25">
      <c r="Y3178" s="501"/>
    </row>
    <row r="3179" spans="25:25" hidden="1" x14ac:dyDescent="0.25">
      <c r="Y3179" s="501"/>
    </row>
    <row r="3180" spans="25:25" hidden="1" x14ac:dyDescent="0.25">
      <c r="Y3180" s="501"/>
    </row>
    <row r="3181" spans="25:25" hidden="1" x14ac:dyDescent="0.25">
      <c r="Y3181" s="501"/>
    </row>
    <row r="3182" spans="25:25" hidden="1" x14ac:dyDescent="0.25">
      <c r="Y3182" s="501"/>
    </row>
    <row r="3183" spans="25:25" hidden="1" x14ac:dyDescent="0.25">
      <c r="Y3183" s="501"/>
    </row>
    <row r="3184" spans="25:25" hidden="1" x14ac:dyDescent="0.25">
      <c r="Y3184" s="501"/>
    </row>
    <row r="3185" spans="25:25" hidden="1" x14ac:dyDescent="0.25">
      <c r="Y3185" s="501"/>
    </row>
    <row r="3186" spans="25:25" hidden="1" x14ac:dyDescent="0.25">
      <c r="Y3186" s="501"/>
    </row>
    <row r="3187" spans="25:25" hidden="1" x14ac:dyDescent="0.25">
      <c r="Y3187" s="501"/>
    </row>
    <row r="3188" spans="25:25" hidden="1" x14ac:dyDescent="0.25">
      <c r="Y3188" s="501"/>
    </row>
    <row r="3189" spans="25:25" hidden="1" x14ac:dyDescent="0.25">
      <c r="Y3189" s="501"/>
    </row>
    <row r="3190" spans="25:25" hidden="1" x14ac:dyDescent="0.25">
      <c r="Y3190" s="501"/>
    </row>
    <row r="3191" spans="25:25" hidden="1" x14ac:dyDescent="0.25">
      <c r="Y3191" s="501"/>
    </row>
    <row r="3192" spans="25:25" hidden="1" x14ac:dyDescent="0.25">
      <c r="Y3192" s="501"/>
    </row>
    <row r="3193" spans="25:25" hidden="1" x14ac:dyDescent="0.25">
      <c r="Y3193" s="501"/>
    </row>
    <row r="3194" spans="25:25" hidden="1" x14ac:dyDescent="0.25">
      <c r="Y3194" s="501"/>
    </row>
    <row r="3195" spans="25:25" hidden="1" x14ac:dyDescent="0.25">
      <c r="Y3195" s="501"/>
    </row>
    <row r="3196" spans="25:25" hidden="1" x14ac:dyDescent="0.25">
      <c r="Y3196" s="501"/>
    </row>
    <row r="3197" spans="25:25" hidden="1" x14ac:dyDescent="0.25">
      <c r="Y3197" s="501"/>
    </row>
    <row r="3198" spans="25:25" hidden="1" x14ac:dyDescent="0.25">
      <c r="Y3198" s="501"/>
    </row>
    <row r="3199" spans="25:25" hidden="1" x14ac:dyDescent="0.25">
      <c r="Y3199" s="501"/>
    </row>
    <row r="3200" spans="25:25" hidden="1" x14ac:dyDescent="0.25">
      <c r="Y3200" s="501"/>
    </row>
    <row r="3201" spans="25:25" hidden="1" x14ac:dyDescent="0.25">
      <c r="Y3201" s="501"/>
    </row>
    <row r="3202" spans="25:25" hidden="1" x14ac:dyDescent="0.25">
      <c r="Y3202" s="501"/>
    </row>
    <row r="3203" spans="25:25" hidden="1" x14ac:dyDescent="0.25">
      <c r="Y3203" s="501"/>
    </row>
    <row r="3204" spans="25:25" hidden="1" x14ac:dyDescent="0.25">
      <c r="Y3204" s="501"/>
    </row>
    <row r="3205" spans="25:25" hidden="1" x14ac:dyDescent="0.25">
      <c r="Y3205" s="501"/>
    </row>
    <row r="3206" spans="25:25" hidden="1" x14ac:dyDescent="0.25">
      <c r="Y3206" s="501"/>
    </row>
    <row r="3207" spans="25:25" hidden="1" x14ac:dyDescent="0.25">
      <c r="Y3207" s="501"/>
    </row>
    <row r="3208" spans="25:25" hidden="1" x14ac:dyDescent="0.25">
      <c r="Y3208" s="501"/>
    </row>
    <row r="3209" spans="25:25" hidden="1" x14ac:dyDescent="0.25">
      <c r="Y3209" s="501"/>
    </row>
    <row r="3210" spans="25:25" hidden="1" x14ac:dyDescent="0.25">
      <c r="Y3210" s="501"/>
    </row>
    <row r="3211" spans="25:25" hidden="1" x14ac:dyDescent="0.25">
      <c r="Y3211" s="501"/>
    </row>
    <row r="3212" spans="25:25" hidden="1" x14ac:dyDescent="0.25">
      <c r="Y3212" s="501"/>
    </row>
    <row r="3213" spans="25:25" hidden="1" x14ac:dyDescent="0.25">
      <c r="Y3213" s="501"/>
    </row>
    <row r="3214" spans="25:25" hidden="1" x14ac:dyDescent="0.25">
      <c r="Y3214" s="501"/>
    </row>
    <row r="3215" spans="25:25" hidden="1" x14ac:dyDescent="0.25">
      <c r="Y3215" s="501"/>
    </row>
    <row r="3216" spans="25:25" hidden="1" x14ac:dyDescent="0.25">
      <c r="Y3216" s="501"/>
    </row>
    <row r="3217" spans="25:25" hidden="1" x14ac:dyDescent="0.25">
      <c r="Y3217" s="501"/>
    </row>
    <row r="3218" spans="25:25" hidden="1" x14ac:dyDescent="0.25">
      <c r="Y3218" s="501"/>
    </row>
    <row r="3219" spans="25:25" hidden="1" x14ac:dyDescent="0.25">
      <c r="Y3219" s="501"/>
    </row>
    <row r="3220" spans="25:25" hidden="1" x14ac:dyDescent="0.25">
      <c r="Y3220" s="501"/>
    </row>
    <row r="3221" spans="25:25" hidden="1" x14ac:dyDescent="0.25">
      <c r="Y3221" s="501"/>
    </row>
    <row r="3222" spans="25:25" hidden="1" x14ac:dyDescent="0.25">
      <c r="Y3222" s="501"/>
    </row>
    <row r="3223" spans="25:25" hidden="1" x14ac:dyDescent="0.25">
      <c r="Y3223" s="501"/>
    </row>
    <row r="3224" spans="25:25" hidden="1" x14ac:dyDescent="0.25">
      <c r="Y3224" s="501"/>
    </row>
    <row r="3225" spans="25:25" hidden="1" x14ac:dyDescent="0.25">
      <c r="Y3225" s="501"/>
    </row>
    <row r="3226" spans="25:25" hidden="1" x14ac:dyDescent="0.25">
      <c r="Y3226" s="501"/>
    </row>
    <row r="3227" spans="25:25" hidden="1" x14ac:dyDescent="0.25">
      <c r="Y3227" s="501"/>
    </row>
    <row r="3228" spans="25:25" hidden="1" x14ac:dyDescent="0.25">
      <c r="Y3228" s="501"/>
    </row>
    <row r="3229" spans="25:25" hidden="1" x14ac:dyDescent="0.25">
      <c r="Y3229" s="501"/>
    </row>
    <row r="3230" spans="25:25" hidden="1" x14ac:dyDescent="0.25">
      <c r="Y3230" s="501"/>
    </row>
    <row r="3231" spans="25:25" hidden="1" x14ac:dyDescent="0.25">
      <c r="Y3231" s="501"/>
    </row>
    <row r="3232" spans="25:25" hidden="1" x14ac:dyDescent="0.25">
      <c r="Y3232" s="501"/>
    </row>
    <row r="3233" spans="25:25" hidden="1" x14ac:dyDescent="0.25">
      <c r="Y3233" s="501"/>
    </row>
    <row r="3234" spans="25:25" hidden="1" x14ac:dyDescent="0.25">
      <c r="Y3234" s="501"/>
    </row>
    <row r="3235" spans="25:25" hidden="1" x14ac:dyDescent="0.25">
      <c r="Y3235" s="501"/>
    </row>
    <row r="3236" spans="25:25" hidden="1" x14ac:dyDescent="0.25">
      <c r="Y3236" s="501"/>
    </row>
    <row r="3237" spans="25:25" hidden="1" x14ac:dyDescent="0.25">
      <c r="Y3237" s="501"/>
    </row>
    <row r="3238" spans="25:25" hidden="1" x14ac:dyDescent="0.25">
      <c r="Y3238" s="501"/>
    </row>
    <row r="3239" spans="25:25" hidden="1" x14ac:dyDescent="0.25">
      <c r="Y3239" s="501"/>
    </row>
    <row r="3240" spans="25:25" hidden="1" x14ac:dyDescent="0.25">
      <c r="Y3240" s="501"/>
    </row>
    <row r="3241" spans="25:25" hidden="1" x14ac:dyDescent="0.25">
      <c r="Y3241" s="501"/>
    </row>
    <row r="3242" spans="25:25" hidden="1" x14ac:dyDescent="0.25">
      <c r="Y3242" s="501"/>
    </row>
    <row r="3243" spans="25:25" hidden="1" x14ac:dyDescent="0.25">
      <c r="Y3243" s="501"/>
    </row>
    <row r="3244" spans="25:25" hidden="1" x14ac:dyDescent="0.25">
      <c r="Y3244" s="501"/>
    </row>
    <row r="3245" spans="25:25" hidden="1" x14ac:dyDescent="0.25">
      <c r="Y3245" s="501"/>
    </row>
    <row r="3246" spans="25:25" hidden="1" x14ac:dyDescent="0.25">
      <c r="Y3246" s="501"/>
    </row>
    <row r="3247" spans="25:25" hidden="1" x14ac:dyDescent="0.25">
      <c r="Y3247" s="501"/>
    </row>
    <row r="3248" spans="25:25" hidden="1" x14ac:dyDescent="0.25">
      <c r="Y3248" s="501"/>
    </row>
    <row r="3249" spans="25:25" hidden="1" x14ac:dyDescent="0.25">
      <c r="Y3249" s="501"/>
    </row>
    <row r="3250" spans="25:25" hidden="1" x14ac:dyDescent="0.25">
      <c r="Y3250" s="501"/>
    </row>
    <row r="3251" spans="25:25" hidden="1" x14ac:dyDescent="0.25">
      <c r="Y3251" s="501"/>
    </row>
    <row r="3252" spans="25:25" hidden="1" x14ac:dyDescent="0.25">
      <c r="Y3252" s="501"/>
    </row>
    <row r="3253" spans="25:25" hidden="1" x14ac:dyDescent="0.25">
      <c r="Y3253" s="501"/>
    </row>
    <row r="3254" spans="25:25" hidden="1" x14ac:dyDescent="0.25">
      <c r="Y3254" s="501"/>
    </row>
    <row r="3255" spans="25:25" hidden="1" x14ac:dyDescent="0.25">
      <c r="Y3255" s="501"/>
    </row>
    <row r="3256" spans="25:25" hidden="1" x14ac:dyDescent="0.25">
      <c r="Y3256" s="501"/>
    </row>
    <row r="3257" spans="25:25" hidden="1" x14ac:dyDescent="0.25">
      <c r="Y3257" s="501"/>
    </row>
    <row r="3258" spans="25:25" hidden="1" x14ac:dyDescent="0.25">
      <c r="Y3258" s="501"/>
    </row>
    <row r="3259" spans="25:25" hidden="1" x14ac:dyDescent="0.25">
      <c r="Y3259" s="501"/>
    </row>
    <row r="3260" spans="25:25" hidden="1" x14ac:dyDescent="0.25">
      <c r="Y3260" s="501"/>
    </row>
    <row r="3261" spans="25:25" hidden="1" x14ac:dyDescent="0.25">
      <c r="Y3261" s="501"/>
    </row>
    <row r="3262" spans="25:25" hidden="1" x14ac:dyDescent="0.25">
      <c r="Y3262" s="501"/>
    </row>
    <row r="3263" spans="25:25" hidden="1" x14ac:dyDescent="0.25">
      <c r="Y3263" s="501"/>
    </row>
    <row r="3264" spans="25:25" hidden="1" x14ac:dyDescent="0.25">
      <c r="Y3264" s="501"/>
    </row>
    <row r="3265" spans="25:25" hidden="1" x14ac:dyDescent="0.25">
      <c r="Y3265" s="501"/>
    </row>
    <row r="3266" spans="25:25" hidden="1" x14ac:dyDescent="0.25">
      <c r="Y3266" s="501"/>
    </row>
    <row r="3267" spans="25:25" hidden="1" x14ac:dyDescent="0.25">
      <c r="Y3267" s="501"/>
    </row>
    <row r="3268" spans="25:25" hidden="1" x14ac:dyDescent="0.25">
      <c r="Y3268" s="501"/>
    </row>
    <row r="3269" spans="25:25" hidden="1" x14ac:dyDescent="0.25">
      <c r="Y3269" s="501"/>
    </row>
    <row r="3270" spans="25:25" hidden="1" x14ac:dyDescent="0.25">
      <c r="Y3270" s="501"/>
    </row>
    <row r="3271" spans="25:25" hidden="1" x14ac:dyDescent="0.25">
      <c r="Y3271" s="501"/>
    </row>
    <row r="3272" spans="25:25" hidden="1" x14ac:dyDescent="0.25">
      <c r="Y3272" s="501"/>
    </row>
    <row r="3273" spans="25:25" hidden="1" x14ac:dyDescent="0.25">
      <c r="Y3273" s="501"/>
    </row>
    <row r="3274" spans="25:25" hidden="1" x14ac:dyDescent="0.25">
      <c r="Y3274" s="501"/>
    </row>
    <row r="3275" spans="25:25" hidden="1" x14ac:dyDescent="0.25">
      <c r="Y3275" s="501"/>
    </row>
    <row r="3276" spans="25:25" hidden="1" x14ac:dyDescent="0.25">
      <c r="Y3276" s="501"/>
    </row>
    <row r="3277" spans="25:25" hidden="1" x14ac:dyDescent="0.25">
      <c r="Y3277" s="501"/>
    </row>
    <row r="3278" spans="25:25" hidden="1" x14ac:dyDescent="0.25">
      <c r="Y3278" s="501"/>
    </row>
    <row r="3279" spans="25:25" hidden="1" x14ac:dyDescent="0.25">
      <c r="Y3279" s="501"/>
    </row>
    <row r="3280" spans="25:25" hidden="1" x14ac:dyDescent="0.25">
      <c r="Y3280" s="501"/>
    </row>
    <row r="3281" spans="25:25" hidden="1" x14ac:dyDescent="0.25">
      <c r="Y3281" s="501"/>
    </row>
    <row r="3282" spans="25:25" hidden="1" x14ac:dyDescent="0.25">
      <c r="Y3282" s="501"/>
    </row>
    <row r="3283" spans="25:25" hidden="1" x14ac:dyDescent="0.25">
      <c r="Y3283" s="501"/>
    </row>
    <row r="3284" spans="25:25" hidden="1" x14ac:dyDescent="0.25">
      <c r="Y3284" s="501"/>
    </row>
    <row r="3285" spans="25:25" hidden="1" x14ac:dyDescent="0.25">
      <c r="Y3285" s="501"/>
    </row>
    <row r="3286" spans="25:25" hidden="1" x14ac:dyDescent="0.25">
      <c r="Y3286" s="501"/>
    </row>
    <row r="3287" spans="25:25" hidden="1" x14ac:dyDescent="0.25">
      <c r="Y3287" s="501"/>
    </row>
    <row r="3288" spans="25:25" hidden="1" x14ac:dyDescent="0.25">
      <c r="Y3288" s="501"/>
    </row>
    <row r="3289" spans="25:25" hidden="1" x14ac:dyDescent="0.25">
      <c r="Y3289" s="501"/>
    </row>
    <row r="3290" spans="25:25" hidden="1" x14ac:dyDescent="0.25">
      <c r="Y3290" s="501"/>
    </row>
    <row r="3291" spans="25:25" hidden="1" x14ac:dyDescent="0.25">
      <c r="Y3291" s="501"/>
    </row>
    <row r="3292" spans="25:25" hidden="1" x14ac:dyDescent="0.25">
      <c r="Y3292" s="501"/>
    </row>
    <row r="3293" spans="25:25" hidden="1" x14ac:dyDescent="0.25">
      <c r="Y3293" s="501"/>
    </row>
    <row r="3294" spans="25:25" hidden="1" x14ac:dyDescent="0.25">
      <c r="Y3294" s="501"/>
    </row>
    <row r="3295" spans="25:25" hidden="1" x14ac:dyDescent="0.25">
      <c r="Y3295" s="501"/>
    </row>
    <row r="3296" spans="25:25" hidden="1" x14ac:dyDescent="0.25">
      <c r="Y3296" s="501"/>
    </row>
    <row r="3297" spans="25:25" hidden="1" x14ac:dyDescent="0.25">
      <c r="Y3297" s="501"/>
    </row>
    <row r="3298" spans="25:25" hidden="1" x14ac:dyDescent="0.25">
      <c r="Y3298" s="501"/>
    </row>
    <row r="3299" spans="25:25" hidden="1" x14ac:dyDescent="0.25">
      <c r="Y3299" s="501"/>
    </row>
    <row r="3300" spans="25:25" hidden="1" x14ac:dyDescent="0.25">
      <c r="Y3300" s="501"/>
    </row>
    <row r="3301" spans="25:25" hidden="1" x14ac:dyDescent="0.25">
      <c r="Y3301" s="501"/>
    </row>
    <row r="3302" spans="25:25" hidden="1" x14ac:dyDescent="0.25">
      <c r="Y3302" s="501"/>
    </row>
    <row r="3303" spans="25:25" hidden="1" x14ac:dyDescent="0.25">
      <c r="Y3303" s="501"/>
    </row>
    <row r="3304" spans="25:25" hidden="1" x14ac:dyDescent="0.25">
      <c r="Y3304" s="501"/>
    </row>
    <row r="3305" spans="25:25" hidden="1" x14ac:dyDescent="0.25">
      <c r="Y3305" s="501"/>
    </row>
    <row r="3306" spans="25:25" hidden="1" x14ac:dyDescent="0.25">
      <c r="Y3306" s="501"/>
    </row>
    <row r="3307" spans="25:25" hidden="1" x14ac:dyDescent="0.25">
      <c r="Y3307" s="501"/>
    </row>
    <row r="3308" spans="25:25" hidden="1" x14ac:dyDescent="0.25">
      <c r="Y3308" s="501"/>
    </row>
    <row r="3309" spans="25:25" hidden="1" x14ac:dyDescent="0.25">
      <c r="Y3309" s="501"/>
    </row>
    <row r="3310" spans="25:25" hidden="1" x14ac:dyDescent="0.25">
      <c r="Y3310" s="501"/>
    </row>
    <row r="3311" spans="25:25" hidden="1" x14ac:dyDescent="0.25">
      <c r="Y3311" s="501"/>
    </row>
    <row r="3312" spans="25:25" hidden="1" x14ac:dyDescent="0.25">
      <c r="Y3312" s="501"/>
    </row>
    <row r="3313" spans="25:25" hidden="1" x14ac:dyDescent="0.25">
      <c r="Y3313" s="501"/>
    </row>
    <row r="3314" spans="25:25" hidden="1" x14ac:dyDescent="0.25">
      <c r="Y3314" s="501"/>
    </row>
    <row r="3315" spans="25:25" hidden="1" x14ac:dyDescent="0.25">
      <c r="Y3315" s="501"/>
    </row>
    <row r="3316" spans="25:25" hidden="1" x14ac:dyDescent="0.25">
      <c r="Y3316" s="501"/>
    </row>
    <row r="3317" spans="25:25" hidden="1" x14ac:dyDescent="0.25">
      <c r="Y3317" s="501"/>
    </row>
    <row r="3318" spans="25:25" hidden="1" x14ac:dyDescent="0.25">
      <c r="Y3318" s="501"/>
    </row>
    <row r="3319" spans="25:25" hidden="1" x14ac:dyDescent="0.25">
      <c r="Y3319" s="501"/>
    </row>
    <row r="3320" spans="25:25" hidden="1" x14ac:dyDescent="0.25">
      <c r="Y3320" s="501"/>
    </row>
    <row r="3321" spans="25:25" hidden="1" x14ac:dyDescent="0.25">
      <c r="Y3321" s="501"/>
    </row>
    <row r="3322" spans="25:25" hidden="1" x14ac:dyDescent="0.25">
      <c r="Y3322" s="501"/>
    </row>
    <row r="3323" spans="25:25" hidden="1" x14ac:dyDescent="0.25">
      <c r="Y3323" s="501"/>
    </row>
    <row r="3324" spans="25:25" hidden="1" x14ac:dyDescent="0.25">
      <c r="Y3324" s="501"/>
    </row>
    <row r="3325" spans="25:25" hidden="1" x14ac:dyDescent="0.25">
      <c r="Y3325" s="501"/>
    </row>
    <row r="3326" spans="25:25" hidden="1" x14ac:dyDescent="0.25">
      <c r="Y3326" s="501"/>
    </row>
    <row r="3327" spans="25:25" hidden="1" x14ac:dyDescent="0.25">
      <c r="Y3327" s="501"/>
    </row>
    <row r="3328" spans="25:25" hidden="1" x14ac:dyDescent="0.25">
      <c r="Y3328" s="501"/>
    </row>
    <row r="3329" spans="25:25" hidden="1" x14ac:dyDescent="0.25">
      <c r="Y3329" s="501"/>
    </row>
    <row r="3330" spans="25:25" hidden="1" x14ac:dyDescent="0.25">
      <c r="Y3330" s="501"/>
    </row>
    <row r="3331" spans="25:25" hidden="1" x14ac:dyDescent="0.25">
      <c r="Y3331" s="501"/>
    </row>
    <row r="3332" spans="25:25" hidden="1" x14ac:dyDescent="0.25">
      <c r="Y3332" s="501"/>
    </row>
    <row r="3333" spans="25:25" hidden="1" x14ac:dyDescent="0.25">
      <c r="Y3333" s="501"/>
    </row>
    <row r="3334" spans="25:25" hidden="1" x14ac:dyDescent="0.25">
      <c r="Y3334" s="501"/>
    </row>
    <row r="3335" spans="25:25" hidden="1" x14ac:dyDescent="0.25">
      <c r="Y3335" s="501"/>
    </row>
    <row r="3336" spans="25:25" hidden="1" x14ac:dyDescent="0.25">
      <c r="Y3336" s="501"/>
    </row>
    <row r="3337" spans="25:25" hidden="1" x14ac:dyDescent="0.25">
      <c r="Y3337" s="501"/>
    </row>
    <row r="3338" spans="25:25" hidden="1" x14ac:dyDescent="0.25">
      <c r="Y3338" s="501"/>
    </row>
    <row r="3339" spans="25:25" hidden="1" x14ac:dyDescent="0.25">
      <c r="Y3339" s="501"/>
    </row>
    <row r="3340" spans="25:25" hidden="1" x14ac:dyDescent="0.25">
      <c r="Y3340" s="501"/>
    </row>
    <row r="3341" spans="25:25" hidden="1" x14ac:dyDescent="0.25">
      <c r="Y3341" s="501"/>
    </row>
    <row r="3342" spans="25:25" hidden="1" x14ac:dyDescent="0.25">
      <c r="Y3342" s="501"/>
    </row>
    <row r="3343" spans="25:25" hidden="1" x14ac:dyDescent="0.25">
      <c r="Y3343" s="501"/>
    </row>
    <row r="3344" spans="25:25" hidden="1" x14ac:dyDescent="0.25">
      <c r="Y3344" s="501"/>
    </row>
    <row r="3345" spans="25:25" hidden="1" x14ac:dyDescent="0.25">
      <c r="Y3345" s="501"/>
    </row>
    <row r="3346" spans="25:25" hidden="1" x14ac:dyDescent="0.25">
      <c r="Y3346" s="501"/>
    </row>
    <row r="3347" spans="25:25" hidden="1" x14ac:dyDescent="0.25">
      <c r="Y3347" s="501"/>
    </row>
    <row r="3348" spans="25:25" hidden="1" x14ac:dyDescent="0.25">
      <c r="Y3348" s="501"/>
    </row>
    <row r="3349" spans="25:25" hidden="1" x14ac:dyDescent="0.25">
      <c r="Y3349" s="501"/>
    </row>
    <row r="3350" spans="25:25" hidden="1" x14ac:dyDescent="0.25">
      <c r="Y3350" s="501"/>
    </row>
    <row r="3351" spans="25:25" hidden="1" x14ac:dyDescent="0.25">
      <c r="Y3351" s="501"/>
    </row>
    <row r="3352" spans="25:25" hidden="1" x14ac:dyDescent="0.25">
      <c r="Y3352" s="501"/>
    </row>
    <row r="3353" spans="25:25" hidden="1" x14ac:dyDescent="0.25">
      <c r="Y3353" s="501"/>
    </row>
    <row r="3354" spans="25:25" hidden="1" x14ac:dyDescent="0.25">
      <c r="Y3354" s="501"/>
    </row>
    <row r="3355" spans="25:25" hidden="1" x14ac:dyDescent="0.25">
      <c r="Y3355" s="501"/>
    </row>
    <row r="3356" spans="25:25" hidden="1" x14ac:dyDescent="0.25">
      <c r="Y3356" s="501"/>
    </row>
    <row r="3357" spans="25:25" hidden="1" x14ac:dyDescent="0.25">
      <c r="Y3357" s="501"/>
    </row>
    <row r="3358" spans="25:25" hidden="1" x14ac:dyDescent="0.25">
      <c r="Y3358" s="501"/>
    </row>
    <row r="3359" spans="25:25" hidden="1" x14ac:dyDescent="0.25">
      <c r="Y3359" s="501"/>
    </row>
    <row r="3360" spans="25:25" hidden="1" x14ac:dyDescent="0.25">
      <c r="Y3360" s="501"/>
    </row>
    <row r="3361" spans="25:25" hidden="1" x14ac:dyDescent="0.25">
      <c r="Y3361" s="501"/>
    </row>
    <row r="3362" spans="25:25" hidden="1" x14ac:dyDescent="0.25">
      <c r="Y3362" s="501"/>
    </row>
    <row r="3363" spans="25:25" hidden="1" x14ac:dyDescent="0.25">
      <c r="Y3363" s="501"/>
    </row>
    <row r="3364" spans="25:25" hidden="1" x14ac:dyDescent="0.25">
      <c r="Y3364" s="501"/>
    </row>
    <row r="3365" spans="25:25" hidden="1" x14ac:dyDescent="0.25">
      <c r="Y3365" s="501"/>
    </row>
    <row r="3366" spans="25:25" hidden="1" x14ac:dyDescent="0.25">
      <c r="Y3366" s="501"/>
    </row>
    <row r="3367" spans="25:25" hidden="1" x14ac:dyDescent="0.25">
      <c r="Y3367" s="501"/>
    </row>
    <row r="3368" spans="25:25" hidden="1" x14ac:dyDescent="0.25">
      <c r="Y3368" s="501"/>
    </row>
    <row r="3369" spans="25:25" hidden="1" x14ac:dyDescent="0.25">
      <c r="Y3369" s="501"/>
    </row>
    <row r="3370" spans="25:25" hidden="1" x14ac:dyDescent="0.25">
      <c r="Y3370" s="501"/>
    </row>
    <row r="3371" spans="25:25" hidden="1" x14ac:dyDescent="0.25">
      <c r="Y3371" s="501"/>
    </row>
    <row r="3372" spans="25:25" hidden="1" x14ac:dyDescent="0.25">
      <c r="Y3372" s="501"/>
    </row>
    <row r="3373" spans="25:25" hidden="1" x14ac:dyDescent="0.25">
      <c r="Y3373" s="501"/>
    </row>
    <row r="3374" spans="25:25" hidden="1" x14ac:dyDescent="0.25">
      <c r="Y3374" s="501"/>
    </row>
    <row r="3375" spans="25:25" hidden="1" x14ac:dyDescent="0.25">
      <c r="Y3375" s="501"/>
    </row>
    <row r="3376" spans="25:25" hidden="1" x14ac:dyDescent="0.25">
      <c r="Y3376" s="501"/>
    </row>
    <row r="3377" spans="25:25" hidden="1" x14ac:dyDescent="0.25">
      <c r="Y3377" s="501"/>
    </row>
    <row r="3378" spans="25:25" hidden="1" x14ac:dyDescent="0.25">
      <c r="Y3378" s="501"/>
    </row>
    <row r="3379" spans="25:25" hidden="1" x14ac:dyDescent="0.25">
      <c r="Y3379" s="501"/>
    </row>
    <row r="3380" spans="25:25" hidden="1" x14ac:dyDescent="0.25">
      <c r="Y3380" s="501"/>
    </row>
    <row r="3381" spans="25:25" hidden="1" x14ac:dyDescent="0.25">
      <c r="Y3381" s="501"/>
    </row>
    <row r="3382" spans="25:25" hidden="1" x14ac:dyDescent="0.25">
      <c r="Y3382" s="501"/>
    </row>
    <row r="3383" spans="25:25" hidden="1" x14ac:dyDescent="0.25">
      <c r="Y3383" s="501"/>
    </row>
    <row r="3384" spans="25:25" hidden="1" x14ac:dyDescent="0.25">
      <c r="Y3384" s="501"/>
    </row>
    <row r="3385" spans="25:25" hidden="1" x14ac:dyDescent="0.25">
      <c r="Y3385" s="501"/>
    </row>
    <row r="3386" spans="25:25" hidden="1" x14ac:dyDescent="0.25">
      <c r="Y3386" s="501"/>
    </row>
    <row r="3387" spans="25:25" hidden="1" x14ac:dyDescent="0.25">
      <c r="Y3387" s="501"/>
    </row>
    <row r="3388" spans="25:25" hidden="1" x14ac:dyDescent="0.25">
      <c r="Y3388" s="501"/>
    </row>
    <row r="3389" spans="25:25" hidden="1" x14ac:dyDescent="0.25">
      <c r="Y3389" s="501"/>
    </row>
    <row r="3390" spans="25:25" hidden="1" x14ac:dyDescent="0.25">
      <c r="Y3390" s="501"/>
    </row>
    <row r="3391" spans="25:25" hidden="1" x14ac:dyDescent="0.25">
      <c r="Y3391" s="501"/>
    </row>
    <row r="3392" spans="25:25" hidden="1" x14ac:dyDescent="0.25">
      <c r="Y3392" s="501"/>
    </row>
    <row r="3393" spans="25:25" hidden="1" x14ac:dyDescent="0.25">
      <c r="Y3393" s="501"/>
    </row>
    <row r="3394" spans="25:25" hidden="1" x14ac:dyDescent="0.25">
      <c r="Y3394" s="501"/>
    </row>
    <row r="3395" spans="25:25" hidden="1" x14ac:dyDescent="0.25">
      <c r="Y3395" s="501"/>
    </row>
    <row r="3396" spans="25:25" hidden="1" x14ac:dyDescent="0.25">
      <c r="Y3396" s="501"/>
    </row>
    <row r="3397" spans="25:25" hidden="1" x14ac:dyDescent="0.25">
      <c r="Y3397" s="501"/>
    </row>
    <row r="3398" spans="25:25" hidden="1" x14ac:dyDescent="0.25">
      <c r="Y3398" s="501"/>
    </row>
    <row r="3399" spans="25:25" hidden="1" x14ac:dyDescent="0.25">
      <c r="Y3399" s="501"/>
    </row>
    <row r="3400" spans="25:25" hidden="1" x14ac:dyDescent="0.25">
      <c r="Y3400" s="501"/>
    </row>
    <row r="3401" spans="25:25" hidden="1" x14ac:dyDescent="0.25">
      <c r="Y3401" s="501"/>
    </row>
    <row r="3402" spans="25:25" hidden="1" x14ac:dyDescent="0.25">
      <c r="Y3402" s="501"/>
    </row>
    <row r="3403" spans="25:25" hidden="1" x14ac:dyDescent="0.25">
      <c r="Y3403" s="501"/>
    </row>
    <row r="3404" spans="25:25" hidden="1" x14ac:dyDescent="0.25">
      <c r="Y3404" s="501"/>
    </row>
    <row r="3405" spans="25:25" hidden="1" x14ac:dyDescent="0.25">
      <c r="Y3405" s="501"/>
    </row>
    <row r="3406" spans="25:25" hidden="1" x14ac:dyDescent="0.25">
      <c r="Y3406" s="501"/>
    </row>
    <row r="3407" spans="25:25" hidden="1" x14ac:dyDescent="0.25">
      <c r="Y3407" s="501"/>
    </row>
    <row r="3408" spans="25:25" hidden="1" x14ac:dyDescent="0.25">
      <c r="Y3408" s="501"/>
    </row>
    <row r="3409" spans="25:25" hidden="1" x14ac:dyDescent="0.25">
      <c r="Y3409" s="501"/>
    </row>
    <row r="3410" spans="25:25" hidden="1" x14ac:dyDescent="0.25">
      <c r="Y3410" s="501"/>
    </row>
    <row r="3411" spans="25:25" hidden="1" x14ac:dyDescent="0.25">
      <c r="Y3411" s="501"/>
    </row>
    <row r="3412" spans="25:25" hidden="1" x14ac:dyDescent="0.25">
      <c r="Y3412" s="501"/>
    </row>
    <row r="3413" spans="25:25" hidden="1" x14ac:dyDescent="0.25">
      <c r="Y3413" s="501"/>
    </row>
    <row r="3414" spans="25:25" hidden="1" x14ac:dyDescent="0.25">
      <c r="Y3414" s="501"/>
    </row>
    <row r="3415" spans="25:25" hidden="1" x14ac:dyDescent="0.25">
      <c r="Y3415" s="501"/>
    </row>
    <row r="3416" spans="25:25" hidden="1" x14ac:dyDescent="0.25">
      <c r="Y3416" s="501"/>
    </row>
    <row r="3417" spans="25:25" hidden="1" x14ac:dyDescent="0.25">
      <c r="Y3417" s="501"/>
    </row>
    <row r="3418" spans="25:25" hidden="1" x14ac:dyDescent="0.25">
      <c r="Y3418" s="501"/>
    </row>
    <row r="3419" spans="25:25" hidden="1" x14ac:dyDescent="0.25">
      <c r="Y3419" s="501"/>
    </row>
    <row r="3420" spans="25:25" hidden="1" x14ac:dyDescent="0.25">
      <c r="Y3420" s="501"/>
    </row>
    <row r="3421" spans="25:25" hidden="1" x14ac:dyDescent="0.25">
      <c r="Y3421" s="501"/>
    </row>
    <row r="3422" spans="25:25" hidden="1" x14ac:dyDescent="0.25">
      <c r="Y3422" s="501"/>
    </row>
    <row r="3423" spans="25:25" hidden="1" x14ac:dyDescent="0.25">
      <c r="Y3423" s="501"/>
    </row>
    <row r="3424" spans="25:25" hidden="1" x14ac:dyDescent="0.25">
      <c r="Y3424" s="501"/>
    </row>
    <row r="3425" spans="25:25" hidden="1" x14ac:dyDescent="0.25">
      <c r="Y3425" s="501"/>
    </row>
    <row r="3426" spans="25:25" hidden="1" x14ac:dyDescent="0.25">
      <c r="Y3426" s="501"/>
    </row>
    <row r="3427" spans="25:25" hidden="1" x14ac:dyDescent="0.25">
      <c r="Y3427" s="501"/>
    </row>
    <row r="3428" spans="25:25" hidden="1" x14ac:dyDescent="0.25">
      <c r="Y3428" s="501"/>
    </row>
    <row r="3429" spans="25:25" hidden="1" x14ac:dyDescent="0.25">
      <c r="Y3429" s="501"/>
    </row>
    <row r="3430" spans="25:25" hidden="1" x14ac:dyDescent="0.25">
      <c r="Y3430" s="501"/>
    </row>
    <row r="3431" spans="25:25" hidden="1" x14ac:dyDescent="0.25">
      <c r="Y3431" s="501"/>
    </row>
    <row r="3432" spans="25:25" hidden="1" x14ac:dyDescent="0.25">
      <c r="Y3432" s="501"/>
    </row>
    <row r="3433" spans="25:25" hidden="1" x14ac:dyDescent="0.25">
      <c r="Y3433" s="501"/>
    </row>
    <row r="3434" spans="25:25" hidden="1" x14ac:dyDescent="0.25">
      <c r="Y3434" s="501"/>
    </row>
    <row r="3435" spans="25:25" hidden="1" x14ac:dyDescent="0.25">
      <c r="Y3435" s="501"/>
    </row>
    <row r="3436" spans="25:25" hidden="1" x14ac:dyDescent="0.25">
      <c r="Y3436" s="501"/>
    </row>
    <row r="3437" spans="25:25" hidden="1" x14ac:dyDescent="0.25">
      <c r="Y3437" s="501"/>
    </row>
    <row r="3438" spans="25:25" hidden="1" x14ac:dyDescent="0.25">
      <c r="Y3438" s="501"/>
    </row>
    <row r="3439" spans="25:25" hidden="1" x14ac:dyDescent="0.25">
      <c r="Y3439" s="501"/>
    </row>
    <row r="3440" spans="25:25" hidden="1" x14ac:dyDescent="0.25">
      <c r="Y3440" s="501"/>
    </row>
    <row r="3441" spans="25:25" hidden="1" x14ac:dyDescent="0.25">
      <c r="Y3441" s="501"/>
    </row>
    <row r="3442" spans="25:25" hidden="1" x14ac:dyDescent="0.25">
      <c r="Y3442" s="501"/>
    </row>
    <row r="3443" spans="25:25" hidden="1" x14ac:dyDescent="0.25">
      <c r="Y3443" s="501"/>
    </row>
    <row r="3444" spans="25:25" hidden="1" x14ac:dyDescent="0.25">
      <c r="Y3444" s="501"/>
    </row>
    <row r="3445" spans="25:25" hidden="1" x14ac:dyDescent="0.25">
      <c r="Y3445" s="501"/>
    </row>
    <row r="3446" spans="25:25" hidden="1" x14ac:dyDescent="0.25">
      <c r="Y3446" s="501"/>
    </row>
    <row r="3447" spans="25:25" hidden="1" x14ac:dyDescent="0.25">
      <c r="Y3447" s="501"/>
    </row>
    <row r="3448" spans="25:25" hidden="1" x14ac:dyDescent="0.25">
      <c r="Y3448" s="501"/>
    </row>
    <row r="3449" spans="25:25" hidden="1" x14ac:dyDescent="0.25">
      <c r="Y3449" s="501"/>
    </row>
    <row r="3450" spans="25:25" hidden="1" x14ac:dyDescent="0.25">
      <c r="Y3450" s="501"/>
    </row>
    <row r="3451" spans="25:25" hidden="1" x14ac:dyDescent="0.25">
      <c r="Y3451" s="501"/>
    </row>
    <row r="3452" spans="25:25" hidden="1" x14ac:dyDescent="0.25">
      <c r="Y3452" s="501"/>
    </row>
    <row r="3453" spans="25:25" hidden="1" x14ac:dyDescent="0.25">
      <c r="Y3453" s="501"/>
    </row>
    <row r="3454" spans="25:25" hidden="1" x14ac:dyDescent="0.25">
      <c r="Y3454" s="501"/>
    </row>
    <row r="3455" spans="25:25" hidden="1" x14ac:dyDescent="0.25">
      <c r="Y3455" s="501"/>
    </row>
    <row r="3456" spans="25:25" hidden="1" x14ac:dyDescent="0.25">
      <c r="Y3456" s="501"/>
    </row>
    <row r="3457" spans="25:25" hidden="1" x14ac:dyDescent="0.25">
      <c r="Y3457" s="501"/>
    </row>
    <row r="3458" spans="25:25" hidden="1" x14ac:dyDescent="0.25">
      <c r="Y3458" s="501"/>
    </row>
    <row r="3459" spans="25:25" hidden="1" x14ac:dyDescent="0.25">
      <c r="Y3459" s="501"/>
    </row>
    <row r="3460" spans="25:25" hidden="1" x14ac:dyDescent="0.25">
      <c r="Y3460" s="501"/>
    </row>
    <row r="3461" spans="25:25" hidden="1" x14ac:dyDescent="0.25">
      <c r="Y3461" s="501"/>
    </row>
    <row r="3462" spans="25:25" hidden="1" x14ac:dyDescent="0.25">
      <c r="Y3462" s="501"/>
    </row>
    <row r="3463" spans="25:25" hidden="1" x14ac:dyDescent="0.25">
      <c r="Y3463" s="501"/>
    </row>
    <row r="3464" spans="25:25" hidden="1" x14ac:dyDescent="0.25">
      <c r="Y3464" s="501"/>
    </row>
    <row r="3465" spans="25:25" hidden="1" x14ac:dyDescent="0.25">
      <c r="Y3465" s="501"/>
    </row>
    <row r="3466" spans="25:25" hidden="1" x14ac:dyDescent="0.25">
      <c r="Y3466" s="501"/>
    </row>
    <row r="3467" spans="25:25" hidden="1" x14ac:dyDescent="0.25">
      <c r="Y3467" s="501"/>
    </row>
    <row r="3468" spans="25:25" hidden="1" x14ac:dyDescent="0.25">
      <c r="Y3468" s="501"/>
    </row>
    <row r="3469" spans="25:25" hidden="1" x14ac:dyDescent="0.25">
      <c r="Y3469" s="501"/>
    </row>
    <row r="3470" spans="25:25" hidden="1" x14ac:dyDescent="0.25">
      <c r="Y3470" s="501"/>
    </row>
    <row r="3471" spans="25:25" hidden="1" x14ac:dyDescent="0.25">
      <c r="Y3471" s="501"/>
    </row>
    <row r="3472" spans="25:25" hidden="1" x14ac:dyDescent="0.25">
      <c r="Y3472" s="501"/>
    </row>
    <row r="3473" spans="25:25" hidden="1" x14ac:dyDescent="0.25">
      <c r="Y3473" s="501"/>
    </row>
    <row r="3474" spans="25:25" hidden="1" x14ac:dyDescent="0.25">
      <c r="Y3474" s="501"/>
    </row>
    <row r="3475" spans="25:25" hidden="1" x14ac:dyDescent="0.25">
      <c r="Y3475" s="501"/>
    </row>
    <row r="3476" spans="25:25" hidden="1" x14ac:dyDescent="0.25">
      <c r="Y3476" s="501"/>
    </row>
    <row r="3477" spans="25:25" hidden="1" x14ac:dyDescent="0.25">
      <c r="Y3477" s="501"/>
    </row>
    <row r="3478" spans="25:25" hidden="1" x14ac:dyDescent="0.25">
      <c r="Y3478" s="501"/>
    </row>
    <row r="3479" spans="25:25" hidden="1" x14ac:dyDescent="0.25">
      <c r="Y3479" s="501"/>
    </row>
    <row r="3480" spans="25:25" hidden="1" x14ac:dyDescent="0.25">
      <c r="Y3480" s="501"/>
    </row>
    <row r="3481" spans="25:25" hidden="1" x14ac:dyDescent="0.25">
      <c r="Y3481" s="501"/>
    </row>
    <row r="3482" spans="25:25" hidden="1" x14ac:dyDescent="0.25">
      <c r="Y3482" s="501"/>
    </row>
    <row r="3483" spans="25:25" hidden="1" x14ac:dyDescent="0.25">
      <c r="Y3483" s="501"/>
    </row>
    <row r="3484" spans="25:25" hidden="1" x14ac:dyDescent="0.25">
      <c r="Y3484" s="501"/>
    </row>
    <row r="3485" spans="25:25" hidden="1" x14ac:dyDescent="0.25">
      <c r="Y3485" s="501"/>
    </row>
    <row r="3486" spans="25:25" hidden="1" x14ac:dyDescent="0.25">
      <c r="Y3486" s="501"/>
    </row>
    <row r="3487" spans="25:25" hidden="1" x14ac:dyDescent="0.25">
      <c r="Y3487" s="501"/>
    </row>
    <row r="3488" spans="25:25" hidden="1" x14ac:dyDescent="0.25">
      <c r="Y3488" s="501"/>
    </row>
    <row r="3489" spans="25:25" hidden="1" x14ac:dyDescent="0.25">
      <c r="Y3489" s="501"/>
    </row>
    <row r="3490" spans="25:25" hidden="1" x14ac:dyDescent="0.25">
      <c r="Y3490" s="501"/>
    </row>
    <row r="3491" spans="25:25" hidden="1" x14ac:dyDescent="0.25">
      <c r="Y3491" s="501"/>
    </row>
    <row r="3492" spans="25:25" hidden="1" x14ac:dyDescent="0.25">
      <c r="Y3492" s="501"/>
    </row>
    <row r="3493" spans="25:25" hidden="1" x14ac:dyDescent="0.25">
      <c r="Y3493" s="501"/>
    </row>
    <row r="3494" spans="25:25" hidden="1" x14ac:dyDescent="0.25">
      <c r="Y3494" s="501"/>
    </row>
    <row r="3495" spans="25:25" hidden="1" x14ac:dyDescent="0.25">
      <c r="Y3495" s="501"/>
    </row>
    <row r="3496" spans="25:25" hidden="1" x14ac:dyDescent="0.25">
      <c r="Y3496" s="501"/>
    </row>
    <row r="3497" spans="25:25" hidden="1" x14ac:dyDescent="0.25">
      <c r="Y3497" s="501"/>
    </row>
    <row r="3498" spans="25:25" hidden="1" x14ac:dyDescent="0.25">
      <c r="Y3498" s="501"/>
    </row>
    <row r="3499" spans="25:25" hidden="1" x14ac:dyDescent="0.25">
      <c r="Y3499" s="501"/>
    </row>
    <row r="3500" spans="25:25" hidden="1" x14ac:dyDescent="0.25">
      <c r="Y3500" s="501"/>
    </row>
    <row r="3501" spans="25:25" hidden="1" x14ac:dyDescent="0.25">
      <c r="Y3501" s="501"/>
    </row>
    <row r="3502" spans="25:25" hidden="1" x14ac:dyDescent="0.25">
      <c r="Y3502" s="501"/>
    </row>
    <row r="3503" spans="25:25" hidden="1" x14ac:dyDescent="0.25">
      <c r="Y3503" s="501"/>
    </row>
    <row r="3504" spans="25:25" hidden="1" x14ac:dyDescent="0.25">
      <c r="Y3504" s="501"/>
    </row>
    <row r="3505" spans="25:25" hidden="1" x14ac:dyDescent="0.25">
      <c r="Y3505" s="501"/>
    </row>
    <row r="3506" spans="25:25" hidden="1" x14ac:dyDescent="0.25">
      <c r="Y3506" s="501"/>
    </row>
    <row r="3507" spans="25:25" hidden="1" x14ac:dyDescent="0.25">
      <c r="Y3507" s="501"/>
    </row>
    <row r="3508" spans="25:25" hidden="1" x14ac:dyDescent="0.25">
      <c r="Y3508" s="501"/>
    </row>
    <row r="3509" spans="25:25" hidden="1" x14ac:dyDescent="0.25">
      <c r="Y3509" s="501"/>
    </row>
    <row r="3510" spans="25:25" hidden="1" x14ac:dyDescent="0.25">
      <c r="Y3510" s="501"/>
    </row>
    <row r="3511" spans="25:25" hidden="1" x14ac:dyDescent="0.25">
      <c r="Y3511" s="501"/>
    </row>
    <row r="3512" spans="25:25" hidden="1" x14ac:dyDescent="0.25">
      <c r="Y3512" s="501"/>
    </row>
    <row r="3513" spans="25:25" hidden="1" x14ac:dyDescent="0.25">
      <c r="Y3513" s="501"/>
    </row>
    <row r="3514" spans="25:25" hidden="1" x14ac:dyDescent="0.25">
      <c r="Y3514" s="501"/>
    </row>
    <row r="3515" spans="25:25" hidden="1" x14ac:dyDescent="0.25">
      <c r="Y3515" s="501"/>
    </row>
    <row r="3516" spans="25:25" hidden="1" x14ac:dyDescent="0.25">
      <c r="Y3516" s="501"/>
    </row>
    <row r="3517" spans="25:25" hidden="1" x14ac:dyDescent="0.25">
      <c r="Y3517" s="501"/>
    </row>
    <row r="3518" spans="25:25" hidden="1" x14ac:dyDescent="0.25">
      <c r="Y3518" s="501"/>
    </row>
    <row r="3519" spans="25:25" hidden="1" x14ac:dyDescent="0.25">
      <c r="Y3519" s="501"/>
    </row>
    <row r="3520" spans="25:25" hidden="1" x14ac:dyDescent="0.25">
      <c r="Y3520" s="501"/>
    </row>
    <row r="3521" spans="25:25" hidden="1" x14ac:dyDescent="0.25">
      <c r="Y3521" s="501"/>
    </row>
    <row r="3522" spans="25:25" hidden="1" x14ac:dyDescent="0.25">
      <c r="Y3522" s="501"/>
    </row>
    <row r="3523" spans="25:25" hidden="1" x14ac:dyDescent="0.25">
      <c r="Y3523" s="501"/>
    </row>
    <row r="3524" spans="25:25" hidden="1" x14ac:dyDescent="0.25">
      <c r="Y3524" s="501"/>
    </row>
    <row r="3525" spans="25:25" hidden="1" x14ac:dyDescent="0.25">
      <c r="Y3525" s="501"/>
    </row>
    <row r="3526" spans="25:25" hidden="1" x14ac:dyDescent="0.25">
      <c r="Y3526" s="501"/>
    </row>
    <row r="3527" spans="25:25" hidden="1" x14ac:dyDescent="0.25">
      <c r="Y3527" s="501"/>
    </row>
    <row r="3528" spans="25:25" hidden="1" x14ac:dyDescent="0.25">
      <c r="Y3528" s="501"/>
    </row>
    <row r="3529" spans="25:25" hidden="1" x14ac:dyDescent="0.25">
      <c r="Y3529" s="501"/>
    </row>
    <row r="3530" spans="25:25" hidden="1" x14ac:dyDescent="0.25">
      <c r="Y3530" s="501"/>
    </row>
    <row r="3531" spans="25:25" hidden="1" x14ac:dyDescent="0.25">
      <c r="Y3531" s="501"/>
    </row>
    <row r="3532" spans="25:25" hidden="1" x14ac:dyDescent="0.25">
      <c r="Y3532" s="501"/>
    </row>
    <row r="3533" spans="25:25" hidden="1" x14ac:dyDescent="0.25">
      <c r="Y3533" s="501"/>
    </row>
    <row r="3534" spans="25:25" hidden="1" x14ac:dyDescent="0.25">
      <c r="Y3534" s="501"/>
    </row>
    <row r="3535" spans="25:25" hidden="1" x14ac:dyDescent="0.25">
      <c r="Y3535" s="501"/>
    </row>
    <row r="3536" spans="25:25" hidden="1" x14ac:dyDescent="0.25">
      <c r="Y3536" s="501"/>
    </row>
    <row r="3537" spans="25:25" hidden="1" x14ac:dyDescent="0.25">
      <c r="Y3537" s="501"/>
    </row>
    <row r="3538" spans="25:25" hidden="1" x14ac:dyDescent="0.25">
      <c r="Y3538" s="501"/>
    </row>
    <row r="3539" spans="25:25" hidden="1" x14ac:dyDescent="0.25">
      <c r="Y3539" s="501"/>
    </row>
    <row r="3540" spans="25:25" hidden="1" x14ac:dyDescent="0.25">
      <c r="Y3540" s="501"/>
    </row>
    <row r="3541" spans="25:25" hidden="1" x14ac:dyDescent="0.25">
      <c r="Y3541" s="501"/>
    </row>
    <row r="3542" spans="25:25" hidden="1" x14ac:dyDescent="0.25">
      <c r="Y3542" s="501"/>
    </row>
    <row r="3543" spans="25:25" hidden="1" x14ac:dyDescent="0.25">
      <c r="Y3543" s="501"/>
    </row>
    <row r="3544" spans="25:25" hidden="1" x14ac:dyDescent="0.25">
      <c r="Y3544" s="501"/>
    </row>
    <row r="3545" spans="25:25" hidden="1" x14ac:dyDescent="0.25">
      <c r="Y3545" s="501"/>
    </row>
    <row r="3546" spans="25:25" hidden="1" x14ac:dyDescent="0.25">
      <c r="Y3546" s="501"/>
    </row>
    <row r="3547" spans="25:25" hidden="1" x14ac:dyDescent="0.25">
      <c r="Y3547" s="501"/>
    </row>
    <row r="3548" spans="25:25" hidden="1" x14ac:dyDescent="0.25">
      <c r="Y3548" s="501"/>
    </row>
    <row r="3549" spans="25:25" hidden="1" x14ac:dyDescent="0.25">
      <c r="Y3549" s="501"/>
    </row>
    <row r="3550" spans="25:25" hidden="1" x14ac:dyDescent="0.25">
      <c r="Y3550" s="501"/>
    </row>
    <row r="3551" spans="25:25" hidden="1" x14ac:dyDescent="0.25">
      <c r="Y3551" s="501"/>
    </row>
    <row r="3552" spans="25:25" hidden="1" x14ac:dyDescent="0.25">
      <c r="Y3552" s="501"/>
    </row>
    <row r="3553" spans="25:25" hidden="1" x14ac:dyDescent="0.25">
      <c r="Y3553" s="501"/>
    </row>
    <row r="3554" spans="25:25" hidden="1" x14ac:dyDescent="0.25">
      <c r="Y3554" s="501"/>
    </row>
    <row r="3555" spans="25:25" hidden="1" x14ac:dyDescent="0.25">
      <c r="Y3555" s="501"/>
    </row>
    <row r="3556" spans="25:25" hidden="1" x14ac:dyDescent="0.25">
      <c r="Y3556" s="501"/>
    </row>
    <row r="3557" spans="25:25" hidden="1" x14ac:dyDescent="0.25">
      <c r="Y3557" s="501"/>
    </row>
    <row r="3558" spans="25:25" hidden="1" x14ac:dyDescent="0.25">
      <c r="Y3558" s="501"/>
    </row>
    <row r="3559" spans="25:25" hidden="1" x14ac:dyDescent="0.25">
      <c r="Y3559" s="501"/>
    </row>
    <row r="3560" spans="25:25" hidden="1" x14ac:dyDescent="0.25">
      <c r="Y3560" s="501"/>
    </row>
    <row r="3561" spans="25:25" hidden="1" x14ac:dyDescent="0.25">
      <c r="Y3561" s="501"/>
    </row>
    <row r="3562" spans="25:25" hidden="1" x14ac:dyDescent="0.25">
      <c r="Y3562" s="501"/>
    </row>
    <row r="3563" spans="25:25" hidden="1" x14ac:dyDescent="0.25">
      <c r="Y3563" s="501"/>
    </row>
    <row r="3564" spans="25:25" hidden="1" x14ac:dyDescent="0.25">
      <c r="Y3564" s="501"/>
    </row>
    <row r="3565" spans="25:25" hidden="1" x14ac:dyDescent="0.25">
      <c r="Y3565" s="501"/>
    </row>
    <row r="3566" spans="25:25" hidden="1" x14ac:dyDescent="0.25">
      <c r="Y3566" s="501"/>
    </row>
    <row r="3567" spans="25:25" hidden="1" x14ac:dyDescent="0.25">
      <c r="Y3567" s="501"/>
    </row>
    <row r="3568" spans="25:25" hidden="1" x14ac:dyDescent="0.25">
      <c r="Y3568" s="501"/>
    </row>
    <row r="3569" spans="25:25" hidden="1" x14ac:dyDescent="0.25">
      <c r="Y3569" s="501"/>
    </row>
    <row r="3570" spans="25:25" hidden="1" x14ac:dyDescent="0.25">
      <c r="Y3570" s="501"/>
    </row>
    <row r="3571" spans="25:25" hidden="1" x14ac:dyDescent="0.25">
      <c r="Y3571" s="501"/>
    </row>
    <row r="3572" spans="25:25" hidden="1" x14ac:dyDescent="0.25">
      <c r="Y3572" s="501"/>
    </row>
    <row r="3573" spans="25:25" hidden="1" x14ac:dyDescent="0.25">
      <c r="Y3573" s="501"/>
    </row>
    <row r="3574" spans="25:25" hidden="1" x14ac:dyDescent="0.25">
      <c r="Y3574" s="501"/>
    </row>
    <row r="3575" spans="25:25" hidden="1" x14ac:dyDescent="0.25">
      <c r="Y3575" s="501"/>
    </row>
    <row r="3576" spans="25:25" hidden="1" x14ac:dyDescent="0.25">
      <c r="Y3576" s="501"/>
    </row>
    <row r="3577" spans="25:25" hidden="1" x14ac:dyDescent="0.25">
      <c r="Y3577" s="501"/>
    </row>
    <row r="3578" spans="25:25" hidden="1" x14ac:dyDescent="0.25">
      <c r="Y3578" s="501"/>
    </row>
    <row r="3579" spans="25:25" hidden="1" x14ac:dyDescent="0.25">
      <c r="Y3579" s="501"/>
    </row>
    <row r="3580" spans="25:25" hidden="1" x14ac:dyDescent="0.25">
      <c r="Y3580" s="501"/>
    </row>
    <row r="3581" spans="25:25" hidden="1" x14ac:dyDescent="0.25">
      <c r="Y3581" s="501"/>
    </row>
    <row r="3582" spans="25:25" hidden="1" x14ac:dyDescent="0.25">
      <c r="Y3582" s="501"/>
    </row>
    <row r="3583" spans="25:25" hidden="1" x14ac:dyDescent="0.25">
      <c r="Y3583" s="501"/>
    </row>
    <row r="3584" spans="25:25" hidden="1" x14ac:dyDescent="0.25">
      <c r="Y3584" s="501"/>
    </row>
    <row r="3585" spans="25:25" hidden="1" x14ac:dyDescent="0.25">
      <c r="Y3585" s="501"/>
    </row>
    <row r="3586" spans="25:25" hidden="1" x14ac:dyDescent="0.25">
      <c r="Y3586" s="501"/>
    </row>
    <row r="3587" spans="25:25" hidden="1" x14ac:dyDescent="0.25">
      <c r="Y3587" s="501"/>
    </row>
    <row r="3588" spans="25:25" hidden="1" x14ac:dyDescent="0.25">
      <c r="Y3588" s="501"/>
    </row>
    <row r="3589" spans="25:25" hidden="1" x14ac:dyDescent="0.25">
      <c r="Y3589" s="501"/>
    </row>
    <row r="3590" spans="25:25" hidden="1" x14ac:dyDescent="0.25">
      <c r="Y3590" s="501"/>
    </row>
    <row r="3591" spans="25:25" hidden="1" x14ac:dyDescent="0.25">
      <c r="Y3591" s="501"/>
    </row>
    <row r="3592" spans="25:25" hidden="1" x14ac:dyDescent="0.25">
      <c r="Y3592" s="501"/>
    </row>
    <row r="3593" spans="25:25" hidden="1" x14ac:dyDescent="0.25">
      <c r="Y3593" s="501"/>
    </row>
    <row r="3594" spans="25:25" hidden="1" x14ac:dyDescent="0.25">
      <c r="Y3594" s="501"/>
    </row>
    <row r="3595" spans="25:25" hidden="1" x14ac:dyDescent="0.25">
      <c r="Y3595" s="501"/>
    </row>
    <row r="3596" spans="25:25" hidden="1" x14ac:dyDescent="0.25">
      <c r="Y3596" s="501"/>
    </row>
    <row r="3597" spans="25:25" hidden="1" x14ac:dyDescent="0.25">
      <c r="Y3597" s="501"/>
    </row>
    <row r="3598" spans="25:25" hidden="1" x14ac:dyDescent="0.25">
      <c r="Y3598" s="501"/>
    </row>
    <row r="3599" spans="25:25" hidden="1" x14ac:dyDescent="0.25">
      <c r="Y3599" s="501"/>
    </row>
    <row r="3600" spans="25:25" hidden="1" x14ac:dyDescent="0.25">
      <c r="Y3600" s="501"/>
    </row>
    <row r="3601" spans="25:25" hidden="1" x14ac:dyDescent="0.25">
      <c r="Y3601" s="501"/>
    </row>
    <row r="3602" spans="25:25" hidden="1" x14ac:dyDescent="0.25">
      <c r="Y3602" s="501"/>
    </row>
    <row r="3603" spans="25:25" hidden="1" x14ac:dyDescent="0.25">
      <c r="Y3603" s="501"/>
    </row>
    <row r="3604" spans="25:25" hidden="1" x14ac:dyDescent="0.25">
      <c r="Y3604" s="501"/>
    </row>
    <row r="3605" spans="25:25" hidden="1" x14ac:dyDescent="0.25">
      <c r="Y3605" s="501"/>
    </row>
    <row r="3606" spans="25:25" hidden="1" x14ac:dyDescent="0.25">
      <c r="Y3606" s="501"/>
    </row>
    <row r="3607" spans="25:25" hidden="1" x14ac:dyDescent="0.25">
      <c r="Y3607" s="501"/>
    </row>
    <row r="3608" spans="25:25" hidden="1" x14ac:dyDescent="0.25">
      <c r="Y3608" s="501"/>
    </row>
    <row r="3609" spans="25:25" hidden="1" x14ac:dyDescent="0.25">
      <c r="Y3609" s="501"/>
    </row>
    <row r="3610" spans="25:25" hidden="1" x14ac:dyDescent="0.25">
      <c r="Y3610" s="501"/>
    </row>
    <row r="3611" spans="25:25" hidden="1" x14ac:dyDescent="0.25">
      <c r="Y3611" s="501"/>
    </row>
    <row r="3612" spans="25:25" hidden="1" x14ac:dyDescent="0.25">
      <c r="Y3612" s="501"/>
    </row>
    <row r="3613" spans="25:25" hidden="1" x14ac:dyDescent="0.25">
      <c r="Y3613" s="501"/>
    </row>
    <row r="3614" spans="25:25" hidden="1" x14ac:dyDescent="0.25">
      <c r="Y3614" s="501"/>
    </row>
    <row r="3615" spans="25:25" hidden="1" x14ac:dyDescent="0.25">
      <c r="Y3615" s="501"/>
    </row>
    <row r="3616" spans="25:25" hidden="1" x14ac:dyDescent="0.25">
      <c r="Y3616" s="501"/>
    </row>
    <row r="3617" spans="25:25" hidden="1" x14ac:dyDescent="0.25">
      <c r="Y3617" s="501"/>
    </row>
    <row r="3618" spans="25:25" hidden="1" x14ac:dyDescent="0.25">
      <c r="Y3618" s="501"/>
    </row>
    <row r="3619" spans="25:25" hidden="1" x14ac:dyDescent="0.25">
      <c r="Y3619" s="501"/>
    </row>
    <row r="3620" spans="25:25" hidden="1" x14ac:dyDescent="0.25">
      <c r="Y3620" s="501"/>
    </row>
    <row r="3621" spans="25:25" hidden="1" x14ac:dyDescent="0.25">
      <c r="Y3621" s="501"/>
    </row>
    <row r="3622" spans="25:25" hidden="1" x14ac:dyDescent="0.25">
      <c r="Y3622" s="501"/>
    </row>
    <row r="3623" spans="25:25" hidden="1" x14ac:dyDescent="0.25">
      <c r="Y3623" s="501"/>
    </row>
    <row r="3624" spans="25:25" hidden="1" x14ac:dyDescent="0.25">
      <c r="Y3624" s="501"/>
    </row>
    <row r="3625" spans="25:25" hidden="1" x14ac:dyDescent="0.25">
      <c r="Y3625" s="501"/>
    </row>
    <row r="3626" spans="25:25" hidden="1" x14ac:dyDescent="0.25">
      <c r="Y3626" s="501"/>
    </row>
    <row r="3627" spans="25:25" hidden="1" x14ac:dyDescent="0.25">
      <c r="Y3627" s="501"/>
    </row>
    <row r="3628" spans="25:25" hidden="1" x14ac:dyDescent="0.25">
      <c r="Y3628" s="501"/>
    </row>
    <row r="3629" spans="25:25" hidden="1" x14ac:dyDescent="0.25">
      <c r="Y3629" s="501"/>
    </row>
    <row r="3630" spans="25:25" hidden="1" x14ac:dyDescent="0.25">
      <c r="Y3630" s="501"/>
    </row>
    <row r="3631" spans="25:25" hidden="1" x14ac:dyDescent="0.25">
      <c r="Y3631" s="501"/>
    </row>
    <row r="3632" spans="25:25" hidden="1" x14ac:dyDescent="0.25">
      <c r="Y3632" s="501"/>
    </row>
    <row r="3633" spans="25:25" hidden="1" x14ac:dyDescent="0.25">
      <c r="Y3633" s="501"/>
    </row>
    <row r="3634" spans="25:25" hidden="1" x14ac:dyDescent="0.25">
      <c r="Y3634" s="501"/>
    </row>
    <row r="3635" spans="25:25" hidden="1" x14ac:dyDescent="0.25">
      <c r="Y3635" s="501"/>
    </row>
    <row r="3636" spans="25:25" hidden="1" x14ac:dyDescent="0.25">
      <c r="Y3636" s="501"/>
    </row>
    <row r="3637" spans="25:25" hidden="1" x14ac:dyDescent="0.25">
      <c r="Y3637" s="501"/>
    </row>
    <row r="3638" spans="25:25" hidden="1" x14ac:dyDescent="0.25">
      <c r="Y3638" s="501"/>
    </row>
    <row r="3639" spans="25:25" hidden="1" x14ac:dyDescent="0.25">
      <c r="Y3639" s="501"/>
    </row>
    <row r="3640" spans="25:25" hidden="1" x14ac:dyDescent="0.25">
      <c r="Y3640" s="501"/>
    </row>
    <row r="3641" spans="25:25" hidden="1" x14ac:dyDescent="0.25">
      <c r="Y3641" s="501"/>
    </row>
    <row r="3642" spans="25:25" hidden="1" x14ac:dyDescent="0.25">
      <c r="Y3642" s="501"/>
    </row>
    <row r="3643" spans="25:25" hidden="1" x14ac:dyDescent="0.25">
      <c r="Y3643" s="501"/>
    </row>
    <row r="3644" spans="25:25" hidden="1" x14ac:dyDescent="0.25">
      <c r="Y3644" s="501"/>
    </row>
    <row r="3645" spans="25:25" hidden="1" x14ac:dyDescent="0.25">
      <c r="Y3645" s="501"/>
    </row>
    <row r="3646" spans="25:25" hidden="1" x14ac:dyDescent="0.25">
      <c r="Y3646" s="501"/>
    </row>
    <row r="3647" spans="25:25" hidden="1" x14ac:dyDescent="0.25">
      <c r="Y3647" s="501"/>
    </row>
    <row r="3648" spans="25:25" hidden="1" x14ac:dyDescent="0.25">
      <c r="Y3648" s="501"/>
    </row>
    <row r="3649" spans="25:25" hidden="1" x14ac:dyDescent="0.25">
      <c r="Y3649" s="501"/>
    </row>
    <row r="3650" spans="25:25" hidden="1" x14ac:dyDescent="0.25">
      <c r="Y3650" s="501"/>
    </row>
    <row r="3651" spans="25:25" hidden="1" x14ac:dyDescent="0.25">
      <c r="Y3651" s="501"/>
    </row>
    <row r="3652" spans="25:25" hidden="1" x14ac:dyDescent="0.25">
      <c r="Y3652" s="501"/>
    </row>
    <row r="3653" spans="25:25" hidden="1" x14ac:dyDescent="0.25">
      <c r="Y3653" s="501"/>
    </row>
    <row r="3654" spans="25:25" hidden="1" x14ac:dyDescent="0.25">
      <c r="Y3654" s="501"/>
    </row>
    <row r="3655" spans="25:25" hidden="1" x14ac:dyDescent="0.25">
      <c r="Y3655" s="501"/>
    </row>
    <row r="3656" spans="25:25" hidden="1" x14ac:dyDescent="0.25">
      <c r="Y3656" s="501"/>
    </row>
    <row r="3657" spans="25:25" hidden="1" x14ac:dyDescent="0.25">
      <c r="Y3657" s="501"/>
    </row>
    <row r="3658" spans="25:25" hidden="1" x14ac:dyDescent="0.25">
      <c r="Y3658" s="501"/>
    </row>
    <row r="3659" spans="25:25" hidden="1" x14ac:dyDescent="0.25">
      <c r="Y3659" s="501"/>
    </row>
    <row r="3660" spans="25:25" hidden="1" x14ac:dyDescent="0.25">
      <c r="Y3660" s="501"/>
    </row>
    <row r="3661" spans="25:25" hidden="1" x14ac:dyDescent="0.25">
      <c r="Y3661" s="501"/>
    </row>
    <row r="3662" spans="25:25" hidden="1" x14ac:dyDescent="0.25">
      <c r="Y3662" s="501"/>
    </row>
    <row r="3663" spans="25:25" hidden="1" x14ac:dyDescent="0.25">
      <c r="Y3663" s="501"/>
    </row>
    <row r="3664" spans="25:25" hidden="1" x14ac:dyDescent="0.25">
      <c r="Y3664" s="501"/>
    </row>
    <row r="3665" spans="25:25" hidden="1" x14ac:dyDescent="0.25">
      <c r="Y3665" s="501"/>
    </row>
    <row r="3666" spans="25:25" hidden="1" x14ac:dyDescent="0.25">
      <c r="Y3666" s="501"/>
    </row>
    <row r="3667" spans="25:25" hidden="1" x14ac:dyDescent="0.25">
      <c r="Y3667" s="501"/>
    </row>
    <row r="3668" spans="25:25" hidden="1" x14ac:dyDescent="0.25">
      <c r="Y3668" s="501"/>
    </row>
    <row r="3669" spans="25:25" hidden="1" x14ac:dyDescent="0.25">
      <c r="Y3669" s="501"/>
    </row>
    <row r="3670" spans="25:25" hidden="1" x14ac:dyDescent="0.25">
      <c r="Y3670" s="501"/>
    </row>
    <row r="3671" spans="25:25" hidden="1" x14ac:dyDescent="0.25">
      <c r="Y3671" s="501"/>
    </row>
    <row r="3672" spans="25:25" hidden="1" x14ac:dyDescent="0.25">
      <c r="Y3672" s="501"/>
    </row>
    <row r="3673" spans="25:25" hidden="1" x14ac:dyDescent="0.25">
      <c r="Y3673" s="501"/>
    </row>
    <row r="3674" spans="25:25" hidden="1" x14ac:dyDescent="0.25">
      <c r="Y3674" s="501"/>
    </row>
    <row r="3675" spans="25:25" hidden="1" x14ac:dyDescent="0.25">
      <c r="Y3675" s="501"/>
    </row>
    <row r="3676" spans="25:25" hidden="1" x14ac:dyDescent="0.25">
      <c r="Y3676" s="501"/>
    </row>
    <row r="3677" spans="25:25" hidden="1" x14ac:dyDescent="0.25">
      <c r="Y3677" s="501"/>
    </row>
    <row r="3678" spans="25:25" hidden="1" x14ac:dyDescent="0.25">
      <c r="Y3678" s="501"/>
    </row>
    <row r="3679" spans="25:25" hidden="1" x14ac:dyDescent="0.25">
      <c r="Y3679" s="501"/>
    </row>
    <row r="3680" spans="25:25" hidden="1" x14ac:dyDescent="0.25">
      <c r="Y3680" s="501"/>
    </row>
    <row r="3681" spans="25:25" hidden="1" x14ac:dyDescent="0.25">
      <c r="Y3681" s="501"/>
    </row>
    <row r="3682" spans="25:25" hidden="1" x14ac:dyDescent="0.25">
      <c r="Y3682" s="501"/>
    </row>
    <row r="3683" spans="25:25" hidden="1" x14ac:dyDescent="0.25">
      <c r="Y3683" s="501"/>
    </row>
    <row r="3684" spans="25:25" hidden="1" x14ac:dyDescent="0.25">
      <c r="Y3684" s="501"/>
    </row>
    <row r="3685" spans="25:25" hidden="1" x14ac:dyDescent="0.25">
      <c r="Y3685" s="501"/>
    </row>
    <row r="3686" spans="25:25" hidden="1" x14ac:dyDescent="0.25">
      <c r="Y3686" s="501"/>
    </row>
    <row r="3687" spans="25:25" hidden="1" x14ac:dyDescent="0.25">
      <c r="Y3687" s="501"/>
    </row>
    <row r="3688" spans="25:25" hidden="1" x14ac:dyDescent="0.25">
      <c r="Y3688" s="501"/>
    </row>
    <row r="3689" spans="25:25" hidden="1" x14ac:dyDescent="0.25">
      <c r="Y3689" s="501"/>
    </row>
    <row r="3690" spans="25:25" hidden="1" x14ac:dyDescent="0.25">
      <c r="Y3690" s="501"/>
    </row>
    <row r="3691" spans="25:25" hidden="1" x14ac:dyDescent="0.25">
      <c r="Y3691" s="501"/>
    </row>
    <row r="3692" spans="25:25" hidden="1" x14ac:dyDescent="0.25">
      <c r="Y3692" s="501"/>
    </row>
    <row r="3693" spans="25:25" hidden="1" x14ac:dyDescent="0.25">
      <c r="Y3693" s="501"/>
    </row>
    <row r="3694" spans="25:25" hidden="1" x14ac:dyDescent="0.25">
      <c r="Y3694" s="501"/>
    </row>
    <row r="3695" spans="25:25" hidden="1" x14ac:dyDescent="0.25">
      <c r="Y3695" s="501"/>
    </row>
    <row r="3696" spans="25:25" hidden="1" x14ac:dyDescent="0.25">
      <c r="Y3696" s="501"/>
    </row>
    <row r="3697" spans="25:25" hidden="1" x14ac:dyDescent="0.25">
      <c r="Y3697" s="501"/>
    </row>
    <row r="3698" spans="25:25" hidden="1" x14ac:dyDescent="0.25">
      <c r="Y3698" s="501"/>
    </row>
    <row r="3699" spans="25:25" hidden="1" x14ac:dyDescent="0.25">
      <c r="Y3699" s="501"/>
    </row>
    <row r="3700" spans="25:25" hidden="1" x14ac:dyDescent="0.25">
      <c r="Y3700" s="501"/>
    </row>
    <row r="3701" spans="25:25" hidden="1" x14ac:dyDescent="0.25">
      <c r="Y3701" s="501"/>
    </row>
    <row r="3702" spans="25:25" hidden="1" x14ac:dyDescent="0.25">
      <c r="Y3702" s="501"/>
    </row>
    <row r="3703" spans="25:25" hidden="1" x14ac:dyDescent="0.25">
      <c r="Y3703" s="501"/>
    </row>
    <row r="3704" spans="25:25" hidden="1" x14ac:dyDescent="0.25">
      <c r="Y3704" s="501"/>
    </row>
    <row r="3705" spans="25:25" hidden="1" x14ac:dyDescent="0.25">
      <c r="Y3705" s="501"/>
    </row>
    <row r="3706" spans="25:25" hidden="1" x14ac:dyDescent="0.25">
      <c r="Y3706" s="501"/>
    </row>
    <row r="3707" spans="25:25" hidden="1" x14ac:dyDescent="0.25">
      <c r="Y3707" s="501"/>
    </row>
    <row r="3708" spans="25:25" hidden="1" x14ac:dyDescent="0.25">
      <c r="Y3708" s="501"/>
    </row>
    <row r="3709" spans="25:25" hidden="1" x14ac:dyDescent="0.25">
      <c r="Y3709" s="501"/>
    </row>
    <row r="3710" spans="25:25" hidden="1" x14ac:dyDescent="0.25">
      <c r="Y3710" s="501"/>
    </row>
    <row r="3711" spans="25:25" hidden="1" x14ac:dyDescent="0.25">
      <c r="Y3711" s="501"/>
    </row>
    <row r="3712" spans="25:25" hidden="1" x14ac:dyDescent="0.25">
      <c r="Y3712" s="501"/>
    </row>
    <row r="3713" spans="25:25" hidden="1" x14ac:dyDescent="0.25">
      <c r="Y3713" s="501"/>
    </row>
    <row r="3714" spans="25:25" hidden="1" x14ac:dyDescent="0.25">
      <c r="Y3714" s="501"/>
    </row>
    <row r="3715" spans="25:25" hidden="1" x14ac:dyDescent="0.25">
      <c r="Y3715" s="501"/>
    </row>
    <row r="3716" spans="25:25" hidden="1" x14ac:dyDescent="0.25">
      <c r="Y3716" s="501"/>
    </row>
    <row r="3717" spans="25:25" hidden="1" x14ac:dyDescent="0.25">
      <c r="Y3717" s="501"/>
    </row>
    <row r="3718" spans="25:25" hidden="1" x14ac:dyDescent="0.25">
      <c r="Y3718" s="501"/>
    </row>
    <row r="3719" spans="25:25" hidden="1" x14ac:dyDescent="0.25">
      <c r="Y3719" s="501"/>
    </row>
    <row r="3720" spans="25:25" hidden="1" x14ac:dyDescent="0.25">
      <c r="Y3720" s="501"/>
    </row>
    <row r="3721" spans="25:25" hidden="1" x14ac:dyDescent="0.25">
      <c r="Y3721" s="501"/>
    </row>
    <row r="3722" spans="25:25" hidden="1" x14ac:dyDescent="0.25">
      <c r="Y3722" s="501"/>
    </row>
    <row r="3723" spans="25:25" hidden="1" x14ac:dyDescent="0.25">
      <c r="Y3723" s="501"/>
    </row>
    <row r="3724" spans="25:25" hidden="1" x14ac:dyDescent="0.25">
      <c r="Y3724" s="501"/>
    </row>
    <row r="3725" spans="25:25" hidden="1" x14ac:dyDescent="0.25">
      <c r="Y3725" s="501"/>
    </row>
    <row r="3726" spans="25:25" hidden="1" x14ac:dyDescent="0.25">
      <c r="Y3726" s="501"/>
    </row>
    <row r="3727" spans="25:25" hidden="1" x14ac:dyDescent="0.25">
      <c r="Y3727" s="501"/>
    </row>
    <row r="3728" spans="25:25" hidden="1" x14ac:dyDescent="0.25">
      <c r="Y3728" s="501"/>
    </row>
    <row r="3729" spans="25:25" hidden="1" x14ac:dyDescent="0.25">
      <c r="Y3729" s="501"/>
    </row>
    <row r="3730" spans="25:25" hidden="1" x14ac:dyDescent="0.25">
      <c r="Y3730" s="501"/>
    </row>
    <row r="3731" spans="25:25" hidden="1" x14ac:dyDescent="0.25">
      <c r="Y3731" s="501"/>
    </row>
    <row r="3732" spans="25:25" hidden="1" x14ac:dyDescent="0.25">
      <c r="Y3732" s="501"/>
    </row>
    <row r="3733" spans="25:25" hidden="1" x14ac:dyDescent="0.25">
      <c r="Y3733" s="501"/>
    </row>
    <row r="3734" spans="25:25" hidden="1" x14ac:dyDescent="0.25">
      <c r="Y3734" s="501"/>
    </row>
    <row r="3735" spans="25:25" hidden="1" x14ac:dyDescent="0.25">
      <c r="Y3735" s="501"/>
    </row>
    <row r="3736" spans="25:25" hidden="1" x14ac:dyDescent="0.25">
      <c r="Y3736" s="501"/>
    </row>
    <row r="3737" spans="25:25" hidden="1" x14ac:dyDescent="0.25">
      <c r="Y3737" s="501"/>
    </row>
    <row r="3738" spans="25:25" hidden="1" x14ac:dyDescent="0.25">
      <c r="Y3738" s="501"/>
    </row>
    <row r="3739" spans="25:25" hidden="1" x14ac:dyDescent="0.25">
      <c r="Y3739" s="501"/>
    </row>
    <row r="3740" spans="25:25" hidden="1" x14ac:dyDescent="0.25">
      <c r="Y3740" s="501"/>
    </row>
    <row r="3741" spans="25:25" hidden="1" x14ac:dyDescent="0.25">
      <c r="Y3741" s="501"/>
    </row>
    <row r="3742" spans="25:25" hidden="1" x14ac:dyDescent="0.25">
      <c r="Y3742" s="501"/>
    </row>
    <row r="3743" spans="25:25" hidden="1" x14ac:dyDescent="0.25">
      <c r="Y3743" s="501"/>
    </row>
    <row r="3744" spans="25:25" hidden="1" x14ac:dyDescent="0.25">
      <c r="Y3744" s="501"/>
    </row>
    <row r="3745" spans="25:25" hidden="1" x14ac:dyDescent="0.25">
      <c r="Y3745" s="501"/>
    </row>
    <row r="3746" spans="25:25" hidden="1" x14ac:dyDescent="0.25">
      <c r="Y3746" s="501"/>
    </row>
    <row r="3747" spans="25:25" hidden="1" x14ac:dyDescent="0.25">
      <c r="Y3747" s="501"/>
    </row>
    <row r="3748" spans="25:25" hidden="1" x14ac:dyDescent="0.25">
      <c r="Y3748" s="501"/>
    </row>
    <row r="3749" spans="25:25" hidden="1" x14ac:dyDescent="0.25">
      <c r="Y3749" s="501"/>
    </row>
    <row r="3750" spans="25:25" hidden="1" x14ac:dyDescent="0.25">
      <c r="Y3750" s="501"/>
    </row>
    <row r="3751" spans="25:25" hidden="1" x14ac:dyDescent="0.25">
      <c r="Y3751" s="501"/>
    </row>
    <row r="3752" spans="25:25" hidden="1" x14ac:dyDescent="0.25">
      <c r="Y3752" s="501"/>
    </row>
    <row r="3753" spans="25:25" hidden="1" x14ac:dyDescent="0.25">
      <c r="Y3753" s="501"/>
    </row>
    <row r="3754" spans="25:25" hidden="1" x14ac:dyDescent="0.25">
      <c r="Y3754" s="501"/>
    </row>
    <row r="3755" spans="25:25" hidden="1" x14ac:dyDescent="0.25">
      <c r="Y3755" s="501"/>
    </row>
    <row r="3756" spans="25:25" hidden="1" x14ac:dyDescent="0.25">
      <c r="Y3756" s="501"/>
    </row>
    <row r="3757" spans="25:25" hidden="1" x14ac:dyDescent="0.25">
      <c r="Y3757" s="501"/>
    </row>
    <row r="3758" spans="25:25" hidden="1" x14ac:dyDescent="0.25">
      <c r="Y3758" s="501"/>
    </row>
    <row r="3759" spans="25:25" hidden="1" x14ac:dyDescent="0.25">
      <c r="Y3759" s="501"/>
    </row>
    <row r="3760" spans="25:25" hidden="1" x14ac:dyDescent="0.25">
      <c r="Y3760" s="501"/>
    </row>
    <row r="3761" spans="25:25" hidden="1" x14ac:dyDescent="0.25">
      <c r="Y3761" s="501"/>
    </row>
    <row r="3762" spans="25:25" hidden="1" x14ac:dyDescent="0.25">
      <c r="Y3762" s="501"/>
    </row>
    <row r="3763" spans="25:25" hidden="1" x14ac:dyDescent="0.25">
      <c r="Y3763" s="501"/>
    </row>
    <row r="3764" spans="25:25" hidden="1" x14ac:dyDescent="0.25">
      <c r="Y3764" s="501"/>
    </row>
    <row r="3765" spans="25:25" hidden="1" x14ac:dyDescent="0.25">
      <c r="Y3765" s="501"/>
    </row>
    <row r="3766" spans="25:25" hidden="1" x14ac:dyDescent="0.25">
      <c r="Y3766" s="501"/>
    </row>
    <row r="3767" spans="25:25" hidden="1" x14ac:dyDescent="0.25">
      <c r="Y3767" s="501"/>
    </row>
    <row r="3768" spans="25:25" hidden="1" x14ac:dyDescent="0.25">
      <c r="Y3768" s="501"/>
    </row>
    <row r="3769" spans="25:25" hidden="1" x14ac:dyDescent="0.25">
      <c r="Y3769" s="501"/>
    </row>
    <row r="3770" spans="25:25" hidden="1" x14ac:dyDescent="0.25">
      <c r="Y3770" s="501"/>
    </row>
    <row r="3771" spans="25:25" hidden="1" x14ac:dyDescent="0.25">
      <c r="Y3771" s="501"/>
    </row>
    <row r="3772" spans="25:25" hidden="1" x14ac:dyDescent="0.25">
      <c r="Y3772" s="501"/>
    </row>
    <row r="3773" spans="25:25" hidden="1" x14ac:dyDescent="0.25">
      <c r="Y3773" s="501"/>
    </row>
    <row r="3774" spans="25:25" hidden="1" x14ac:dyDescent="0.25">
      <c r="Y3774" s="501"/>
    </row>
    <row r="3775" spans="25:25" hidden="1" x14ac:dyDescent="0.25">
      <c r="Y3775" s="501"/>
    </row>
    <row r="3776" spans="25:25" hidden="1" x14ac:dyDescent="0.25">
      <c r="Y3776" s="501"/>
    </row>
    <row r="3777" spans="25:25" hidden="1" x14ac:dyDescent="0.25">
      <c r="Y3777" s="501"/>
    </row>
    <row r="3778" spans="25:25" hidden="1" x14ac:dyDescent="0.25">
      <c r="Y3778" s="501"/>
    </row>
    <row r="3779" spans="25:25" hidden="1" x14ac:dyDescent="0.25">
      <c r="Y3779" s="501"/>
    </row>
    <row r="3780" spans="25:25" hidden="1" x14ac:dyDescent="0.25">
      <c r="Y3780" s="501"/>
    </row>
    <row r="3781" spans="25:25" hidden="1" x14ac:dyDescent="0.25">
      <c r="Y3781" s="501"/>
    </row>
    <row r="3782" spans="25:25" hidden="1" x14ac:dyDescent="0.25">
      <c r="Y3782" s="501"/>
    </row>
    <row r="3783" spans="25:25" hidden="1" x14ac:dyDescent="0.25">
      <c r="Y3783" s="501"/>
    </row>
    <row r="3784" spans="25:25" hidden="1" x14ac:dyDescent="0.25">
      <c r="Y3784" s="501"/>
    </row>
    <row r="3785" spans="25:25" hidden="1" x14ac:dyDescent="0.25">
      <c r="Y3785" s="501"/>
    </row>
    <row r="3786" spans="25:25" hidden="1" x14ac:dyDescent="0.25">
      <c r="Y3786" s="501"/>
    </row>
    <row r="3787" spans="25:25" hidden="1" x14ac:dyDescent="0.25">
      <c r="Y3787" s="501"/>
    </row>
    <row r="3788" spans="25:25" hidden="1" x14ac:dyDescent="0.25">
      <c r="Y3788" s="501"/>
    </row>
    <row r="3789" spans="25:25" hidden="1" x14ac:dyDescent="0.25">
      <c r="Y3789" s="501"/>
    </row>
    <row r="3790" spans="25:25" hidden="1" x14ac:dyDescent="0.25">
      <c r="Y3790" s="501"/>
    </row>
    <row r="3791" spans="25:25" hidden="1" x14ac:dyDescent="0.25">
      <c r="Y3791" s="501"/>
    </row>
    <row r="3792" spans="25:25" hidden="1" x14ac:dyDescent="0.25">
      <c r="Y3792" s="501"/>
    </row>
    <row r="3793" spans="25:25" hidden="1" x14ac:dyDescent="0.25">
      <c r="Y3793" s="501"/>
    </row>
    <row r="3794" spans="25:25" hidden="1" x14ac:dyDescent="0.25">
      <c r="Y3794" s="501"/>
    </row>
    <row r="3795" spans="25:25" hidden="1" x14ac:dyDescent="0.25">
      <c r="Y3795" s="501"/>
    </row>
    <row r="3796" spans="25:25" hidden="1" x14ac:dyDescent="0.25">
      <c r="Y3796" s="501"/>
    </row>
    <row r="3797" spans="25:25" hidden="1" x14ac:dyDescent="0.25">
      <c r="Y3797" s="501"/>
    </row>
    <row r="3798" spans="25:25" hidden="1" x14ac:dyDescent="0.25">
      <c r="Y3798" s="501"/>
    </row>
    <row r="3799" spans="25:25" hidden="1" x14ac:dyDescent="0.25">
      <c r="Y3799" s="501"/>
    </row>
    <row r="3800" spans="25:25" hidden="1" x14ac:dyDescent="0.25">
      <c r="Y3800" s="501"/>
    </row>
    <row r="3801" spans="25:25" hidden="1" x14ac:dyDescent="0.25">
      <c r="Y3801" s="501"/>
    </row>
    <row r="3802" spans="25:25" hidden="1" x14ac:dyDescent="0.25">
      <c r="Y3802" s="501"/>
    </row>
    <row r="3803" spans="25:25" hidden="1" x14ac:dyDescent="0.25">
      <c r="Y3803" s="501"/>
    </row>
    <row r="3804" spans="25:25" hidden="1" x14ac:dyDescent="0.25">
      <c r="Y3804" s="501"/>
    </row>
    <row r="3805" spans="25:25" hidden="1" x14ac:dyDescent="0.25">
      <c r="Y3805" s="501"/>
    </row>
    <row r="3806" spans="25:25" hidden="1" x14ac:dyDescent="0.25">
      <c r="Y3806" s="501"/>
    </row>
    <row r="3807" spans="25:25" hidden="1" x14ac:dyDescent="0.25">
      <c r="Y3807" s="501"/>
    </row>
    <row r="3808" spans="25:25" hidden="1" x14ac:dyDescent="0.25">
      <c r="Y3808" s="501"/>
    </row>
    <row r="3809" spans="25:25" hidden="1" x14ac:dyDescent="0.25">
      <c r="Y3809" s="501"/>
    </row>
    <row r="3810" spans="25:25" hidden="1" x14ac:dyDescent="0.25">
      <c r="Y3810" s="501"/>
    </row>
    <row r="3811" spans="25:25" hidden="1" x14ac:dyDescent="0.25">
      <c r="Y3811" s="501"/>
    </row>
    <row r="3812" spans="25:25" hidden="1" x14ac:dyDescent="0.25">
      <c r="Y3812" s="501"/>
    </row>
    <row r="3813" spans="25:25" hidden="1" x14ac:dyDescent="0.25">
      <c r="Y3813" s="501"/>
    </row>
    <row r="3814" spans="25:25" hidden="1" x14ac:dyDescent="0.25">
      <c r="Y3814" s="501"/>
    </row>
    <row r="3815" spans="25:25" hidden="1" x14ac:dyDescent="0.25">
      <c r="Y3815" s="501"/>
    </row>
    <row r="3816" spans="25:25" hidden="1" x14ac:dyDescent="0.25">
      <c r="Y3816" s="501"/>
    </row>
    <row r="3817" spans="25:25" hidden="1" x14ac:dyDescent="0.25">
      <c r="Y3817" s="501"/>
    </row>
    <row r="3818" spans="25:25" hidden="1" x14ac:dyDescent="0.25">
      <c r="Y3818" s="501"/>
    </row>
    <row r="3819" spans="25:25" hidden="1" x14ac:dyDescent="0.25">
      <c r="Y3819" s="501"/>
    </row>
    <row r="3820" spans="25:25" hidden="1" x14ac:dyDescent="0.25">
      <c r="Y3820" s="501"/>
    </row>
    <row r="3821" spans="25:25" hidden="1" x14ac:dyDescent="0.25">
      <c r="Y3821" s="501"/>
    </row>
    <row r="3822" spans="25:25" hidden="1" x14ac:dyDescent="0.25">
      <c r="Y3822" s="501"/>
    </row>
    <row r="3823" spans="25:25" hidden="1" x14ac:dyDescent="0.25">
      <c r="Y3823" s="501"/>
    </row>
    <row r="3824" spans="25:25" hidden="1" x14ac:dyDescent="0.25">
      <c r="Y3824" s="501"/>
    </row>
    <row r="3825" spans="25:25" hidden="1" x14ac:dyDescent="0.25">
      <c r="Y3825" s="501"/>
    </row>
    <row r="3826" spans="25:25" hidden="1" x14ac:dyDescent="0.25">
      <c r="Y3826" s="501"/>
    </row>
    <row r="3827" spans="25:25" hidden="1" x14ac:dyDescent="0.25">
      <c r="Y3827" s="501"/>
    </row>
    <row r="3828" spans="25:25" hidden="1" x14ac:dyDescent="0.25">
      <c r="Y3828" s="501"/>
    </row>
    <row r="3829" spans="25:25" hidden="1" x14ac:dyDescent="0.25">
      <c r="Y3829" s="501"/>
    </row>
    <row r="3830" spans="25:25" hidden="1" x14ac:dyDescent="0.25">
      <c r="Y3830" s="501"/>
    </row>
    <row r="3831" spans="25:25" hidden="1" x14ac:dyDescent="0.25">
      <c r="Y3831" s="501"/>
    </row>
    <row r="3832" spans="25:25" hidden="1" x14ac:dyDescent="0.25">
      <c r="Y3832" s="501"/>
    </row>
    <row r="3833" spans="25:25" hidden="1" x14ac:dyDescent="0.25">
      <c r="Y3833" s="501"/>
    </row>
    <row r="3834" spans="25:25" hidden="1" x14ac:dyDescent="0.25">
      <c r="Y3834" s="501"/>
    </row>
    <row r="3835" spans="25:25" hidden="1" x14ac:dyDescent="0.25">
      <c r="Y3835" s="501"/>
    </row>
    <row r="3836" spans="25:25" hidden="1" x14ac:dyDescent="0.25">
      <c r="Y3836" s="501"/>
    </row>
    <row r="3837" spans="25:25" hidden="1" x14ac:dyDescent="0.25">
      <c r="Y3837" s="501"/>
    </row>
    <row r="3838" spans="25:25" hidden="1" x14ac:dyDescent="0.25">
      <c r="Y3838" s="501"/>
    </row>
    <row r="3839" spans="25:25" hidden="1" x14ac:dyDescent="0.25">
      <c r="Y3839" s="501"/>
    </row>
    <row r="3840" spans="25:25" hidden="1" x14ac:dyDescent="0.25">
      <c r="Y3840" s="501"/>
    </row>
    <row r="3841" spans="25:25" hidden="1" x14ac:dyDescent="0.25">
      <c r="Y3841" s="501"/>
    </row>
    <row r="3842" spans="25:25" hidden="1" x14ac:dyDescent="0.25">
      <c r="Y3842" s="501"/>
    </row>
    <row r="3843" spans="25:25" hidden="1" x14ac:dyDescent="0.25">
      <c r="Y3843" s="501"/>
    </row>
    <row r="3844" spans="25:25" hidden="1" x14ac:dyDescent="0.25">
      <c r="Y3844" s="501"/>
    </row>
    <row r="3845" spans="25:25" hidden="1" x14ac:dyDescent="0.25">
      <c r="Y3845" s="501"/>
    </row>
    <row r="3846" spans="25:25" hidden="1" x14ac:dyDescent="0.25">
      <c r="Y3846" s="501"/>
    </row>
    <row r="3847" spans="25:25" hidden="1" x14ac:dyDescent="0.25">
      <c r="Y3847" s="501"/>
    </row>
    <row r="3848" spans="25:25" hidden="1" x14ac:dyDescent="0.25">
      <c r="Y3848" s="501"/>
    </row>
    <row r="3849" spans="25:25" hidden="1" x14ac:dyDescent="0.25">
      <c r="Y3849" s="501"/>
    </row>
    <row r="3850" spans="25:25" hidden="1" x14ac:dyDescent="0.25">
      <c r="Y3850" s="501"/>
    </row>
    <row r="3851" spans="25:25" hidden="1" x14ac:dyDescent="0.25">
      <c r="Y3851" s="501"/>
    </row>
    <row r="3852" spans="25:25" hidden="1" x14ac:dyDescent="0.25">
      <c r="Y3852" s="501"/>
    </row>
    <row r="3853" spans="25:25" hidden="1" x14ac:dyDescent="0.25">
      <c r="Y3853" s="501"/>
    </row>
    <row r="3854" spans="25:25" hidden="1" x14ac:dyDescent="0.25">
      <c r="Y3854" s="501"/>
    </row>
    <row r="3855" spans="25:25" hidden="1" x14ac:dyDescent="0.25">
      <c r="Y3855" s="501"/>
    </row>
    <row r="3856" spans="25:25" hidden="1" x14ac:dyDescent="0.25">
      <c r="Y3856" s="501"/>
    </row>
    <row r="3857" spans="25:25" hidden="1" x14ac:dyDescent="0.25">
      <c r="Y3857" s="501"/>
    </row>
    <row r="3858" spans="25:25" hidden="1" x14ac:dyDescent="0.25">
      <c r="Y3858" s="501"/>
    </row>
    <row r="3859" spans="25:25" hidden="1" x14ac:dyDescent="0.25">
      <c r="Y3859" s="501"/>
    </row>
    <row r="3860" spans="25:25" hidden="1" x14ac:dyDescent="0.25">
      <c r="Y3860" s="501"/>
    </row>
    <row r="3861" spans="25:25" hidden="1" x14ac:dyDescent="0.25">
      <c r="Y3861" s="501"/>
    </row>
    <row r="3862" spans="25:25" hidden="1" x14ac:dyDescent="0.25">
      <c r="Y3862" s="501"/>
    </row>
    <row r="3863" spans="25:25" hidden="1" x14ac:dyDescent="0.25">
      <c r="Y3863" s="501"/>
    </row>
    <row r="3864" spans="25:25" hidden="1" x14ac:dyDescent="0.25">
      <c r="Y3864" s="501"/>
    </row>
    <row r="3865" spans="25:25" hidden="1" x14ac:dyDescent="0.25">
      <c r="Y3865" s="501"/>
    </row>
    <row r="3866" spans="25:25" hidden="1" x14ac:dyDescent="0.25">
      <c r="Y3866" s="501"/>
    </row>
    <row r="3867" spans="25:25" hidden="1" x14ac:dyDescent="0.25">
      <c r="Y3867" s="501"/>
    </row>
    <row r="3868" spans="25:25" hidden="1" x14ac:dyDescent="0.25">
      <c r="Y3868" s="501"/>
    </row>
    <row r="3869" spans="25:25" hidden="1" x14ac:dyDescent="0.25">
      <c r="Y3869" s="501"/>
    </row>
    <row r="3870" spans="25:25" hidden="1" x14ac:dyDescent="0.25">
      <c r="Y3870" s="501"/>
    </row>
    <row r="3871" spans="25:25" hidden="1" x14ac:dyDescent="0.25">
      <c r="Y3871" s="501"/>
    </row>
    <row r="3872" spans="25:25" hidden="1" x14ac:dyDescent="0.25">
      <c r="Y3872" s="501"/>
    </row>
    <row r="3873" spans="25:25" hidden="1" x14ac:dyDescent="0.25">
      <c r="Y3873" s="501"/>
    </row>
    <row r="3874" spans="25:25" hidden="1" x14ac:dyDescent="0.25">
      <c r="Y3874" s="501"/>
    </row>
    <row r="3875" spans="25:25" hidden="1" x14ac:dyDescent="0.25">
      <c r="Y3875" s="501"/>
    </row>
    <row r="3876" spans="25:25" hidden="1" x14ac:dyDescent="0.25">
      <c r="Y3876" s="501"/>
    </row>
    <row r="3877" spans="25:25" hidden="1" x14ac:dyDescent="0.25">
      <c r="Y3877" s="501"/>
    </row>
    <row r="3878" spans="25:25" hidden="1" x14ac:dyDescent="0.25">
      <c r="Y3878" s="501"/>
    </row>
    <row r="3879" spans="25:25" hidden="1" x14ac:dyDescent="0.25">
      <c r="Y3879" s="501"/>
    </row>
    <row r="3880" spans="25:25" hidden="1" x14ac:dyDescent="0.25">
      <c r="Y3880" s="501"/>
    </row>
    <row r="3881" spans="25:25" hidden="1" x14ac:dyDescent="0.25">
      <c r="Y3881" s="501"/>
    </row>
    <row r="3882" spans="25:25" hidden="1" x14ac:dyDescent="0.25">
      <c r="Y3882" s="501"/>
    </row>
    <row r="3883" spans="25:25" hidden="1" x14ac:dyDescent="0.25">
      <c r="Y3883" s="501"/>
    </row>
    <row r="3884" spans="25:25" hidden="1" x14ac:dyDescent="0.25">
      <c r="Y3884" s="501"/>
    </row>
    <row r="3885" spans="25:25" hidden="1" x14ac:dyDescent="0.25">
      <c r="Y3885" s="501"/>
    </row>
    <row r="3886" spans="25:25" hidden="1" x14ac:dyDescent="0.25">
      <c r="Y3886" s="501"/>
    </row>
    <row r="3887" spans="25:25" hidden="1" x14ac:dyDescent="0.25">
      <c r="Y3887" s="501"/>
    </row>
    <row r="3888" spans="25:25" hidden="1" x14ac:dyDescent="0.25">
      <c r="Y3888" s="501"/>
    </row>
    <row r="3889" spans="25:25" hidden="1" x14ac:dyDescent="0.25">
      <c r="Y3889" s="501"/>
    </row>
    <row r="3890" spans="25:25" hidden="1" x14ac:dyDescent="0.25">
      <c r="Y3890" s="501"/>
    </row>
    <row r="3891" spans="25:25" hidden="1" x14ac:dyDescent="0.25">
      <c r="Y3891" s="501"/>
    </row>
    <row r="3892" spans="25:25" hidden="1" x14ac:dyDescent="0.25">
      <c r="Y3892" s="501"/>
    </row>
    <row r="3893" spans="25:25" hidden="1" x14ac:dyDescent="0.25">
      <c r="Y3893" s="501"/>
    </row>
    <row r="3894" spans="25:25" hidden="1" x14ac:dyDescent="0.25">
      <c r="Y3894" s="501"/>
    </row>
    <row r="3895" spans="25:25" hidden="1" x14ac:dyDescent="0.25">
      <c r="Y3895" s="501"/>
    </row>
    <row r="3896" spans="25:25" hidden="1" x14ac:dyDescent="0.25">
      <c r="Y3896" s="501"/>
    </row>
    <row r="3897" spans="25:25" hidden="1" x14ac:dyDescent="0.25">
      <c r="Y3897" s="501"/>
    </row>
    <row r="3898" spans="25:25" hidden="1" x14ac:dyDescent="0.25">
      <c r="Y3898" s="501"/>
    </row>
    <row r="3899" spans="25:25" hidden="1" x14ac:dyDescent="0.25">
      <c r="Y3899" s="501"/>
    </row>
    <row r="3900" spans="25:25" hidden="1" x14ac:dyDescent="0.25">
      <c r="Y3900" s="501"/>
    </row>
    <row r="3901" spans="25:25" hidden="1" x14ac:dyDescent="0.25">
      <c r="Y3901" s="501"/>
    </row>
    <row r="3902" spans="25:25" hidden="1" x14ac:dyDescent="0.25">
      <c r="Y3902" s="501"/>
    </row>
    <row r="3903" spans="25:25" hidden="1" x14ac:dyDescent="0.25">
      <c r="Y3903" s="501"/>
    </row>
    <row r="3904" spans="25:25" hidden="1" x14ac:dyDescent="0.25">
      <c r="Y3904" s="501"/>
    </row>
    <row r="3905" spans="25:25" hidden="1" x14ac:dyDescent="0.25">
      <c r="Y3905" s="501"/>
    </row>
    <row r="3906" spans="25:25" hidden="1" x14ac:dyDescent="0.25">
      <c r="Y3906" s="501"/>
    </row>
    <row r="3907" spans="25:25" hidden="1" x14ac:dyDescent="0.25">
      <c r="Y3907" s="501"/>
    </row>
    <row r="3908" spans="25:25" hidden="1" x14ac:dyDescent="0.25">
      <c r="Y3908" s="501"/>
    </row>
    <row r="3909" spans="25:25" hidden="1" x14ac:dyDescent="0.25">
      <c r="Y3909" s="501"/>
    </row>
    <row r="3910" spans="25:25" hidden="1" x14ac:dyDescent="0.25">
      <c r="Y3910" s="501"/>
    </row>
    <row r="3911" spans="25:25" hidden="1" x14ac:dyDescent="0.25">
      <c r="Y3911" s="501"/>
    </row>
    <row r="3912" spans="25:25" hidden="1" x14ac:dyDescent="0.25">
      <c r="Y3912" s="501"/>
    </row>
    <row r="3913" spans="25:25" hidden="1" x14ac:dyDescent="0.25">
      <c r="Y3913" s="501"/>
    </row>
    <row r="3914" spans="25:25" hidden="1" x14ac:dyDescent="0.25">
      <c r="Y3914" s="501"/>
    </row>
    <row r="3915" spans="25:25" hidden="1" x14ac:dyDescent="0.25">
      <c r="Y3915" s="501"/>
    </row>
    <row r="3916" spans="25:25" hidden="1" x14ac:dyDescent="0.25">
      <c r="Y3916" s="501"/>
    </row>
    <row r="3917" spans="25:25" hidden="1" x14ac:dyDescent="0.25">
      <c r="Y3917" s="501"/>
    </row>
    <row r="3918" spans="25:25" hidden="1" x14ac:dyDescent="0.25">
      <c r="Y3918" s="501"/>
    </row>
    <row r="3919" spans="25:25" hidden="1" x14ac:dyDescent="0.25">
      <c r="Y3919" s="501"/>
    </row>
    <row r="3920" spans="25:25" hidden="1" x14ac:dyDescent="0.25">
      <c r="Y3920" s="501"/>
    </row>
    <row r="3921" spans="25:25" hidden="1" x14ac:dyDescent="0.25">
      <c r="Y3921" s="501"/>
    </row>
    <row r="3922" spans="25:25" hidden="1" x14ac:dyDescent="0.25">
      <c r="Y3922" s="501"/>
    </row>
    <row r="3923" spans="25:25" hidden="1" x14ac:dyDescent="0.25">
      <c r="Y3923" s="501"/>
    </row>
    <row r="3924" spans="25:25" hidden="1" x14ac:dyDescent="0.25">
      <c r="Y3924" s="501"/>
    </row>
    <row r="3925" spans="25:25" hidden="1" x14ac:dyDescent="0.25">
      <c r="Y3925" s="501"/>
    </row>
    <row r="3926" spans="25:25" hidden="1" x14ac:dyDescent="0.25">
      <c r="Y3926" s="501"/>
    </row>
    <row r="3927" spans="25:25" hidden="1" x14ac:dyDescent="0.25">
      <c r="Y3927" s="501"/>
    </row>
    <row r="3928" spans="25:25" hidden="1" x14ac:dyDescent="0.25">
      <c r="Y3928" s="501"/>
    </row>
    <row r="3929" spans="25:25" hidden="1" x14ac:dyDescent="0.25">
      <c r="Y3929" s="501"/>
    </row>
    <row r="3930" spans="25:25" hidden="1" x14ac:dyDescent="0.25">
      <c r="Y3930" s="501"/>
    </row>
    <row r="3931" spans="25:25" hidden="1" x14ac:dyDescent="0.25">
      <c r="Y3931" s="501"/>
    </row>
    <row r="3932" spans="25:25" hidden="1" x14ac:dyDescent="0.25">
      <c r="Y3932" s="501"/>
    </row>
    <row r="3933" spans="25:25" hidden="1" x14ac:dyDescent="0.25">
      <c r="Y3933" s="501"/>
    </row>
    <row r="3934" spans="25:25" hidden="1" x14ac:dyDescent="0.25">
      <c r="Y3934" s="501"/>
    </row>
    <row r="3935" spans="25:25" hidden="1" x14ac:dyDescent="0.25">
      <c r="Y3935" s="501"/>
    </row>
    <row r="3936" spans="25:25" hidden="1" x14ac:dyDescent="0.25">
      <c r="Y3936" s="501"/>
    </row>
    <row r="3937" spans="25:25" hidden="1" x14ac:dyDescent="0.25">
      <c r="Y3937" s="501"/>
    </row>
    <row r="3938" spans="25:25" hidden="1" x14ac:dyDescent="0.25">
      <c r="Y3938" s="501"/>
    </row>
    <row r="3939" spans="25:25" hidden="1" x14ac:dyDescent="0.25">
      <c r="Y3939" s="501"/>
    </row>
    <row r="3940" spans="25:25" hidden="1" x14ac:dyDescent="0.25">
      <c r="Y3940" s="501"/>
    </row>
    <row r="3941" spans="25:25" hidden="1" x14ac:dyDescent="0.25">
      <c r="Y3941" s="501"/>
    </row>
    <row r="3942" spans="25:25" hidden="1" x14ac:dyDescent="0.25">
      <c r="Y3942" s="501"/>
    </row>
    <row r="3943" spans="25:25" hidden="1" x14ac:dyDescent="0.25">
      <c r="Y3943" s="501"/>
    </row>
    <row r="3944" spans="25:25" hidden="1" x14ac:dyDescent="0.25">
      <c r="Y3944" s="501"/>
    </row>
    <row r="3945" spans="25:25" hidden="1" x14ac:dyDescent="0.25">
      <c r="Y3945" s="501"/>
    </row>
    <row r="3946" spans="25:25" hidden="1" x14ac:dyDescent="0.25">
      <c r="Y3946" s="501"/>
    </row>
    <row r="3947" spans="25:25" hidden="1" x14ac:dyDescent="0.25">
      <c r="Y3947" s="501"/>
    </row>
    <row r="3948" spans="25:25" hidden="1" x14ac:dyDescent="0.25">
      <c r="Y3948" s="501"/>
    </row>
    <row r="3949" spans="25:25" hidden="1" x14ac:dyDescent="0.25">
      <c r="Y3949" s="501"/>
    </row>
    <row r="3950" spans="25:25" hidden="1" x14ac:dyDescent="0.25">
      <c r="Y3950" s="501"/>
    </row>
    <row r="3951" spans="25:25" hidden="1" x14ac:dyDescent="0.25">
      <c r="Y3951" s="501"/>
    </row>
    <row r="3952" spans="25:25" hidden="1" x14ac:dyDescent="0.25">
      <c r="Y3952" s="501"/>
    </row>
    <row r="3953" spans="25:25" hidden="1" x14ac:dyDescent="0.25">
      <c r="Y3953" s="501"/>
    </row>
    <row r="3954" spans="25:25" hidden="1" x14ac:dyDescent="0.25">
      <c r="Y3954" s="501"/>
    </row>
    <row r="3955" spans="25:25" hidden="1" x14ac:dyDescent="0.25">
      <c r="Y3955" s="501"/>
    </row>
    <row r="3956" spans="25:25" hidden="1" x14ac:dyDescent="0.25">
      <c r="Y3956" s="501"/>
    </row>
    <row r="3957" spans="25:25" hidden="1" x14ac:dyDescent="0.25">
      <c r="Y3957" s="501"/>
    </row>
    <row r="3958" spans="25:25" hidden="1" x14ac:dyDescent="0.25">
      <c r="Y3958" s="501"/>
    </row>
    <row r="3959" spans="25:25" hidden="1" x14ac:dyDescent="0.25">
      <c r="Y3959" s="501"/>
    </row>
    <row r="3960" spans="25:25" hidden="1" x14ac:dyDescent="0.25">
      <c r="Y3960" s="501"/>
    </row>
    <row r="3961" spans="25:25" hidden="1" x14ac:dyDescent="0.25">
      <c r="Y3961" s="501"/>
    </row>
    <row r="3962" spans="25:25" hidden="1" x14ac:dyDescent="0.25">
      <c r="Y3962" s="501"/>
    </row>
    <row r="3963" spans="25:25" hidden="1" x14ac:dyDescent="0.25">
      <c r="Y3963" s="501"/>
    </row>
    <row r="3964" spans="25:25" hidden="1" x14ac:dyDescent="0.25">
      <c r="Y3964" s="501"/>
    </row>
    <row r="3965" spans="25:25" hidden="1" x14ac:dyDescent="0.25">
      <c r="Y3965" s="501"/>
    </row>
    <row r="3966" spans="25:25" hidden="1" x14ac:dyDescent="0.25">
      <c r="Y3966" s="501"/>
    </row>
    <row r="3967" spans="25:25" hidden="1" x14ac:dyDescent="0.25">
      <c r="Y3967" s="501"/>
    </row>
    <row r="3968" spans="25:25" hidden="1" x14ac:dyDescent="0.25">
      <c r="Y3968" s="501"/>
    </row>
    <row r="3969" spans="25:25" hidden="1" x14ac:dyDescent="0.25">
      <c r="Y3969" s="501"/>
    </row>
    <row r="3970" spans="25:25" hidden="1" x14ac:dyDescent="0.25">
      <c r="Y3970" s="501"/>
    </row>
    <row r="3971" spans="25:25" hidden="1" x14ac:dyDescent="0.25">
      <c r="Y3971" s="501"/>
    </row>
    <row r="3972" spans="25:25" hidden="1" x14ac:dyDescent="0.25">
      <c r="Y3972" s="501"/>
    </row>
    <row r="3973" spans="25:25" hidden="1" x14ac:dyDescent="0.25">
      <c r="Y3973" s="501"/>
    </row>
    <row r="3974" spans="25:25" hidden="1" x14ac:dyDescent="0.25">
      <c r="Y3974" s="501"/>
    </row>
    <row r="3975" spans="25:25" hidden="1" x14ac:dyDescent="0.25">
      <c r="Y3975" s="501"/>
    </row>
    <row r="3976" spans="25:25" hidden="1" x14ac:dyDescent="0.25">
      <c r="Y3976" s="501"/>
    </row>
    <row r="3977" spans="25:25" hidden="1" x14ac:dyDescent="0.25">
      <c r="Y3977" s="501"/>
    </row>
    <row r="3978" spans="25:25" hidden="1" x14ac:dyDescent="0.25">
      <c r="Y3978" s="501"/>
    </row>
    <row r="3979" spans="25:25" hidden="1" x14ac:dyDescent="0.25">
      <c r="Y3979" s="501"/>
    </row>
    <row r="3980" spans="25:25" hidden="1" x14ac:dyDescent="0.25">
      <c r="Y3980" s="501"/>
    </row>
    <row r="3981" spans="25:25" hidden="1" x14ac:dyDescent="0.25">
      <c r="Y3981" s="501"/>
    </row>
    <row r="3982" spans="25:25" hidden="1" x14ac:dyDescent="0.25">
      <c r="Y3982" s="501"/>
    </row>
    <row r="3983" spans="25:25" hidden="1" x14ac:dyDescent="0.25">
      <c r="Y3983" s="501"/>
    </row>
    <row r="3984" spans="25:25" hidden="1" x14ac:dyDescent="0.25">
      <c r="Y3984" s="501"/>
    </row>
    <row r="3985" spans="25:25" hidden="1" x14ac:dyDescent="0.25">
      <c r="Y3985" s="501"/>
    </row>
    <row r="3986" spans="25:25" hidden="1" x14ac:dyDescent="0.25">
      <c r="Y3986" s="501"/>
    </row>
    <row r="3987" spans="25:25" hidden="1" x14ac:dyDescent="0.25">
      <c r="Y3987" s="501"/>
    </row>
    <row r="3988" spans="25:25" hidden="1" x14ac:dyDescent="0.25">
      <c r="Y3988" s="501"/>
    </row>
    <row r="3989" spans="25:25" hidden="1" x14ac:dyDescent="0.25">
      <c r="Y3989" s="501"/>
    </row>
    <row r="3990" spans="25:25" hidden="1" x14ac:dyDescent="0.25">
      <c r="Y3990" s="501"/>
    </row>
    <row r="3991" spans="25:25" hidden="1" x14ac:dyDescent="0.25">
      <c r="Y3991" s="501"/>
    </row>
    <row r="3992" spans="25:25" hidden="1" x14ac:dyDescent="0.25">
      <c r="Y3992" s="501"/>
    </row>
    <row r="3993" spans="25:25" hidden="1" x14ac:dyDescent="0.25">
      <c r="Y3993" s="501"/>
    </row>
    <row r="3994" spans="25:25" hidden="1" x14ac:dyDescent="0.25">
      <c r="Y3994" s="501"/>
    </row>
    <row r="3995" spans="25:25" hidden="1" x14ac:dyDescent="0.25">
      <c r="Y3995" s="501"/>
    </row>
    <row r="3996" spans="25:25" hidden="1" x14ac:dyDescent="0.25">
      <c r="Y3996" s="501"/>
    </row>
    <row r="3997" spans="25:25" hidden="1" x14ac:dyDescent="0.25">
      <c r="Y3997" s="501"/>
    </row>
    <row r="3998" spans="25:25" hidden="1" x14ac:dyDescent="0.25">
      <c r="Y3998" s="501"/>
    </row>
    <row r="3999" spans="25:25" hidden="1" x14ac:dyDescent="0.25">
      <c r="Y3999" s="501"/>
    </row>
    <row r="4000" spans="25:25" hidden="1" x14ac:dyDescent="0.25">
      <c r="Y4000" s="501"/>
    </row>
    <row r="4001" spans="25:25" hidden="1" x14ac:dyDescent="0.25">
      <c r="Y4001" s="501"/>
    </row>
    <row r="4002" spans="25:25" hidden="1" x14ac:dyDescent="0.25">
      <c r="Y4002" s="501"/>
    </row>
    <row r="4003" spans="25:25" hidden="1" x14ac:dyDescent="0.25">
      <c r="Y4003" s="501"/>
    </row>
    <row r="4004" spans="25:25" hidden="1" x14ac:dyDescent="0.25">
      <c r="Y4004" s="501"/>
    </row>
    <row r="4005" spans="25:25" hidden="1" x14ac:dyDescent="0.25">
      <c r="Y4005" s="501"/>
    </row>
    <row r="4006" spans="25:25" hidden="1" x14ac:dyDescent="0.25">
      <c r="Y4006" s="501"/>
    </row>
    <row r="4007" spans="25:25" hidden="1" x14ac:dyDescent="0.25">
      <c r="Y4007" s="501"/>
    </row>
    <row r="4008" spans="25:25" hidden="1" x14ac:dyDescent="0.25">
      <c r="Y4008" s="501"/>
    </row>
    <row r="4009" spans="25:25" hidden="1" x14ac:dyDescent="0.25">
      <c r="Y4009" s="501"/>
    </row>
    <row r="4010" spans="25:25" hidden="1" x14ac:dyDescent="0.25">
      <c r="Y4010" s="501"/>
    </row>
    <row r="4011" spans="25:25" hidden="1" x14ac:dyDescent="0.25">
      <c r="Y4011" s="501"/>
    </row>
    <row r="4012" spans="25:25" hidden="1" x14ac:dyDescent="0.25">
      <c r="Y4012" s="501"/>
    </row>
    <row r="4013" spans="25:25" hidden="1" x14ac:dyDescent="0.25">
      <c r="Y4013" s="501"/>
    </row>
    <row r="4014" spans="25:25" hidden="1" x14ac:dyDescent="0.25">
      <c r="Y4014" s="501"/>
    </row>
    <row r="4015" spans="25:25" hidden="1" x14ac:dyDescent="0.25">
      <c r="Y4015" s="501"/>
    </row>
    <row r="4016" spans="25:25" hidden="1" x14ac:dyDescent="0.25">
      <c r="Y4016" s="501"/>
    </row>
    <row r="4017" spans="25:25" hidden="1" x14ac:dyDescent="0.25">
      <c r="Y4017" s="501"/>
    </row>
    <row r="4018" spans="25:25" hidden="1" x14ac:dyDescent="0.25">
      <c r="Y4018" s="501"/>
    </row>
    <row r="4019" spans="25:25" hidden="1" x14ac:dyDescent="0.25">
      <c r="Y4019" s="501"/>
    </row>
    <row r="4020" spans="25:25" hidden="1" x14ac:dyDescent="0.25">
      <c r="Y4020" s="501"/>
    </row>
    <row r="4021" spans="25:25" hidden="1" x14ac:dyDescent="0.25">
      <c r="Y4021" s="501"/>
    </row>
    <row r="4022" spans="25:25" hidden="1" x14ac:dyDescent="0.25">
      <c r="Y4022" s="501"/>
    </row>
    <row r="4023" spans="25:25" hidden="1" x14ac:dyDescent="0.25">
      <c r="Y4023" s="501"/>
    </row>
    <row r="4024" spans="25:25" hidden="1" x14ac:dyDescent="0.25">
      <c r="Y4024" s="501"/>
    </row>
    <row r="4025" spans="25:25" hidden="1" x14ac:dyDescent="0.25">
      <c r="Y4025" s="501"/>
    </row>
    <row r="4026" spans="25:25" hidden="1" x14ac:dyDescent="0.25">
      <c r="Y4026" s="501"/>
    </row>
    <row r="4027" spans="25:25" hidden="1" x14ac:dyDescent="0.25">
      <c r="Y4027" s="501"/>
    </row>
    <row r="4028" spans="25:25" hidden="1" x14ac:dyDescent="0.25">
      <c r="Y4028" s="501"/>
    </row>
    <row r="4029" spans="25:25" hidden="1" x14ac:dyDescent="0.25">
      <c r="Y4029" s="501"/>
    </row>
    <row r="4030" spans="25:25" hidden="1" x14ac:dyDescent="0.25">
      <c r="Y4030" s="501"/>
    </row>
    <row r="4031" spans="25:25" hidden="1" x14ac:dyDescent="0.25">
      <c r="Y4031" s="501"/>
    </row>
    <row r="4032" spans="25:25" hidden="1" x14ac:dyDescent="0.25">
      <c r="Y4032" s="501"/>
    </row>
    <row r="4033" spans="25:25" hidden="1" x14ac:dyDescent="0.25">
      <c r="Y4033" s="501"/>
    </row>
    <row r="4034" spans="25:25" hidden="1" x14ac:dyDescent="0.25">
      <c r="Y4034" s="501"/>
    </row>
    <row r="4035" spans="25:25" hidden="1" x14ac:dyDescent="0.25">
      <c r="Y4035" s="501"/>
    </row>
    <row r="4036" spans="25:25" hidden="1" x14ac:dyDescent="0.25">
      <c r="Y4036" s="501"/>
    </row>
    <row r="4037" spans="25:25" hidden="1" x14ac:dyDescent="0.25">
      <c r="Y4037" s="501"/>
    </row>
    <row r="4038" spans="25:25" hidden="1" x14ac:dyDescent="0.25">
      <c r="Y4038" s="501"/>
    </row>
    <row r="4039" spans="25:25" hidden="1" x14ac:dyDescent="0.25">
      <c r="Y4039" s="501"/>
    </row>
    <row r="4040" spans="25:25" hidden="1" x14ac:dyDescent="0.25">
      <c r="Y4040" s="501"/>
    </row>
    <row r="4041" spans="25:25" hidden="1" x14ac:dyDescent="0.25">
      <c r="Y4041" s="501"/>
    </row>
    <row r="4042" spans="25:25" hidden="1" x14ac:dyDescent="0.25">
      <c r="Y4042" s="501"/>
    </row>
    <row r="4043" spans="25:25" hidden="1" x14ac:dyDescent="0.25">
      <c r="Y4043" s="501"/>
    </row>
    <row r="4044" spans="25:25" hidden="1" x14ac:dyDescent="0.25">
      <c r="Y4044" s="501"/>
    </row>
    <row r="4045" spans="25:25" hidden="1" x14ac:dyDescent="0.25">
      <c r="Y4045" s="501"/>
    </row>
    <row r="4046" spans="25:25" hidden="1" x14ac:dyDescent="0.25">
      <c r="Y4046" s="501"/>
    </row>
    <row r="4047" spans="25:25" hidden="1" x14ac:dyDescent="0.25">
      <c r="Y4047" s="501"/>
    </row>
    <row r="4048" spans="25:25" hidden="1" x14ac:dyDescent="0.25">
      <c r="Y4048" s="501"/>
    </row>
    <row r="4049" spans="25:25" hidden="1" x14ac:dyDescent="0.25">
      <c r="Y4049" s="501"/>
    </row>
    <row r="4050" spans="25:25" hidden="1" x14ac:dyDescent="0.25">
      <c r="Y4050" s="501"/>
    </row>
    <row r="4051" spans="25:25" hidden="1" x14ac:dyDescent="0.25">
      <c r="Y4051" s="501"/>
    </row>
    <row r="4052" spans="25:25" hidden="1" x14ac:dyDescent="0.25">
      <c r="Y4052" s="501"/>
    </row>
    <row r="4053" spans="25:25" hidden="1" x14ac:dyDescent="0.25">
      <c r="Y4053" s="501"/>
    </row>
    <row r="4054" spans="25:25" hidden="1" x14ac:dyDescent="0.25">
      <c r="Y4054" s="501"/>
    </row>
    <row r="4055" spans="25:25" hidden="1" x14ac:dyDescent="0.25">
      <c r="Y4055" s="501"/>
    </row>
    <row r="4056" spans="25:25" hidden="1" x14ac:dyDescent="0.25">
      <c r="Y4056" s="501"/>
    </row>
    <row r="4057" spans="25:25" hidden="1" x14ac:dyDescent="0.25">
      <c r="Y4057" s="501"/>
    </row>
    <row r="4058" spans="25:25" hidden="1" x14ac:dyDescent="0.25">
      <c r="Y4058" s="501"/>
    </row>
    <row r="4059" spans="25:25" hidden="1" x14ac:dyDescent="0.25">
      <c r="Y4059" s="501"/>
    </row>
    <row r="4060" spans="25:25" hidden="1" x14ac:dyDescent="0.25">
      <c r="Y4060" s="501"/>
    </row>
    <row r="4061" spans="25:25" hidden="1" x14ac:dyDescent="0.25">
      <c r="Y4061" s="501"/>
    </row>
    <row r="4062" spans="25:25" hidden="1" x14ac:dyDescent="0.25">
      <c r="Y4062" s="501"/>
    </row>
    <row r="4063" spans="25:25" hidden="1" x14ac:dyDescent="0.25">
      <c r="Y4063" s="501"/>
    </row>
    <row r="4064" spans="25:25" hidden="1" x14ac:dyDescent="0.25">
      <c r="Y4064" s="501"/>
    </row>
    <row r="4065" spans="25:25" hidden="1" x14ac:dyDescent="0.25">
      <c r="Y4065" s="501"/>
    </row>
    <row r="4066" spans="25:25" hidden="1" x14ac:dyDescent="0.25">
      <c r="Y4066" s="501"/>
    </row>
    <row r="4067" spans="25:25" hidden="1" x14ac:dyDescent="0.25">
      <c r="Y4067" s="501"/>
    </row>
    <row r="4068" spans="25:25" hidden="1" x14ac:dyDescent="0.25">
      <c r="Y4068" s="501"/>
    </row>
    <row r="4069" spans="25:25" hidden="1" x14ac:dyDescent="0.25">
      <c r="Y4069" s="501"/>
    </row>
    <row r="4070" spans="25:25" hidden="1" x14ac:dyDescent="0.25">
      <c r="Y4070" s="501"/>
    </row>
    <row r="4071" spans="25:25" hidden="1" x14ac:dyDescent="0.25">
      <c r="Y4071" s="501"/>
    </row>
    <row r="4072" spans="25:25" hidden="1" x14ac:dyDescent="0.25">
      <c r="Y4072" s="501"/>
    </row>
    <row r="4073" spans="25:25" hidden="1" x14ac:dyDescent="0.25">
      <c r="Y4073" s="501"/>
    </row>
    <row r="4074" spans="25:25" hidden="1" x14ac:dyDescent="0.25">
      <c r="Y4074" s="501"/>
    </row>
    <row r="4075" spans="25:25" hidden="1" x14ac:dyDescent="0.25">
      <c r="Y4075" s="501"/>
    </row>
    <row r="4076" spans="25:25" hidden="1" x14ac:dyDescent="0.25">
      <c r="Y4076" s="501"/>
    </row>
    <row r="4077" spans="25:25" hidden="1" x14ac:dyDescent="0.25">
      <c r="Y4077" s="501"/>
    </row>
    <row r="4078" spans="25:25" hidden="1" x14ac:dyDescent="0.25">
      <c r="Y4078" s="501"/>
    </row>
    <row r="4079" spans="25:25" hidden="1" x14ac:dyDescent="0.25">
      <c r="Y4079" s="501"/>
    </row>
    <row r="4080" spans="25:25" hidden="1" x14ac:dyDescent="0.25">
      <c r="Y4080" s="501"/>
    </row>
    <row r="4081" spans="25:25" hidden="1" x14ac:dyDescent="0.25">
      <c r="Y4081" s="501"/>
    </row>
    <row r="4082" spans="25:25" hidden="1" x14ac:dyDescent="0.25">
      <c r="Y4082" s="501"/>
    </row>
    <row r="4083" spans="25:25" hidden="1" x14ac:dyDescent="0.25">
      <c r="Y4083" s="501"/>
    </row>
    <row r="4084" spans="25:25" hidden="1" x14ac:dyDescent="0.25">
      <c r="Y4084" s="501"/>
    </row>
    <row r="4085" spans="25:25" hidden="1" x14ac:dyDescent="0.25">
      <c r="Y4085" s="501"/>
    </row>
    <row r="4086" spans="25:25" hidden="1" x14ac:dyDescent="0.25">
      <c r="Y4086" s="501"/>
    </row>
    <row r="4087" spans="25:25" hidden="1" x14ac:dyDescent="0.25">
      <c r="Y4087" s="501"/>
    </row>
    <row r="4088" spans="25:25" hidden="1" x14ac:dyDescent="0.25">
      <c r="Y4088" s="501"/>
    </row>
    <row r="4089" spans="25:25" hidden="1" x14ac:dyDescent="0.25">
      <c r="Y4089" s="501"/>
    </row>
    <row r="4090" spans="25:25" hidden="1" x14ac:dyDescent="0.25">
      <c r="Y4090" s="501"/>
    </row>
    <row r="4091" spans="25:25" hidden="1" x14ac:dyDescent="0.25">
      <c r="Y4091" s="501"/>
    </row>
    <row r="4092" spans="25:25" hidden="1" x14ac:dyDescent="0.25">
      <c r="Y4092" s="501"/>
    </row>
    <row r="4093" spans="25:25" hidden="1" x14ac:dyDescent="0.25">
      <c r="Y4093" s="501"/>
    </row>
    <row r="4094" spans="25:25" hidden="1" x14ac:dyDescent="0.25">
      <c r="Y4094" s="501"/>
    </row>
    <row r="4095" spans="25:25" hidden="1" x14ac:dyDescent="0.25">
      <c r="Y4095" s="501"/>
    </row>
    <row r="4096" spans="25:25" hidden="1" x14ac:dyDescent="0.25">
      <c r="Y4096" s="501"/>
    </row>
    <row r="4097" spans="25:25" hidden="1" x14ac:dyDescent="0.25">
      <c r="Y4097" s="501"/>
    </row>
    <row r="4098" spans="25:25" hidden="1" x14ac:dyDescent="0.25">
      <c r="Y4098" s="501"/>
    </row>
    <row r="4099" spans="25:25" hidden="1" x14ac:dyDescent="0.25">
      <c r="Y4099" s="501"/>
    </row>
    <row r="4100" spans="25:25" hidden="1" x14ac:dyDescent="0.25">
      <c r="Y4100" s="501"/>
    </row>
    <row r="4101" spans="25:25" hidden="1" x14ac:dyDescent="0.25">
      <c r="Y4101" s="501"/>
    </row>
    <row r="4102" spans="25:25" hidden="1" x14ac:dyDescent="0.25">
      <c r="Y4102" s="501"/>
    </row>
    <row r="4103" spans="25:25" hidden="1" x14ac:dyDescent="0.25">
      <c r="Y4103" s="501"/>
    </row>
    <row r="4104" spans="25:25" hidden="1" x14ac:dyDescent="0.25">
      <c r="Y4104" s="501"/>
    </row>
    <row r="4105" spans="25:25" hidden="1" x14ac:dyDescent="0.25">
      <c r="Y4105" s="501"/>
    </row>
    <row r="4106" spans="25:25" hidden="1" x14ac:dyDescent="0.25">
      <c r="Y4106" s="501"/>
    </row>
    <row r="4107" spans="25:25" hidden="1" x14ac:dyDescent="0.25">
      <c r="Y4107" s="501"/>
    </row>
    <row r="4108" spans="25:25" hidden="1" x14ac:dyDescent="0.25">
      <c r="Y4108" s="501"/>
    </row>
    <row r="4109" spans="25:25" hidden="1" x14ac:dyDescent="0.25">
      <c r="Y4109" s="501"/>
    </row>
    <row r="4110" spans="25:25" hidden="1" x14ac:dyDescent="0.25">
      <c r="Y4110" s="501"/>
    </row>
    <row r="4111" spans="25:25" hidden="1" x14ac:dyDescent="0.25">
      <c r="Y4111" s="501"/>
    </row>
    <row r="4112" spans="25:25" hidden="1" x14ac:dyDescent="0.25">
      <c r="Y4112" s="501"/>
    </row>
    <row r="4113" spans="25:25" hidden="1" x14ac:dyDescent="0.25">
      <c r="Y4113" s="501"/>
    </row>
    <row r="4114" spans="25:25" hidden="1" x14ac:dyDescent="0.25">
      <c r="Y4114" s="501"/>
    </row>
    <row r="4115" spans="25:25" hidden="1" x14ac:dyDescent="0.25">
      <c r="Y4115" s="501"/>
    </row>
    <row r="4116" spans="25:25" hidden="1" x14ac:dyDescent="0.25">
      <c r="Y4116" s="501"/>
    </row>
    <row r="4117" spans="25:25" hidden="1" x14ac:dyDescent="0.25">
      <c r="Y4117" s="501"/>
    </row>
    <row r="4118" spans="25:25" hidden="1" x14ac:dyDescent="0.25">
      <c r="Y4118" s="501"/>
    </row>
    <row r="4119" spans="25:25" hidden="1" x14ac:dyDescent="0.25">
      <c r="Y4119" s="501"/>
    </row>
    <row r="4120" spans="25:25" hidden="1" x14ac:dyDescent="0.25">
      <c r="Y4120" s="501"/>
    </row>
    <row r="4121" spans="25:25" hidden="1" x14ac:dyDescent="0.25">
      <c r="Y4121" s="501"/>
    </row>
    <row r="4122" spans="25:25" hidden="1" x14ac:dyDescent="0.25">
      <c r="Y4122" s="501"/>
    </row>
    <row r="4123" spans="25:25" hidden="1" x14ac:dyDescent="0.25">
      <c r="Y4123" s="501"/>
    </row>
    <row r="4124" spans="25:25" hidden="1" x14ac:dyDescent="0.25">
      <c r="Y4124" s="501"/>
    </row>
    <row r="4125" spans="25:25" hidden="1" x14ac:dyDescent="0.25">
      <c r="Y4125" s="501"/>
    </row>
    <row r="4126" spans="25:25" hidden="1" x14ac:dyDescent="0.25">
      <c r="Y4126" s="501"/>
    </row>
    <row r="4127" spans="25:25" hidden="1" x14ac:dyDescent="0.25">
      <c r="Y4127" s="501"/>
    </row>
    <row r="4128" spans="25:25" hidden="1" x14ac:dyDescent="0.25">
      <c r="Y4128" s="501"/>
    </row>
    <row r="4129" spans="25:25" hidden="1" x14ac:dyDescent="0.25">
      <c r="Y4129" s="501"/>
    </row>
    <row r="4130" spans="25:25" hidden="1" x14ac:dyDescent="0.25">
      <c r="Y4130" s="501"/>
    </row>
    <row r="4131" spans="25:25" hidden="1" x14ac:dyDescent="0.25">
      <c r="Y4131" s="501"/>
    </row>
    <row r="4132" spans="25:25" hidden="1" x14ac:dyDescent="0.25">
      <c r="Y4132" s="501"/>
    </row>
    <row r="4133" spans="25:25" hidden="1" x14ac:dyDescent="0.25">
      <c r="Y4133" s="501"/>
    </row>
    <row r="4134" spans="25:25" hidden="1" x14ac:dyDescent="0.25">
      <c r="Y4134" s="501"/>
    </row>
    <row r="4135" spans="25:25" hidden="1" x14ac:dyDescent="0.25">
      <c r="Y4135" s="501"/>
    </row>
    <row r="4136" spans="25:25" hidden="1" x14ac:dyDescent="0.25">
      <c r="Y4136" s="501"/>
    </row>
    <row r="4137" spans="25:25" hidden="1" x14ac:dyDescent="0.25">
      <c r="Y4137" s="501"/>
    </row>
    <row r="4138" spans="25:25" hidden="1" x14ac:dyDescent="0.25">
      <c r="Y4138" s="501"/>
    </row>
    <row r="4139" spans="25:25" hidden="1" x14ac:dyDescent="0.25">
      <c r="Y4139" s="501"/>
    </row>
    <row r="4140" spans="25:25" hidden="1" x14ac:dyDescent="0.25">
      <c r="Y4140" s="501"/>
    </row>
    <row r="4141" spans="25:25" hidden="1" x14ac:dyDescent="0.25">
      <c r="Y4141" s="501"/>
    </row>
    <row r="4142" spans="25:25" hidden="1" x14ac:dyDescent="0.25">
      <c r="Y4142" s="501"/>
    </row>
    <row r="4143" spans="25:25" hidden="1" x14ac:dyDescent="0.25">
      <c r="Y4143" s="501"/>
    </row>
    <row r="4144" spans="25:25" hidden="1" x14ac:dyDescent="0.25">
      <c r="Y4144" s="501"/>
    </row>
    <row r="4145" spans="25:25" hidden="1" x14ac:dyDescent="0.25">
      <c r="Y4145" s="501"/>
    </row>
    <row r="4146" spans="25:25" hidden="1" x14ac:dyDescent="0.25">
      <c r="Y4146" s="501"/>
    </row>
    <row r="4147" spans="25:25" hidden="1" x14ac:dyDescent="0.25">
      <c r="Y4147" s="501"/>
    </row>
    <row r="4148" spans="25:25" hidden="1" x14ac:dyDescent="0.25">
      <c r="Y4148" s="501"/>
    </row>
    <row r="4149" spans="25:25" hidden="1" x14ac:dyDescent="0.25">
      <c r="Y4149" s="501"/>
    </row>
    <row r="4150" spans="25:25" hidden="1" x14ac:dyDescent="0.25">
      <c r="Y4150" s="501"/>
    </row>
    <row r="4151" spans="25:25" hidden="1" x14ac:dyDescent="0.25">
      <c r="Y4151" s="501"/>
    </row>
    <row r="4152" spans="25:25" hidden="1" x14ac:dyDescent="0.25">
      <c r="Y4152" s="501"/>
    </row>
    <row r="4153" spans="25:25" hidden="1" x14ac:dyDescent="0.25">
      <c r="Y4153" s="501"/>
    </row>
    <row r="4154" spans="25:25" hidden="1" x14ac:dyDescent="0.25">
      <c r="Y4154" s="501"/>
    </row>
    <row r="4155" spans="25:25" hidden="1" x14ac:dyDescent="0.25">
      <c r="Y4155" s="501"/>
    </row>
    <row r="4156" spans="25:25" hidden="1" x14ac:dyDescent="0.25">
      <c r="Y4156" s="501"/>
    </row>
    <row r="4157" spans="25:25" hidden="1" x14ac:dyDescent="0.25">
      <c r="Y4157" s="501"/>
    </row>
    <row r="4158" spans="25:25" hidden="1" x14ac:dyDescent="0.25">
      <c r="Y4158" s="501"/>
    </row>
    <row r="4159" spans="25:25" hidden="1" x14ac:dyDescent="0.25">
      <c r="Y4159" s="501"/>
    </row>
    <row r="4160" spans="25:25" hidden="1" x14ac:dyDescent="0.25">
      <c r="Y4160" s="501"/>
    </row>
    <row r="4161" spans="25:25" hidden="1" x14ac:dyDescent="0.25">
      <c r="Y4161" s="501"/>
    </row>
    <row r="4162" spans="25:25" hidden="1" x14ac:dyDescent="0.25">
      <c r="Y4162" s="501"/>
    </row>
    <row r="4163" spans="25:25" hidden="1" x14ac:dyDescent="0.25">
      <c r="Y4163" s="501"/>
    </row>
    <row r="4164" spans="25:25" hidden="1" x14ac:dyDescent="0.25">
      <c r="Y4164" s="501"/>
    </row>
    <row r="4165" spans="25:25" hidden="1" x14ac:dyDescent="0.25">
      <c r="Y4165" s="501"/>
    </row>
    <row r="4166" spans="25:25" hidden="1" x14ac:dyDescent="0.25">
      <c r="Y4166" s="501"/>
    </row>
    <row r="4167" spans="25:25" hidden="1" x14ac:dyDescent="0.25">
      <c r="Y4167" s="501"/>
    </row>
    <row r="4168" spans="25:25" hidden="1" x14ac:dyDescent="0.25">
      <c r="Y4168" s="501"/>
    </row>
    <row r="4169" spans="25:25" hidden="1" x14ac:dyDescent="0.25">
      <c r="Y4169" s="501"/>
    </row>
    <row r="4170" spans="25:25" hidden="1" x14ac:dyDescent="0.25">
      <c r="Y4170" s="501"/>
    </row>
    <row r="4171" spans="25:25" hidden="1" x14ac:dyDescent="0.25">
      <c r="Y4171" s="501"/>
    </row>
    <row r="4172" spans="25:25" hidden="1" x14ac:dyDescent="0.25">
      <c r="Y4172" s="501"/>
    </row>
    <row r="4173" spans="25:25" hidden="1" x14ac:dyDescent="0.25">
      <c r="Y4173" s="501"/>
    </row>
    <row r="4174" spans="25:25" hidden="1" x14ac:dyDescent="0.25">
      <c r="Y4174" s="501"/>
    </row>
    <row r="4175" spans="25:25" hidden="1" x14ac:dyDescent="0.25">
      <c r="Y4175" s="501"/>
    </row>
    <row r="4176" spans="25:25" hidden="1" x14ac:dyDescent="0.25">
      <c r="Y4176" s="501"/>
    </row>
    <row r="4177" spans="25:25" hidden="1" x14ac:dyDescent="0.25">
      <c r="Y4177" s="501"/>
    </row>
    <row r="4178" spans="25:25" hidden="1" x14ac:dyDescent="0.25">
      <c r="Y4178" s="501"/>
    </row>
    <row r="4179" spans="25:25" hidden="1" x14ac:dyDescent="0.25">
      <c r="Y4179" s="501"/>
    </row>
    <row r="4180" spans="25:25" hidden="1" x14ac:dyDescent="0.25">
      <c r="Y4180" s="501"/>
    </row>
    <row r="4181" spans="25:25" hidden="1" x14ac:dyDescent="0.25">
      <c r="Y4181" s="501"/>
    </row>
    <row r="4182" spans="25:25" hidden="1" x14ac:dyDescent="0.25">
      <c r="Y4182" s="501"/>
    </row>
    <row r="4183" spans="25:25" hidden="1" x14ac:dyDescent="0.25">
      <c r="Y4183" s="501"/>
    </row>
    <row r="4184" spans="25:25" hidden="1" x14ac:dyDescent="0.25">
      <c r="Y4184" s="501"/>
    </row>
    <row r="4185" spans="25:25" hidden="1" x14ac:dyDescent="0.25">
      <c r="Y4185" s="501"/>
    </row>
    <row r="4186" spans="25:25" hidden="1" x14ac:dyDescent="0.25">
      <c r="Y4186" s="501"/>
    </row>
    <row r="4187" spans="25:25" hidden="1" x14ac:dyDescent="0.25">
      <c r="Y4187" s="501"/>
    </row>
    <row r="4188" spans="25:25" hidden="1" x14ac:dyDescent="0.25">
      <c r="Y4188" s="501"/>
    </row>
    <row r="4189" spans="25:25" hidden="1" x14ac:dyDescent="0.25">
      <c r="Y4189" s="501"/>
    </row>
    <row r="4190" spans="25:25" hidden="1" x14ac:dyDescent="0.25">
      <c r="Y4190" s="501"/>
    </row>
    <row r="4191" spans="25:25" hidden="1" x14ac:dyDescent="0.25">
      <c r="Y4191" s="501"/>
    </row>
    <row r="4192" spans="25:25" hidden="1" x14ac:dyDescent="0.25">
      <c r="Y4192" s="501"/>
    </row>
    <row r="4193" spans="25:25" hidden="1" x14ac:dyDescent="0.25">
      <c r="Y4193" s="501"/>
    </row>
    <row r="4194" spans="25:25" hidden="1" x14ac:dyDescent="0.25">
      <c r="Y4194" s="501"/>
    </row>
    <row r="4195" spans="25:25" hidden="1" x14ac:dyDescent="0.25">
      <c r="Y4195" s="501"/>
    </row>
    <row r="4196" spans="25:25" hidden="1" x14ac:dyDescent="0.25">
      <c r="Y4196" s="501"/>
    </row>
    <row r="4197" spans="25:25" hidden="1" x14ac:dyDescent="0.25">
      <c r="Y4197" s="501"/>
    </row>
    <row r="4198" spans="25:25" hidden="1" x14ac:dyDescent="0.25">
      <c r="Y4198" s="501"/>
    </row>
    <row r="4199" spans="25:25" hidden="1" x14ac:dyDescent="0.25">
      <c r="Y4199" s="501"/>
    </row>
    <row r="4200" spans="25:25" hidden="1" x14ac:dyDescent="0.25">
      <c r="Y4200" s="501"/>
    </row>
    <row r="4201" spans="25:25" hidden="1" x14ac:dyDescent="0.25">
      <c r="Y4201" s="501"/>
    </row>
    <row r="4202" spans="25:25" hidden="1" x14ac:dyDescent="0.25">
      <c r="Y4202" s="501"/>
    </row>
    <row r="4203" spans="25:25" hidden="1" x14ac:dyDescent="0.25">
      <c r="Y4203" s="501"/>
    </row>
    <row r="4204" spans="25:25" hidden="1" x14ac:dyDescent="0.25">
      <c r="Y4204" s="501"/>
    </row>
    <row r="4205" spans="25:25" hidden="1" x14ac:dyDescent="0.25">
      <c r="Y4205" s="501"/>
    </row>
    <row r="4206" spans="25:25" hidden="1" x14ac:dyDescent="0.25">
      <c r="Y4206" s="501"/>
    </row>
    <row r="4207" spans="25:25" hidden="1" x14ac:dyDescent="0.25">
      <c r="Y4207" s="501"/>
    </row>
    <row r="4208" spans="25:25" hidden="1" x14ac:dyDescent="0.25">
      <c r="Y4208" s="501"/>
    </row>
    <row r="4209" spans="25:25" hidden="1" x14ac:dyDescent="0.25">
      <c r="Y4209" s="501"/>
    </row>
    <row r="4210" spans="25:25" hidden="1" x14ac:dyDescent="0.25">
      <c r="Y4210" s="501"/>
    </row>
    <row r="4211" spans="25:25" hidden="1" x14ac:dyDescent="0.25">
      <c r="Y4211" s="501"/>
    </row>
    <row r="4212" spans="25:25" hidden="1" x14ac:dyDescent="0.25">
      <c r="Y4212" s="501"/>
    </row>
    <row r="4213" spans="25:25" hidden="1" x14ac:dyDescent="0.25">
      <c r="Y4213" s="501"/>
    </row>
    <row r="4214" spans="25:25" hidden="1" x14ac:dyDescent="0.25">
      <c r="Y4214" s="501"/>
    </row>
    <row r="4215" spans="25:25" hidden="1" x14ac:dyDescent="0.25">
      <c r="Y4215" s="501"/>
    </row>
    <row r="4216" spans="25:25" hidden="1" x14ac:dyDescent="0.25">
      <c r="Y4216" s="501"/>
    </row>
    <row r="4217" spans="25:25" hidden="1" x14ac:dyDescent="0.25">
      <c r="Y4217" s="501"/>
    </row>
    <row r="4218" spans="25:25" hidden="1" x14ac:dyDescent="0.25">
      <c r="Y4218" s="501"/>
    </row>
    <row r="4219" spans="25:25" hidden="1" x14ac:dyDescent="0.25">
      <c r="Y4219" s="501"/>
    </row>
    <row r="4220" spans="25:25" hidden="1" x14ac:dyDescent="0.25">
      <c r="Y4220" s="501"/>
    </row>
    <row r="4221" spans="25:25" hidden="1" x14ac:dyDescent="0.25">
      <c r="Y4221" s="501"/>
    </row>
    <row r="4222" spans="25:25" hidden="1" x14ac:dyDescent="0.25">
      <c r="Y4222" s="501"/>
    </row>
    <row r="4223" spans="25:25" hidden="1" x14ac:dyDescent="0.25">
      <c r="Y4223" s="501"/>
    </row>
    <row r="4224" spans="25:25" hidden="1" x14ac:dyDescent="0.25">
      <c r="Y4224" s="501"/>
    </row>
    <row r="4225" spans="25:25" hidden="1" x14ac:dyDescent="0.25">
      <c r="Y4225" s="501"/>
    </row>
    <row r="4226" spans="25:25" hidden="1" x14ac:dyDescent="0.25">
      <c r="Y4226" s="501"/>
    </row>
    <row r="4227" spans="25:25" hidden="1" x14ac:dyDescent="0.25">
      <c r="Y4227" s="501"/>
    </row>
    <row r="4228" spans="25:25" hidden="1" x14ac:dyDescent="0.25">
      <c r="Y4228" s="501"/>
    </row>
    <row r="4229" spans="25:25" hidden="1" x14ac:dyDescent="0.25">
      <c r="Y4229" s="501"/>
    </row>
    <row r="4230" spans="25:25" hidden="1" x14ac:dyDescent="0.25">
      <c r="Y4230" s="501"/>
    </row>
    <row r="4231" spans="25:25" hidden="1" x14ac:dyDescent="0.25">
      <c r="Y4231" s="501"/>
    </row>
    <row r="4232" spans="25:25" hidden="1" x14ac:dyDescent="0.25">
      <c r="Y4232" s="501"/>
    </row>
    <row r="4233" spans="25:25" hidden="1" x14ac:dyDescent="0.25">
      <c r="Y4233" s="501"/>
    </row>
    <row r="4234" spans="25:25" hidden="1" x14ac:dyDescent="0.25">
      <c r="Y4234" s="501"/>
    </row>
    <row r="4235" spans="25:25" hidden="1" x14ac:dyDescent="0.25">
      <c r="Y4235" s="501"/>
    </row>
    <row r="4236" spans="25:25" hidden="1" x14ac:dyDescent="0.25">
      <c r="Y4236" s="501"/>
    </row>
    <row r="4237" spans="25:25" hidden="1" x14ac:dyDescent="0.25">
      <c r="Y4237" s="501"/>
    </row>
    <row r="4238" spans="25:25" hidden="1" x14ac:dyDescent="0.25">
      <c r="Y4238" s="501"/>
    </row>
    <row r="4239" spans="25:25" hidden="1" x14ac:dyDescent="0.25">
      <c r="Y4239" s="501"/>
    </row>
    <row r="4240" spans="25:25" hidden="1" x14ac:dyDescent="0.25">
      <c r="Y4240" s="501"/>
    </row>
    <row r="4241" spans="25:25" hidden="1" x14ac:dyDescent="0.25">
      <c r="Y4241" s="501"/>
    </row>
    <row r="4242" spans="25:25" hidden="1" x14ac:dyDescent="0.25">
      <c r="Y4242" s="501"/>
    </row>
    <row r="4243" spans="25:25" hidden="1" x14ac:dyDescent="0.25">
      <c r="Y4243" s="501"/>
    </row>
    <row r="4244" spans="25:25" hidden="1" x14ac:dyDescent="0.25">
      <c r="Y4244" s="501"/>
    </row>
    <row r="4245" spans="25:25" hidden="1" x14ac:dyDescent="0.25">
      <c r="Y4245" s="501"/>
    </row>
    <row r="4246" spans="25:25" hidden="1" x14ac:dyDescent="0.25">
      <c r="Y4246" s="501"/>
    </row>
    <row r="4247" spans="25:25" hidden="1" x14ac:dyDescent="0.25">
      <c r="Y4247" s="501"/>
    </row>
    <row r="4248" spans="25:25" hidden="1" x14ac:dyDescent="0.25">
      <c r="Y4248" s="501"/>
    </row>
    <row r="4249" spans="25:25" hidden="1" x14ac:dyDescent="0.25">
      <c r="Y4249" s="501"/>
    </row>
    <row r="4250" spans="25:25" hidden="1" x14ac:dyDescent="0.25">
      <c r="Y4250" s="501"/>
    </row>
    <row r="4251" spans="25:25" hidden="1" x14ac:dyDescent="0.25">
      <c r="Y4251" s="501"/>
    </row>
    <row r="4252" spans="25:25" hidden="1" x14ac:dyDescent="0.25">
      <c r="Y4252" s="501"/>
    </row>
    <row r="4253" spans="25:25" hidden="1" x14ac:dyDescent="0.25">
      <c r="Y4253" s="501"/>
    </row>
    <row r="4254" spans="25:25" hidden="1" x14ac:dyDescent="0.25">
      <c r="Y4254" s="501"/>
    </row>
    <row r="4255" spans="25:25" hidden="1" x14ac:dyDescent="0.25">
      <c r="Y4255" s="501"/>
    </row>
    <row r="4256" spans="25:25" hidden="1" x14ac:dyDescent="0.25">
      <c r="Y4256" s="501"/>
    </row>
    <row r="4257" spans="25:25" hidden="1" x14ac:dyDescent="0.25">
      <c r="Y4257" s="501"/>
    </row>
    <row r="4258" spans="25:25" hidden="1" x14ac:dyDescent="0.25">
      <c r="Y4258" s="501"/>
    </row>
    <row r="4259" spans="25:25" hidden="1" x14ac:dyDescent="0.25">
      <c r="Y4259" s="501"/>
    </row>
    <row r="4260" spans="25:25" hidden="1" x14ac:dyDescent="0.25">
      <c r="Y4260" s="501"/>
    </row>
    <row r="4261" spans="25:25" hidden="1" x14ac:dyDescent="0.25">
      <c r="Y4261" s="501"/>
    </row>
    <row r="4262" spans="25:25" hidden="1" x14ac:dyDescent="0.25">
      <c r="Y4262" s="501"/>
    </row>
    <row r="4263" spans="25:25" hidden="1" x14ac:dyDescent="0.25">
      <c r="Y4263" s="501"/>
    </row>
    <row r="4264" spans="25:25" hidden="1" x14ac:dyDescent="0.25">
      <c r="Y4264" s="501"/>
    </row>
    <row r="4265" spans="25:25" hidden="1" x14ac:dyDescent="0.25">
      <c r="Y4265" s="501"/>
    </row>
    <row r="4266" spans="25:25" hidden="1" x14ac:dyDescent="0.25">
      <c r="Y4266" s="501"/>
    </row>
    <row r="4267" spans="25:25" hidden="1" x14ac:dyDescent="0.25">
      <c r="Y4267" s="501"/>
    </row>
    <row r="4268" spans="25:25" hidden="1" x14ac:dyDescent="0.25">
      <c r="Y4268" s="501"/>
    </row>
    <row r="4269" spans="25:25" hidden="1" x14ac:dyDescent="0.25">
      <c r="Y4269" s="501"/>
    </row>
    <row r="4270" spans="25:25" hidden="1" x14ac:dyDescent="0.25">
      <c r="Y4270" s="501"/>
    </row>
    <row r="4271" spans="25:25" hidden="1" x14ac:dyDescent="0.25">
      <c r="Y4271" s="501"/>
    </row>
    <row r="4272" spans="25:25" hidden="1" x14ac:dyDescent="0.25">
      <c r="Y4272" s="501"/>
    </row>
    <row r="4273" spans="25:25" hidden="1" x14ac:dyDescent="0.25">
      <c r="Y4273" s="501"/>
    </row>
    <row r="4274" spans="25:25" hidden="1" x14ac:dyDescent="0.25">
      <c r="Y4274" s="501"/>
    </row>
    <row r="4275" spans="25:25" hidden="1" x14ac:dyDescent="0.25">
      <c r="Y4275" s="501"/>
    </row>
    <row r="4276" spans="25:25" hidden="1" x14ac:dyDescent="0.25">
      <c r="Y4276" s="501"/>
    </row>
    <row r="4277" spans="25:25" hidden="1" x14ac:dyDescent="0.25">
      <c r="Y4277" s="501"/>
    </row>
    <row r="4278" spans="25:25" hidden="1" x14ac:dyDescent="0.25">
      <c r="Y4278" s="501"/>
    </row>
    <row r="4279" spans="25:25" hidden="1" x14ac:dyDescent="0.25">
      <c r="Y4279" s="501"/>
    </row>
    <row r="4280" spans="25:25" hidden="1" x14ac:dyDescent="0.25">
      <c r="Y4280" s="501"/>
    </row>
    <row r="4281" spans="25:25" hidden="1" x14ac:dyDescent="0.25">
      <c r="Y4281" s="501"/>
    </row>
    <row r="4282" spans="25:25" hidden="1" x14ac:dyDescent="0.25">
      <c r="Y4282" s="501"/>
    </row>
    <row r="4283" spans="25:25" hidden="1" x14ac:dyDescent="0.25">
      <c r="Y4283" s="501"/>
    </row>
    <row r="4284" spans="25:25" hidden="1" x14ac:dyDescent="0.25">
      <c r="Y4284" s="501"/>
    </row>
    <row r="4285" spans="25:25" hidden="1" x14ac:dyDescent="0.25">
      <c r="Y4285" s="501"/>
    </row>
    <row r="4286" spans="25:25" hidden="1" x14ac:dyDescent="0.25">
      <c r="Y4286" s="501"/>
    </row>
    <row r="4287" spans="25:25" hidden="1" x14ac:dyDescent="0.25">
      <c r="Y4287" s="501"/>
    </row>
    <row r="4288" spans="25:25" hidden="1" x14ac:dyDescent="0.25">
      <c r="Y4288" s="501"/>
    </row>
    <row r="4289" spans="25:25" hidden="1" x14ac:dyDescent="0.25">
      <c r="Y4289" s="501"/>
    </row>
    <row r="4290" spans="25:25" hidden="1" x14ac:dyDescent="0.25">
      <c r="Y4290" s="501"/>
    </row>
    <row r="4291" spans="25:25" hidden="1" x14ac:dyDescent="0.25">
      <c r="Y4291" s="501"/>
    </row>
    <row r="4292" spans="25:25" hidden="1" x14ac:dyDescent="0.25">
      <c r="Y4292" s="501"/>
    </row>
    <row r="4293" spans="25:25" hidden="1" x14ac:dyDescent="0.25">
      <c r="Y4293" s="501"/>
    </row>
    <row r="4294" spans="25:25" hidden="1" x14ac:dyDescent="0.25">
      <c r="Y4294" s="501"/>
    </row>
    <row r="4295" spans="25:25" hidden="1" x14ac:dyDescent="0.25">
      <c r="Y4295" s="501"/>
    </row>
    <row r="4296" spans="25:25" hidden="1" x14ac:dyDescent="0.25">
      <c r="Y4296" s="501"/>
    </row>
    <row r="4297" spans="25:25" hidden="1" x14ac:dyDescent="0.25">
      <c r="Y4297" s="501"/>
    </row>
    <row r="4298" spans="25:25" hidden="1" x14ac:dyDescent="0.25">
      <c r="Y4298" s="501"/>
    </row>
    <row r="4299" spans="25:25" hidden="1" x14ac:dyDescent="0.25">
      <c r="Y4299" s="501"/>
    </row>
    <row r="4300" spans="25:25" hidden="1" x14ac:dyDescent="0.25">
      <c r="Y4300" s="501"/>
    </row>
    <row r="4301" spans="25:25" hidden="1" x14ac:dyDescent="0.25">
      <c r="Y4301" s="501"/>
    </row>
    <row r="4302" spans="25:25" hidden="1" x14ac:dyDescent="0.25">
      <c r="Y4302" s="501"/>
    </row>
    <row r="4303" spans="25:25" hidden="1" x14ac:dyDescent="0.25">
      <c r="Y4303" s="501"/>
    </row>
    <row r="4304" spans="25:25" hidden="1" x14ac:dyDescent="0.25">
      <c r="Y4304" s="501"/>
    </row>
    <row r="4305" spans="25:25" hidden="1" x14ac:dyDescent="0.25">
      <c r="Y4305" s="501"/>
    </row>
    <row r="4306" spans="25:25" hidden="1" x14ac:dyDescent="0.25">
      <c r="Y4306" s="501"/>
    </row>
    <row r="4307" spans="25:25" hidden="1" x14ac:dyDescent="0.25">
      <c r="Y4307" s="501"/>
    </row>
    <row r="4308" spans="25:25" hidden="1" x14ac:dyDescent="0.25">
      <c r="Y4308" s="501"/>
    </row>
    <row r="4309" spans="25:25" hidden="1" x14ac:dyDescent="0.25">
      <c r="Y4309" s="501"/>
    </row>
    <row r="4310" spans="25:25" hidden="1" x14ac:dyDescent="0.25">
      <c r="Y4310" s="501"/>
    </row>
    <row r="4311" spans="25:25" hidden="1" x14ac:dyDescent="0.25">
      <c r="Y4311" s="501"/>
    </row>
    <row r="4312" spans="25:25" hidden="1" x14ac:dyDescent="0.25">
      <c r="Y4312" s="501"/>
    </row>
    <row r="4313" spans="25:25" hidden="1" x14ac:dyDescent="0.25">
      <c r="Y4313" s="501"/>
    </row>
    <row r="4314" spans="25:25" hidden="1" x14ac:dyDescent="0.25">
      <c r="Y4314" s="501"/>
    </row>
    <row r="4315" spans="25:25" hidden="1" x14ac:dyDescent="0.25">
      <c r="Y4315" s="501"/>
    </row>
    <row r="4316" spans="25:25" hidden="1" x14ac:dyDescent="0.25">
      <c r="Y4316" s="501"/>
    </row>
    <row r="4317" spans="25:25" hidden="1" x14ac:dyDescent="0.25">
      <c r="Y4317" s="501"/>
    </row>
    <row r="4318" spans="25:25" hidden="1" x14ac:dyDescent="0.25">
      <c r="Y4318" s="501"/>
    </row>
    <row r="4319" spans="25:25" hidden="1" x14ac:dyDescent="0.25">
      <c r="Y4319" s="501"/>
    </row>
    <row r="4320" spans="25:25" hidden="1" x14ac:dyDescent="0.25">
      <c r="Y4320" s="501"/>
    </row>
    <row r="4321" spans="25:25" hidden="1" x14ac:dyDescent="0.25">
      <c r="Y4321" s="501"/>
    </row>
    <row r="4322" spans="25:25" hidden="1" x14ac:dyDescent="0.25">
      <c r="Y4322" s="501"/>
    </row>
    <row r="4323" spans="25:25" hidden="1" x14ac:dyDescent="0.25">
      <c r="Y4323" s="501"/>
    </row>
    <row r="4324" spans="25:25" hidden="1" x14ac:dyDescent="0.25">
      <c r="Y4324" s="501"/>
    </row>
    <row r="4325" spans="25:25" hidden="1" x14ac:dyDescent="0.25">
      <c r="Y4325" s="501"/>
    </row>
    <row r="4326" spans="25:25" hidden="1" x14ac:dyDescent="0.25">
      <c r="Y4326" s="501"/>
    </row>
    <row r="4327" spans="25:25" hidden="1" x14ac:dyDescent="0.25">
      <c r="Y4327" s="501"/>
    </row>
    <row r="4328" spans="25:25" hidden="1" x14ac:dyDescent="0.25">
      <c r="Y4328" s="501"/>
    </row>
    <row r="4329" spans="25:25" hidden="1" x14ac:dyDescent="0.25">
      <c r="Y4329" s="501"/>
    </row>
    <row r="4330" spans="25:25" hidden="1" x14ac:dyDescent="0.25">
      <c r="Y4330" s="501"/>
    </row>
    <row r="4331" spans="25:25" hidden="1" x14ac:dyDescent="0.25">
      <c r="Y4331" s="501"/>
    </row>
    <row r="4332" spans="25:25" hidden="1" x14ac:dyDescent="0.25">
      <c r="Y4332" s="501"/>
    </row>
    <row r="4333" spans="25:25" hidden="1" x14ac:dyDescent="0.25">
      <c r="Y4333" s="501"/>
    </row>
    <row r="4334" spans="25:25" hidden="1" x14ac:dyDescent="0.25">
      <c r="Y4334" s="501"/>
    </row>
    <row r="4335" spans="25:25" hidden="1" x14ac:dyDescent="0.25">
      <c r="Y4335" s="501"/>
    </row>
    <row r="4336" spans="25:25" hidden="1" x14ac:dyDescent="0.25">
      <c r="Y4336" s="501"/>
    </row>
    <row r="4337" spans="25:25" hidden="1" x14ac:dyDescent="0.25">
      <c r="Y4337" s="501"/>
    </row>
    <row r="4338" spans="25:25" hidden="1" x14ac:dyDescent="0.25">
      <c r="Y4338" s="501"/>
    </row>
    <row r="4339" spans="25:25" hidden="1" x14ac:dyDescent="0.25">
      <c r="Y4339" s="501"/>
    </row>
    <row r="4340" spans="25:25" hidden="1" x14ac:dyDescent="0.25">
      <c r="Y4340" s="501"/>
    </row>
    <row r="4341" spans="25:25" hidden="1" x14ac:dyDescent="0.25">
      <c r="Y4341" s="501"/>
    </row>
    <row r="4342" spans="25:25" hidden="1" x14ac:dyDescent="0.25">
      <c r="Y4342" s="501"/>
    </row>
    <row r="4343" spans="25:25" hidden="1" x14ac:dyDescent="0.25">
      <c r="Y4343" s="501"/>
    </row>
    <row r="4344" spans="25:25" hidden="1" x14ac:dyDescent="0.25">
      <c r="Y4344" s="501"/>
    </row>
    <row r="4345" spans="25:25" hidden="1" x14ac:dyDescent="0.25">
      <c r="Y4345" s="501"/>
    </row>
    <row r="4346" spans="25:25" hidden="1" x14ac:dyDescent="0.25">
      <c r="Y4346" s="501"/>
    </row>
    <row r="4347" spans="25:25" hidden="1" x14ac:dyDescent="0.25">
      <c r="Y4347" s="501"/>
    </row>
    <row r="4348" spans="25:25" hidden="1" x14ac:dyDescent="0.25">
      <c r="Y4348" s="501"/>
    </row>
    <row r="4349" spans="25:25" hidden="1" x14ac:dyDescent="0.25">
      <c r="Y4349" s="501"/>
    </row>
    <row r="4350" spans="25:25" hidden="1" x14ac:dyDescent="0.25">
      <c r="Y4350" s="501"/>
    </row>
    <row r="4351" spans="25:25" hidden="1" x14ac:dyDescent="0.25">
      <c r="Y4351" s="501"/>
    </row>
    <row r="4352" spans="25:25" hidden="1" x14ac:dyDescent="0.25">
      <c r="Y4352" s="501"/>
    </row>
    <row r="4353" spans="25:25" hidden="1" x14ac:dyDescent="0.25">
      <c r="Y4353" s="501"/>
    </row>
    <row r="4354" spans="25:25" hidden="1" x14ac:dyDescent="0.25">
      <c r="Y4354" s="501"/>
    </row>
    <row r="4355" spans="25:25" hidden="1" x14ac:dyDescent="0.25">
      <c r="Y4355" s="501"/>
    </row>
    <row r="4356" spans="25:25" hidden="1" x14ac:dyDescent="0.25">
      <c r="Y4356" s="501"/>
    </row>
    <row r="4357" spans="25:25" hidden="1" x14ac:dyDescent="0.25">
      <c r="Y4357" s="501"/>
    </row>
    <row r="4358" spans="25:25" hidden="1" x14ac:dyDescent="0.25">
      <c r="Y4358" s="501"/>
    </row>
    <row r="4359" spans="25:25" hidden="1" x14ac:dyDescent="0.25">
      <c r="Y4359" s="501"/>
    </row>
    <row r="4360" spans="25:25" hidden="1" x14ac:dyDescent="0.25">
      <c r="Y4360" s="501"/>
    </row>
    <row r="4361" spans="25:25" hidden="1" x14ac:dyDescent="0.25">
      <c r="Y4361" s="501"/>
    </row>
    <row r="4362" spans="25:25" hidden="1" x14ac:dyDescent="0.25">
      <c r="Y4362" s="501"/>
    </row>
    <row r="4363" spans="25:25" hidden="1" x14ac:dyDescent="0.25">
      <c r="Y4363" s="501"/>
    </row>
    <row r="4364" spans="25:25" hidden="1" x14ac:dyDescent="0.25">
      <c r="Y4364" s="501"/>
    </row>
    <row r="4365" spans="25:25" hidden="1" x14ac:dyDescent="0.25">
      <c r="Y4365" s="501"/>
    </row>
    <row r="4366" spans="25:25" hidden="1" x14ac:dyDescent="0.25">
      <c r="Y4366" s="501"/>
    </row>
    <row r="4367" spans="25:25" hidden="1" x14ac:dyDescent="0.25">
      <c r="Y4367" s="501"/>
    </row>
    <row r="4368" spans="25:25" hidden="1" x14ac:dyDescent="0.25">
      <c r="Y4368" s="501"/>
    </row>
    <row r="4369" spans="25:25" hidden="1" x14ac:dyDescent="0.25">
      <c r="Y4369" s="501"/>
    </row>
    <row r="4370" spans="25:25" hidden="1" x14ac:dyDescent="0.25">
      <c r="Y4370" s="501"/>
    </row>
    <row r="4371" spans="25:25" hidden="1" x14ac:dyDescent="0.25">
      <c r="Y4371" s="501"/>
    </row>
    <row r="4372" spans="25:25" hidden="1" x14ac:dyDescent="0.25">
      <c r="Y4372" s="501"/>
    </row>
    <row r="4373" spans="25:25" hidden="1" x14ac:dyDescent="0.25">
      <c r="Y4373" s="501"/>
    </row>
    <row r="4374" spans="25:25" hidden="1" x14ac:dyDescent="0.25">
      <c r="Y4374" s="501"/>
    </row>
    <row r="4375" spans="25:25" hidden="1" x14ac:dyDescent="0.25">
      <c r="Y4375" s="501"/>
    </row>
    <row r="4376" spans="25:25" hidden="1" x14ac:dyDescent="0.25">
      <c r="Y4376" s="501"/>
    </row>
    <row r="4377" spans="25:25" hidden="1" x14ac:dyDescent="0.25">
      <c r="Y4377" s="501"/>
    </row>
    <row r="4378" spans="25:25" hidden="1" x14ac:dyDescent="0.25">
      <c r="Y4378" s="501"/>
    </row>
    <row r="4379" spans="25:25" hidden="1" x14ac:dyDescent="0.25">
      <c r="Y4379" s="501"/>
    </row>
    <row r="4380" spans="25:25" hidden="1" x14ac:dyDescent="0.25">
      <c r="Y4380" s="501"/>
    </row>
    <row r="4381" spans="25:25" hidden="1" x14ac:dyDescent="0.25">
      <c r="Y4381" s="501"/>
    </row>
    <row r="4382" spans="25:25" hidden="1" x14ac:dyDescent="0.25">
      <c r="Y4382" s="501"/>
    </row>
    <row r="4383" spans="25:25" hidden="1" x14ac:dyDescent="0.25">
      <c r="Y4383" s="501"/>
    </row>
    <row r="4384" spans="25:25" hidden="1" x14ac:dyDescent="0.25">
      <c r="Y4384" s="501"/>
    </row>
    <row r="4385" spans="25:25" hidden="1" x14ac:dyDescent="0.25">
      <c r="Y4385" s="501"/>
    </row>
    <row r="4386" spans="25:25" hidden="1" x14ac:dyDescent="0.25">
      <c r="Y4386" s="501"/>
    </row>
    <row r="4387" spans="25:25" hidden="1" x14ac:dyDescent="0.25">
      <c r="Y4387" s="501"/>
    </row>
    <row r="4388" spans="25:25" hidden="1" x14ac:dyDescent="0.25">
      <c r="Y4388" s="501"/>
    </row>
    <row r="4389" spans="25:25" hidden="1" x14ac:dyDescent="0.25">
      <c r="Y4389" s="501"/>
    </row>
    <row r="4390" spans="25:25" hidden="1" x14ac:dyDescent="0.25">
      <c r="Y4390" s="501"/>
    </row>
    <row r="4391" spans="25:25" hidden="1" x14ac:dyDescent="0.25">
      <c r="Y4391" s="501"/>
    </row>
    <row r="4392" spans="25:25" hidden="1" x14ac:dyDescent="0.25">
      <c r="Y4392" s="501"/>
    </row>
    <row r="4393" spans="25:25" hidden="1" x14ac:dyDescent="0.25">
      <c r="Y4393" s="501"/>
    </row>
    <row r="4394" spans="25:25" hidden="1" x14ac:dyDescent="0.25">
      <c r="Y4394" s="501"/>
    </row>
    <row r="4395" spans="25:25" hidden="1" x14ac:dyDescent="0.25">
      <c r="Y4395" s="501"/>
    </row>
    <row r="4396" spans="25:25" hidden="1" x14ac:dyDescent="0.25">
      <c r="Y4396" s="501"/>
    </row>
    <row r="4397" spans="25:25" hidden="1" x14ac:dyDescent="0.25">
      <c r="Y4397" s="501"/>
    </row>
    <row r="4398" spans="25:25" hidden="1" x14ac:dyDescent="0.25">
      <c r="Y4398" s="501"/>
    </row>
    <row r="4399" spans="25:25" hidden="1" x14ac:dyDescent="0.25">
      <c r="Y4399" s="501"/>
    </row>
    <row r="4400" spans="25:25" hidden="1" x14ac:dyDescent="0.25">
      <c r="Y4400" s="501"/>
    </row>
    <row r="4401" spans="25:25" hidden="1" x14ac:dyDescent="0.25">
      <c r="Y4401" s="501"/>
    </row>
    <row r="4402" spans="25:25" hidden="1" x14ac:dyDescent="0.25">
      <c r="Y4402" s="501"/>
    </row>
    <row r="4403" spans="25:25" hidden="1" x14ac:dyDescent="0.25">
      <c r="Y4403" s="501"/>
    </row>
    <row r="4404" spans="25:25" hidden="1" x14ac:dyDescent="0.25">
      <c r="Y4404" s="501"/>
    </row>
    <row r="4405" spans="25:25" hidden="1" x14ac:dyDescent="0.25">
      <c r="Y4405" s="501"/>
    </row>
    <row r="4406" spans="25:25" hidden="1" x14ac:dyDescent="0.25">
      <c r="Y4406" s="501"/>
    </row>
    <row r="4407" spans="25:25" hidden="1" x14ac:dyDescent="0.25">
      <c r="Y4407" s="501"/>
    </row>
    <row r="4408" spans="25:25" hidden="1" x14ac:dyDescent="0.25">
      <c r="Y4408" s="501"/>
    </row>
    <row r="4409" spans="25:25" hidden="1" x14ac:dyDescent="0.25">
      <c r="Y4409" s="501"/>
    </row>
    <row r="4410" spans="25:25" hidden="1" x14ac:dyDescent="0.25">
      <c r="Y4410" s="501"/>
    </row>
    <row r="4411" spans="25:25" hidden="1" x14ac:dyDescent="0.25">
      <c r="Y4411" s="501"/>
    </row>
    <row r="4412" spans="25:25" hidden="1" x14ac:dyDescent="0.25">
      <c r="Y4412" s="501"/>
    </row>
    <row r="4413" spans="25:25" hidden="1" x14ac:dyDescent="0.25">
      <c r="Y4413" s="501"/>
    </row>
    <row r="4414" spans="25:25" hidden="1" x14ac:dyDescent="0.25">
      <c r="Y4414" s="501"/>
    </row>
    <row r="4415" spans="25:25" hidden="1" x14ac:dyDescent="0.25">
      <c r="Y4415" s="501"/>
    </row>
    <row r="4416" spans="25:25" hidden="1" x14ac:dyDescent="0.25">
      <c r="Y4416" s="501"/>
    </row>
    <row r="4417" spans="25:25" hidden="1" x14ac:dyDescent="0.25">
      <c r="Y4417" s="501"/>
    </row>
    <row r="4418" spans="25:25" hidden="1" x14ac:dyDescent="0.25">
      <c r="Y4418" s="501"/>
    </row>
    <row r="4419" spans="25:25" hidden="1" x14ac:dyDescent="0.25">
      <c r="Y4419" s="501"/>
    </row>
    <row r="4420" spans="25:25" hidden="1" x14ac:dyDescent="0.25">
      <c r="Y4420" s="501"/>
    </row>
    <row r="4421" spans="25:25" hidden="1" x14ac:dyDescent="0.25">
      <c r="Y4421" s="501"/>
    </row>
    <row r="4422" spans="25:25" hidden="1" x14ac:dyDescent="0.25">
      <c r="Y4422" s="501"/>
    </row>
    <row r="4423" spans="25:25" hidden="1" x14ac:dyDescent="0.25">
      <c r="Y4423" s="501"/>
    </row>
    <row r="4424" spans="25:25" hidden="1" x14ac:dyDescent="0.25">
      <c r="Y4424" s="501"/>
    </row>
    <row r="4425" spans="25:25" hidden="1" x14ac:dyDescent="0.25">
      <c r="Y4425" s="501"/>
    </row>
    <row r="4426" spans="25:25" hidden="1" x14ac:dyDescent="0.25">
      <c r="Y4426" s="501"/>
    </row>
    <row r="4427" spans="25:25" hidden="1" x14ac:dyDescent="0.25">
      <c r="Y4427" s="501"/>
    </row>
    <row r="4428" spans="25:25" hidden="1" x14ac:dyDescent="0.25">
      <c r="Y4428" s="501"/>
    </row>
    <row r="4429" spans="25:25" hidden="1" x14ac:dyDescent="0.25">
      <c r="Y4429" s="501"/>
    </row>
    <row r="4430" spans="25:25" hidden="1" x14ac:dyDescent="0.25">
      <c r="Y4430" s="501"/>
    </row>
    <row r="4431" spans="25:25" hidden="1" x14ac:dyDescent="0.25">
      <c r="Y4431" s="501"/>
    </row>
    <row r="4432" spans="25:25" hidden="1" x14ac:dyDescent="0.25">
      <c r="Y4432" s="501"/>
    </row>
    <row r="4433" spans="25:25" hidden="1" x14ac:dyDescent="0.25">
      <c r="Y4433" s="501"/>
    </row>
    <row r="4434" spans="25:25" hidden="1" x14ac:dyDescent="0.25">
      <c r="Y4434" s="501"/>
    </row>
    <row r="4435" spans="25:25" hidden="1" x14ac:dyDescent="0.25">
      <c r="Y4435" s="501"/>
    </row>
    <row r="4436" spans="25:25" hidden="1" x14ac:dyDescent="0.25">
      <c r="Y4436" s="501"/>
    </row>
    <row r="4437" spans="25:25" hidden="1" x14ac:dyDescent="0.25">
      <c r="Y4437" s="501"/>
    </row>
    <row r="4438" spans="25:25" hidden="1" x14ac:dyDescent="0.25">
      <c r="Y4438" s="501"/>
    </row>
    <row r="4439" spans="25:25" hidden="1" x14ac:dyDescent="0.25">
      <c r="Y4439" s="501"/>
    </row>
    <row r="4440" spans="25:25" hidden="1" x14ac:dyDescent="0.25">
      <c r="Y4440" s="501"/>
    </row>
    <row r="4441" spans="25:25" hidden="1" x14ac:dyDescent="0.25">
      <c r="Y4441" s="501"/>
    </row>
    <row r="4442" spans="25:25" hidden="1" x14ac:dyDescent="0.25">
      <c r="Y4442" s="501"/>
    </row>
    <row r="4443" spans="25:25" hidden="1" x14ac:dyDescent="0.25">
      <c r="Y4443" s="501"/>
    </row>
    <row r="4444" spans="25:25" hidden="1" x14ac:dyDescent="0.25">
      <c r="Y4444" s="501"/>
    </row>
    <row r="4445" spans="25:25" hidden="1" x14ac:dyDescent="0.25">
      <c r="Y4445" s="501"/>
    </row>
    <row r="4446" spans="25:25" hidden="1" x14ac:dyDescent="0.25">
      <c r="Y4446" s="501"/>
    </row>
    <row r="4447" spans="25:25" hidden="1" x14ac:dyDescent="0.25">
      <c r="Y4447" s="501"/>
    </row>
    <row r="4448" spans="25:25" hidden="1" x14ac:dyDescent="0.25">
      <c r="Y4448" s="501"/>
    </row>
    <row r="4449" spans="25:25" hidden="1" x14ac:dyDescent="0.25">
      <c r="Y4449" s="501"/>
    </row>
    <row r="4450" spans="25:25" hidden="1" x14ac:dyDescent="0.25">
      <c r="Y4450" s="501"/>
    </row>
    <row r="4451" spans="25:25" hidden="1" x14ac:dyDescent="0.25">
      <c r="Y4451" s="501"/>
    </row>
    <row r="4452" spans="25:25" hidden="1" x14ac:dyDescent="0.25">
      <c r="Y4452" s="501"/>
    </row>
    <row r="4453" spans="25:25" hidden="1" x14ac:dyDescent="0.25">
      <c r="Y4453" s="501"/>
    </row>
    <row r="4454" spans="25:25" hidden="1" x14ac:dyDescent="0.25">
      <c r="Y4454" s="501"/>
    </row>
    <row r="4455" spans="25:25" hidden="1" x14ac:dyDescent="0.25">
      <c r="Y4455" s="501"/>
    </row>
    <row r="4456" spans="25:25" hidden="1" x14ac:dyDescent="0.25">
      <c r="Y4456" s="501"/>
    </row>
    <row r="4457" spans="25:25" hidden="1" x14ac:dyDescent="0.25">
      <c r="Y4457" s="501"/>
    </row>
    <row r="4458" spans="25:25" hidden="1" x14ac:dyDescent="0.25">
      <c r="Y4458" s="501"/>
    </row>
    <row r="4459" spans="25:25" hidden="1" x14ac:dyDescent="0.25">
      <c r="Y4459" s="501"/>
    </row>
    <row r="4460" spans="25:25" hidden="1" x14ac:dyDescent="0.25">
      <c r="Y4460" s="501"/>
    </row>
    <row r="4461" spans="25:25" hidden="1" x14ac:dyDescent="0.25">
      <c r="Y4461" s="501"/>
    </row>
    <row r="4462" spans="25:25" hidden="1" x14ac:dyDescent="0.25">
      <c r="Y4462" s="501"/>
    </row>
    <row r="4463" spans="25:25" hidden="1" x14ac:dyDescent="0.25">
      <c r="Y4463" s="501"/>
    </row>
    <row r="4464" spans="25:25" hidden="1" x14ac:dyDescent="0.25">
      <c r="Y4464" s="501"/>
    </row>
    <row r="4465" spans="25:25" hidden="1" x14ac:dyDescent="0.25">
      <c r="Y4465" s="501"/>
    </row>
    <row r="4466" spans="25:25" hidden="1" x14ac:dyDescent="0.25">
      <c r="Y4466" s="501"/>
    </row>
    <row r="4467" spans="25:25" hidden="1" x14ac:dyDescent="0.25">
      <c r="Y4467" s="501"/>
    </row>
    <row r="4468" spans="25:25" hidden="1" x14ac:dyDescent="0.25">
      <c r="Y4468" s="501"/>
    </row>
    <row r="4469" spans="25:25" hidden="1" x14ac:dyDescent="0.25">
      <c r="Y4469" s="501"/>
    </row>
    <row r="4470" spans="25:25" hidden="1" x14ac:dyDescent="0.25">
      <c r="Y4470" s="501"/>
    </row>
    <row r="4471" spans="25:25" hidden="1" x14ac:dyDescent="0.25">
      <c r="Y4471" s="501"/>
    </row>
    <row r="4472" spans="25:25" hidden="1" x14ac:dyDescent="0.25">
      <c r="Y4472" s="501"/>
    </row>
    <row r="4473" spans="25:25" hidden="1" x14ac:dyDescent="0.25">
      <c r="Y4473" s="501"/>
    </row>
    <row r="4474" spans="25:25" hidden="1" x14ac:dyDescent="0.25">
      <c r="Y4474" s="501"/>
    </row>
    <row r="4475" spans="25:25" hidden="1" x14ac:dyDescent="0.25">
      <c r="Y4475" s="501"/>
    </row>
    <row r="4476" spans="25:25" hidden="1" x14ac:dyDescent="0.25">
      <c r="Y4476" s="501"/>
    </row>
    <row r="4477" spans="25:25" hidden="1" x14ac:dyDescent="0.25">
      <c r="Y4477" s="501"/>
    </row>
    <row r="4478" spans="25:25" hidden="1" x14ac:dyDescent="0.25">
      <c r="Y4478" s="501"/>
    </row>
    <row r="4479" spans="25:25" hidden="1" x14ac:dyDescent="0.25">
      <c r="Y4479" s="501"/>
    </row>
    <row r="4480" spans="25:25" hidden="1" x14ac:dyDescent="0.25">
      <c r="Y4480" s="501"/>
    </row>
    <row r="4481" spans="25:25" hidden="1" x14ac:dyDescent="0.25">
      <c r="Y4481" s="501"/>
    </row>
    <row r="4482" spans="25:25" hidden="1" x14ac:dyDescent="0.25">
      <c r="Y4482" s="501"/>
    </row>
    <row r="4483" spans="25:25" hidden="1" x14ac:dyDescent="0.25">
      <c r="Y4483" s="501"/>
    </row>
    <row r="4484" spans="25:25" hidden="1" x14ac:dyDescent="0.25">
      <c r="Y4484" s="501"/>
    </row>
    <row r="4485" spans="25:25" hidden="1" x14ac:dyDescent="0.25">
      <c r="Y4485" s="501"/>
    </row>
    <row r="4486" spans="25:25" hidden="1" x14ac:dyDescent="0.25">
      <c r="Y4486" s="501"/>
    </row>
    <row r="4487" spans="25:25" hidden="1" x14ac:dyDescent="0.25">
      <c r="Y4487" s="501"/>
    </row>
    <row r="4488" spans="25:25" hidden="1" x14ac:dyDescent="0.25">
      <c r="Y4488" s="501"/>
    </row>
    <row r="4489" spans="25:25" hidden="1" x14ac:dyDescent="0.25">
      <c r="Y4489" s="501"/>
    </row>
    <row r="4490" spans="25:25" hidden="1" x14ac:dyDescent="0.25">
      <c r="Y4490" s="501"/>
    </row>
    <row r="4491" spans="25:25" hidden="1" x14ac:dyDescent="0.25">
      <c r="Y4491" s="501"/>
    </row>
    <row r="4492" spans="25:25" hidden="1" x14ac:dyDescent="0.25">
      <c r="Y4492" s="501"/>
    </row>
    <row r="4493" spans="25:25" hidden="1" x14ac:dyDescent="0.25">
      <c r="Y4493" s="501"/>
    </row>
    <row r="4494" spans="25:25" hidden="1" x14ac:dyDescent="0.25">
      <c r="Y4494" s="501"/>
    </row>
    <row r="4495" spans="25:25" hidden="1" x14ac:dyDescent="0.25">
      <c r="Y4495" s="501"/>
    </row>
    <row r="4496" spans="25:25" hidden="1" x14ac:dyDescent="0.25">
      <c r="Y4496" s="501"/>
    </row>
    <row r="4497" spans="25:25" hidden="1" x14ac:dyDescent="0.25">
      <c r="Y4497" s="501"/>
    </row>
    <row r="4498" spans="25:25" hidden="1" x14ac:dyDescent="0.25">
      <c r="Y4498" s="501"/>
    </row>
    <row r="4499" spans="25:25" hidden="1" x14ac:dyDescent="0.25">
      <c r="Y4499" s="501"/>
    </row>
    <row r="4500" spans="25:25" hidden="1" x14ac:dyDescent="0.25">
      <c r="Y4500" s="501"/>
    </row>
    <row r="4501" spans="25:25" hidden="1" x14ac:dyDescent="0.25">
      <c r="Y4501" s="501"/>
    </row>
    <row r="4502" spans="25:25" hidden="1" x14ac:dyDescent="0.25">
      <c r="Y4502" s="501"/>
    </row>
    <row r="4503" spans="25:25" hidden="1" x14ac:dyDescent="0.25">
      <c r="Y4503" s="501"/>
    </row>
    <row r="4504" spans="25:25" hidden="1" x14ac:dyDescent="0.25">
      <c r="Y4504" s="501"/>
    </row>
    <row r="4505" spans="25:25" hidden="1" x14ac:dyDescent="0.25">
      <c r="Y4505" s="501"/>
    </row>
    <row r="4506" spans="25:25" hidden="1" x14ac:dyDescent="0.25">
      <c r="Y4506" s="501"/>
    </row>
    <row r="4507" spans="25:25" hidden="1" x14ac:dyDescent="0.25">
      <c r="Y4507" s="501"/>
    </row>
    <row r="4508" spans="25:25" hidden="1" x14ac:dyDescent="0.25">
      <c r="Y4508" s="501"/>
    </row>
    <row r="4509" spans="25:25" hidden="1" x14ac:dyDescent="0.25">
      <c r="Y4509" s="501"/>
    </row>
    <row r="4510" spans="25:25" hidden="1" x14ac:dyDescent="0.25">
      <c r="Y4510" s="501"/>
    </row>
    <row r="4511" spans="25:25" hidden="1" x14ac:dyDescent="0.25">
      <c r="Y4511" s="501"/>
    </row>
    <row r="4512" spans="25:25" hidden="1" x14ac:dyDescent="0.25">
      <c r="Y4512" s="501"/>
    </row>
    <row r="4513" spans="25:25" hidden="1" x14ac:dyDescent="0.25">
      <c r="Y4513" s="501"/>
    </row>
    <row r="4514" spans="25:25" hidden="1" x14ac:dyDescent="0.25">
      <c r="Y4514" s="501"/>
    </row>
    <row r="4515" spans="25:25" hidden="1" x14ac:dyDescent="0.25">
      <c r="Y4515" s="501"/>
    </row>
    <row r="4516" spans="25:25" hidden="1" x14ac:dyDescent="0.25">
      <c r="Y4516" s="501"/>
    </row>
    <row r="4517" spans="25:25" hidden="1" x14ac:dyDescent="0.25">
      <c r="Y4517" s="501"/>
    </row>
    <row r="4518" spans="25:25" hidden="1" x14ac:dyDescent="0.25">
      <c r="Y4518" s="501"/>
    </row>
    <row r="4519" spans="25:25" hidden="1" x14ac:dyDescent="0.25">
      <c r="Y4519" s="501"/>
    </row>
    <row r="4520" spans="25:25" hidden="1" x14ac:dyDescent="0.25">
      <c r="Y4520" s="501"/>
    </row>
    <row r="4521" spans="25:25" hidden="1" x14ac:dyDescent="0.25">
      <c r="Y4521" s="501"/>
    </row>
    <row r="4522" spans="25:25" hidden="1" x14ac:dyDescent="0.25">
      <c r="Y4522" s="501"/>
    </row>
    <row r="4523" spans="25:25" hidden="1" x14ac:dyDescent="0.25">
      <c r="Y4523" s="501"/>
    </row>
    <row r="4524" spans="25:25" hidden="1" x14ac:dyDescent="0.25">
      <c r="Y4524" s="501"/>
    </row>
    <row r="4525" spans="25:25" hidden="1" x14ac:dyDescent="0.25">
      <c r="Y4525" s="501"/>
    </row>
    <row r="4526" spans="25:25" hidden="1" x14ac:dyDescent="0.25">
      <c r="Y4526" s="501"/>
    </row>
    <row r="4527" spans="25:25" hidden="1" x14ac:dyDescent="0.25">
      <c r="Y4527" s="501"/>
    </row>
    <row r="4528" spans="25:25" hidden="1" x14ac:dyDescent="0.25">
      <c r="Y4528" s="501"/>
    </row>
    <row r="4529" spans="25:25" hidden="1" x14ac:dyDescent="0.25">
      <c r="Y4529" s="501"/>
    </row>
    <row r="4530" spans="25:25" hidden="1" x14ac:dyDescent="0.25">
      <c r="Y4530" s="501"/>
    </row>
    <row r="4531" spans="25:25" hidden="1" x14ac:dyDescent="0.25">
      <c r="Y4531" s="501"/>
    </row>
    <row r="4532" spans="25:25" hidden="1" x14ac:dyDescent="0.25">
      <c r="Y4532" s="501"/>
    </row>
    <row r="4533" spans="25:25" hidden="1" x14ac:dyDescent="0.25">
      <c r="Y4533" s="501"/>
    </row>
    <row r="4534" spans="25:25" hidden="1" x14ac:dyDescent="0.25">
      <c r="Y4534" s="501"/>
    </row>
    <row r="4535" spans="25:25" hidden="1" x14ac:dyDescent="0.25">
      <c r="Y4535" s="501"/>
    </row>
    <row r="4536" spans="25:25" hidden="1" x14ac:dyDescent="0.25">
      <c r="Y4536" s="501"/>
    </row>
    <row r="4537" spans="25:25" hidden="1" x14ac:dyDescent="0.25">
      <c r="Y4537" s="501"/>
    </row>
    <row r="4538" spans="25:25" hidden="1" x14ac:dyDescent="0.25">
      <c r="Y4538" s="501"/>
    </row>
    <row r="4539" spans="25:25" hidden="1" x14ac:dyDescent="0.25">
      <c r="Y4539" s="501"/>
    </row>
    <row r="4540" spans="25:25" hidden="1" x14ac:dyDescent="0.25">
      <c r="Y4540" s="501"/>
    </row>
    <row r="4541" spans="25:25" hidden="1" x14ac:dyDescent="0.25">
      <c r="Y4541" s="501"/>
    </row>
    <row r="4542" spans="25:25" hidden="1" x14ac:dyDescent="0.25">
      <c r="Y4542" s="501"/>
    </row>
    <row r="4543" spans="25:25" hidden="1" x14ac:dyDescent="0.25">
      <c r="Y4543" s="501"/>
    </row>
    <row r="4544" spans="25:25" hidden="1" x14ac:dyDescent="0.25">
      <c r="Y4544" s="501"/>
    </row>
    <row r="4545" spans="25:25" hidden="1" x14ac:dyDescent="0.25">
      <c r="Y4545" s="501"/>
    </row>
    <row r="4546" spans="25:25" hidden="1" x14ac:dyDescent="0.25">
      <c r="Y4546" s="501"/>
    </row>
    <row r="4547" spans="25:25" hidden="1" x14ac:dyDescent="0.25">
      <c r="Y4547" s="501"/>
    </row>
    <row r="4548" spans="25:25" hidden="1" x14ac:dyDescent="0.25">
      <c r="Y4548" s="501"/>
    </row>
    <row r="4549" spans="25:25" hidden="1" x14ac:dyDescent="0.25">
      <c r="Y4549" s="501"/>
    </row>
    <row r="4550" spans="25:25" hidden="1" x14ac:dyDescent="0.25">
      <c r="Y4550" s="501"/>
    </row>
    <row r="4551" spans="25:25" hidden="1" x14ac:dyDescent="0.25">
      <c r="Y4551" s="501"/>
    </row>
    <row r="4552" spans="25:25" hidden="1" x14ac:dyDescent="0.25">
      <c r="Y4552" s="501"/>
    </row>
    <row r="4553" spans="25:25" hidden="1" x14ac:dyDescent="0.25">
      <c r="Y4553" s="501"/>
    </row>
    <row r="4554" spans="25:25" hidden="1" x14ac:dyDescent="0.25">
      <c r="Y4554" s="501"/>
    </row>
    <row r="4555" spans="25:25" hidden="1" x14ac:dyDescent="0.25">
      <c r="Y4555" s="501"/>
    </row>
    <row r="4556" spans="25:25" hidden="1" x14ac:dyDescent="0.25">
      <c r="Y4556" s="501"/>
    </row>
    <row r="4557" spans="25:25" hidden="1" x14ac:dyDescent="0.25">
      <c r="Y4557" s="501"/>
    </row>
    <row r="4558" spans="25:25" hidden="1" x14ac:dyDescent="0.25">
      <c r="Y4558" s="501"/>
    </row>
    <row r="4559" spans="25:25" hidden="1" x14ac:dyDescent="0.25">
      <c r="Y4559" s="501"/>
    </row>
    <row r="4560" spans="25:25" hidden="1" x14ac:dyDescent="0.25">
      <c r="Y4560" s="501"/>
    </row>
    <row r="4561" spans="25:25" hidden="1" x14ac:dyDescent="0.25">
      <c r="Y4561" s="501"/>
    </row>
    <row r="4562" spans="25:25" hidden="1" x14ac:dyDescent="0.25">
      <c r="Y4562" s="501"/>
    </row>
    <row r="4563" spans="25:25" hidden="1" x14ac:dyDescent="0.25">
      <c r="Y4563" s="501"/>
    </row>
    <row r="4564" spans="25:25" hidden="1" x14ac:dyDescent="0.25">
      <c r="Y4564" s="501"/>
    </row>
    <row r="4565" spans="25:25" hidden="1" x14ac:dyDescent="0.25">
      <c r="Y4565" s="501"/>
    </row>
    <row r="4566" spans="25:25" hidden="1" x14ac:dyDescent="0.25">
      <c r="Y4566" s="501"/>
    </row>
    <row r="4567" spans="25:25" hidden="1" x14ac:dyDescent="0.25">
      <c r="Y4567" s="501"/>
    </row>
    <row r="4568" spans="25:25" hidden="1" x14ac:dyDescent="0.25">
      <c r="Y4568" s="501"/>
    </row>
    <row r="4569" spans="25:25" hidden="1" x14ac:dyDescent="0.25">
      <c r="Y4569" s="501"/>
    </row>
    <row r="4570" spans="25:25" hidden="1" x14ac:dyDescent="0.25">
      <c r="Y4570" s="501"/>
    </row>
    <row r="4571" spans="25:25" hidden="1" x14ac:dyDescent="0.25">
      <c r="Y4571" s="501"/>
    </row>
    <row r="4572" spans="25:25" hidden="1" x14ac:dyDescent="0.25">
      <c r="Y4572" s="501"/>
    </row>
    <row r="4573" spans="25:25" hidden="1" x14ac:dyDescent="0.25">
      <c r="Y4573" s="501"/>
    </row>
    <row r="4574" spans="25:25" hidden="1" x14ac:dyDescent="0.25">
      <c r="Y4574" s="501"/>
    </row>
    <row r="4575" spans="25:25" hidden="1" x14ac:dyDescent="0.25">
      <c r="Y4575" s="501"/>
    </row>
    <row r="4576" spans="25:25" hidden="1" x14ac:dyDescent="0.25">
      <c r="Y4576" s="501"/>
    </row>
    <row r="4577" spans="25:25" hidden="1" x14ac:dyDescent="0.25">
      <c r="Y4577" s="501"/>
    </row>
    <row r="4578" spans="25:25" hidden="1" x14ac:dyDescent="0.25">
      <c r="Y4578" s="501"/>
    </row>
    <row r="4579" spans="25:25" hidden="1" x14ac:dyDescent="0.25">
      <c r="Y4579" s="501"/>
    </row>
    <row r="4580" spans="25:25" hidden="1" x14ac:dyDescent="0.25">
      <c r="Y4580" s="501"/>
    </row>
    <row r="4581" spans="25:25" hidden="1" x14ac:dyDescent="0.25">
      <c r="Y4581" s="501"/>
    </row>
    <row r="4582" spans="25:25" hidden="1" x14ac:dyDescent="0.25">
      <c r="Y4582" s="501"/>
    </row>
    <row r="4583" spans="25:25" hidden="1" x14ac:dyDescent="0.25">
      <c r="Y4583" s="501"/>
    </row>
    <row r="4584" spans="25:25" hidden="1" x14ac:dyDescent="0.25">
      <c r="Y4584" s="501"/>
    </row>
    <row r="4585" spans="25:25" hidden="1" x14ac:dyDescent="0.25">
      <c r="Y4585" s="501"/>
    </row>
    <row r="4586" spans="25:25" hidden="1" x14ac:dyDescent="0.25">
      <c r="Y4586" s="501"/>
    </row>
    <row r="4587" spans="25:25" hidden="1" x14ac:dyDescent="0.25">
      <c r="Y4587" s="501"/>
    </row>
    <row r="4588" spans="25:25" hidden="1" x14ac:dyDescent="0.25">
      <c r="Y4588" s="501"/>
    </row>
    <row r="4589" spans="25:25" hidden="1" x14ac:dyDescent="0.25">
      <c r="Y4589" s="501"/>
    </row>
    <row r="4590" spans="25:25" hidden="1" x14ac:dyDescent="0.25">
      <c r="Y4590" s="501"/>
    </row>
    <row r="4591" spans="25:25" hidden="1" x14ac:dyDescent="0.25">
      <c r="Y4591" s="501"/>
    </row>
    <row r="4592" spans="25:25" hidden="1" x14ac:dyDescent="0.25">
      <c r="Y4592" s="501"/>
    </row>
    <row r="4593" spans="25:25" hidden="1" x14ac:dyDescent="0.25">
      <c r="Y4593" s="501"/>
    </row>
    <row r="4594" spans="25:25" hidden="1" x14ac:dyDescent="0.25">
      <c r="Y4594" s="501"/>
    </row>
    <row r="4595" spans="25:25" hidden="1" x14ac:dyDescent="0.25">
      <c r="Y4595" s="501"/>
    </row>
    <row r="4596" spans="25:25" hidden="1" x14ac:dyDescent="0.25">
      <c r="Y4596" s="501"/>
    </row>
    <row r="4597" spans="25:25" hidden="1" x14ac:dyDescent="0.25">
      <c r="Y4597" s="501"/>
    </row>
    <row r="4598" spans="25:25" hidden="1" x14ac:dyDescent="0.25">
      <c r="Y4598" s="501"/>
    </row>
    <row r="4599" spans="25:25" hidden="1" x14ac:dyDescent="0.25">
      <c r="Y4599" s="501"/>
    </row>
    <row r="4600" spans="25:25" hidden="1" x14ac:dyDescent="0.25">
      <c r="Y4600" s="501"/>
    </row>
    <row r="4601" spans="25:25" hidden="1" x14ac:dyDescent="0.25">
      <c r="Y4601" s="501"/>
    </row>
    <row r="4602" spans="25:25" hidden="1" x14ac:dyDescent="0.25">
      <c r="Y4602" s="501"/>
    </row>
    <row r="4603" spans="25:25" hidden="1" x14ac:dyDescent="0.25">
      <c r="Y4603" s="501"/>
    </row>
    <row r="4604" spans="25:25" hidden="1" x14ac:dyDescent="0.25">
      <c r="Y4604" s="501"/>
    </row>
    <row r="4605" spans="25:25" hidden="1" x14ac:dyDescent="0.25">
      <c r="Y4605" s="501"/>
    </row>
    <row r="4606" spans="25:25" hidden="1" x14ac:dyDescent="0.25">
      <c r="Y4606" s="501"/>
    </row>
    <row r="4607" spans="25:25" hidden="1" x14ac:dyDescent="0.25">
      <c r="Y4607" s="501"/>
    </row>
    <row r="4608" spans="25:25" hidden="1" x14ac:dyDescent="0.25">
      <c r="Y4608" s="501"/>
    </row>
    <row r="4609" spans="25:25" hidden="1" x14ac:dyDescent="0.25">
      <c r="Y4609" s="501"/>
    </row>
    <row r="4610" spans="25:25" hidden="1" x14ac:dyDescent="0.25">
      <c r="Y4610" s="501"/>
    </row>
    <row r="4611" spans="25:25" hidden="1" x14ac:dyDescent="0.25">
      <c r="Y4611" s="501"/>
    </row>
    <row r="4612" spans="25:25" hidden="1" x14ac:dyDescent="0.25">
      <c r="Y4612" s="501"/>
    </row>
    <row r="4613" spans="25:25" hidden="1" x14ac:dyDescent="0.25">
      <c r="Y4613" s="501"/>
    </row>
    <row r="4614" spans="25:25" hidden="1" x14ac:dyDescent="0.25">
      <c r="Y4614" s="501"/>
    </row>
    <row r="4615" spans="25:25" hidden="1" x14ac:dyDescent="0.25">
      <c r="Y4615" s="501"/>
    </row>
    <row r="4616" spans="25:25" hidden="1" x14ac:dyDescent="0.25">
      <c r="Y4616" s="501"/>
    </row>
    <row r="4617" spans="25:25" hidden="1" x14ac:dyDescent="0.25">
      <c r="Y4617" s="501"/>
    </row>
    <row r="4618" spans="25:25" hidden="1" x14ac:dyDescent="0.25">
      <c r="Y4618" s="501"/>
    </row>
    <row r="4619" spans="25:25" hidden="1" x14ac:dyDescent="0.25">
      <c r="Y4619" s="501"/>
    </row>
    <row r="4620" spans="25:25" hidden="1" x14ac:dyDescent="0.25">
      <c r="Y4620" s="501"/>
    </row>
    <row r="4621" spans="25:25" hidden="1" x14ac:dyDescent="0.25">
      <c r="Y4621" s="501"/>
    </row>
    <row r="4622" spans="25:25" hidden="1" x14ac:dyDescent="0.25">
      <c r="Y4622" s="501"/>
    </row>
    <row r="4623" spans="25:25" hidden="1" x14ac:dyDescent="0.25">
      <c r="Y4623" s="501"/>
    </row>
    <row r="4624" spans="25:25" hidden="1" x14ac:dyDescent="0.25">
      <c r="Y4624" s="501"/>
    </row>
    <row r="4625" spans="25:25" hidden="1" x14ac:dyDescent="0.25">
      <c r="Y4625" s="501"/>
    </row>
    <row r="4626" spans="25:25" hidden="1" x14ac:dyDescent="0.25">
      <c r="Y4626" s="501"/>
    </row>
    <row r="4627" spans="25:25" hidden="1" x14ac:dyDescent="0.25">
      <c r="Y4627" s="501"/>
    </row>
    <row r="4628" spans="25:25" hidden="1" x14ac:dyDescent="0.25">
      <c r="Y4628" s="501"/>
    </row>
    <row r="4629" spans="25:25" hidden="1" x14ac:dyDescent="0.25">
      <c r="Y4629" s="501"/>
    </row>
    <row r="4630" spans="25:25" hidden="1" x14ac:dyDescent="0.25">
      <c r="Y4630" s="501"/>
    </row>
    <row r="4631" spans="25:25" hidden="1" x14ac:dyDescent="0.25">
      <c r="Y4631" s="501"/>
    </row>
    <row r="4632" spans="25:25" hidden="1" x14ac:dyDescent="0.25">
      <c r="Y4632" s="501"/>
    </row>
    <row r="4633" spans="25:25" hidden="1" x14ac:dyDescent="0.25">
      <c r="Y4633" s="501"/>
    </row>
    <row r="4634" spans="25:25" hidden="1" x14ac:dyDescent="0.25">
      <c r="Y4634" s="501"/>
    </row>
    <row r="4635" spans="25:25" hidden="1" x14ac:dyDescent="0.25">
      <c r="Y4635" s="501"/>
    </row>
    <row r="4636" spans="25:25" hidden="1" x14ac:dyDescent="0.25">
      <c r="Y4636" s="501"/>
    </row>
    <row r="4637" spans="25:25" hidden="1" x14ac:dyDescent="0.25">
      <c r="Y4637" s="501"/>
    </row>
    <row r="4638" spans="25:25" hidden="1" x14ac:dyDescent="0.25">
      <c r="Y4638" s="501"/>
    </row>
    <row r="4639" spans="25:25" hidden="1" x14ac:dyDescent="0.25">
      <c r="Y4639" s="501"/>
    </row>
    <row r="4640" spans="25:25" hidden="1" x14ac:dyDescent="0.25">
      <c r="Y4640" s="501"/>
    </row>
    <row r="4641" spans="25:25" hidden="1" x14ac:dyDescent="0.25">
      <c r="Y4641" s="501"/>
    </row>
    <row r="4642" spans="25:25" hidden="1" x14ac:dyDescent="0.25">
      <c r="Y4642" s="501"/>
    </row>
    <row r="4643" spans="25:25" hidden="1" x14ac:dyDescent="0.25">
      <c r="Y4643" s="501"/>
    </row>
    <row r="4644" spans="25:25" hidden="1" x14ac:dyDescent="0.25">
      <c r="Y4644" s="501"/>
    </row>
    <row r="4645" spans="25:25" hidden="1" x14ac:dyDescent="0.25">
      <c r="Y4645" s="501"/>
    </row>
    <row r="4646" spans="25:25" hidden="1" x14ac:dyDescent="0.25">
      <c r="Y4646" s="501"/>
    </row>
    <row r="4647" spans="25:25" hidden="1" x14ac:dyDescent="0.25">
      <c r="Y4647" s="501"/>
    </row>
    <row r="4648" spans="25:25" hidden="1" x14ac:dyDescent="0.25">
      <c r="Y4648" s="501"/>
    </row>
    <row r="4649" spans="25:25" hidden="1" x14ac:dyDescent="0.25">
      <c r="Y4649" s="501"/>
    </row>
    <row r="4650" spans="25:25" hidden="1" x14ac:dyDescent="0.25">
      <c r="Y4650" s="501"/>
    </row>
    <row r="4651" spans="25:25" hidden="1" x14ac:dyDescent="0.25">
      <c r="Y4651" s="501"/>
    </row>
    <row r="4652" spans="25:25" hidden="1" x14ac:dyDescent="0.25">
      <c r="Y4652" s="501"/>
    </row>
    <row r="4653" spans="25:25" hidden="1" x14ac:dyDescent="0.25">
      <c r="Y4653" s="501"/>
    </row>
    <row r="4654" spans="25:25" hidden="1" x14ac:dyDescent="0.25">
      <c r="Y4654" s="501"/>
    </row>
    <row r="4655" spans="25:25" hidden="1" x14ac:dyDescent="0.25">
      <c r="Y4655" s="501"/>
    </row>
    <row r="4656" spans="25:25" hidden="1" x14ac:dyDescent="0.25">
      <c r="Y4656" s="501"/>
    </row>
    <row r="4657" spans="25:25" hidden="1" x14ac:dyDescent="0.25">
      <c r="Y4657" s="501"/>
    </row>
    <row r="4658" spans="25:25" hidden="1" x14ac:dyDescent="0.25">
      <c r="Y4658" s="501"/>
    </row>
    <row r="4659" spans="25:25" hidden="1" x14ac:dyDescent="0.25">
      <c r="Y4659" s="501"/>
    </row>
    <row r="4660" spans="25:25" hidden="1" x14ac:dyDescent="0.25">
      <c r="Y4660" s="501"/>
    </row>
    <row r="4661" spans="25:25" hidden="1" x14ac:dyDescent="0.25">
      <c r="Y4661" s="501"/>
    </row>
    <row r="4662" spans="25:25" hidden="1" x14ac:dyDescent="0.25">
      <c r="Y4662" s="501"/>
    </row>
    <row r="4663" spans="25:25" hidden="1" x14ac:dyDescent="0.25">
      <c r="Y4663" s="501"/>
    </row>
    <row r="4664" spans="25:25" hidden="1" x14ac:dyDescent="0.25">
      <c r="Y4664" s="501"/>
    </row>
    <row r="4665" spans="25:25" hidden="1" x14ac:dyDescent="0.25">
      <c r="Y4665" s="501"/>
    </row>
    <row r="4666" spans="25:25" hidden="1" x14ac:dyDescent="0.25">
      <c r="Y4666" s="501"/>
    </row>
    <row r="4667" spans="25:25" hidden="1" x14ac:dyDescent="0.25">
      <c r="Y4667" s="501"/>
    </row>
    <row r="4668" spans="25:25" hidden="1" x14ac:dyDescent="0.25">
      <c r="Y4668" s="501"/>
    </row>
    <row r="4669" spans="25:25" hidden="1" x14ac:dyDescent="0.25">
      <c r="Y4669" s="501"/>
    </row>
    <row r="4670" spans="25:25" hidden="1" x14ac:dyDescent="0.25">
      <c r="Y4670" s="501"/>
    </row>
    <row r="4671" spans="25:25" hidden="1" x14ac:dyDescent="0.25">
      <c r="Y4671" s="501"/>
    </row>
    <row r="4672" spans="25:25" hidden="1" x14ac:dyDescent="0.25">
      <c r="Y4672" s="501"/>
    </row>
    <row r="4673" spans="25:25" hidden="1" x14ac:dyDescent="0.25">
      <c r="Y4673" s="501"/>
    </row>
    <row r="4674" spans="25:25" hidden="1" x14ac:dyDescent="0.25">
      <c r="Y4674" s="501"/>
    </row>
    <row r="4675" spans="25:25" hidden="1" x14ac:dyDescent="0.25">
      <c r="Y4675" s="501"/>
    </row>
    <row r="4676" spans="25:25" hidden="1" x14ac:dyDescent="0.25">
      <c r="Y4676" s="501"/>
    </row>
    <row r="4677" spans="25:25" hidden="1" x14ac:dyDescent="0.25">
      <c r="Y4677" s="501"/>
    </row>
    <row r="4678" spans="25:25" hidden="1" x14ac:dyDescent="0.25">
      <c r="Y4678" s="501"/>
    </row>
    <row r="4679" spans="25:25" hidden="1" x14ac:dyDescent="0.25">
      <c r="Y4679" s="501"/>
    </row>
    <row r="4680" spans="25:25" hidden="1" x14ac:dyDescent="0.25">
      <c r="Y4680" s="501"/>
    </row>
    <row r="4681" spans="25:25" hidden="1" x14ac:dyDescent="0.25">
      <c r="Y4681" s="501"/>
    </row>
    <row r="4682" spans="25:25" hidden="1" x14ac:dyDescent="0.25">
      <c r="Y4682" s="501"/>
    </row>
    <row r="4683" spans="25:25" hidden="1" x14ac:dyDescent="0.25">
      <c r="Y4683" s="501"/>
    </row>
    <row r="4684" spans="25:25" hidden="1" x14ac:dyDescent="0.25">
      <c r="Y4684" s="501"/>
    </row>
    <row r="4685" spans="25:25" hidden="1" x14ac:dyDescent="0.25">
      <c r="Y4685" s="501"/>
    </row>
    <row r="4686" spans="25:25" hidden="1" x14ac:dyDescent="0.25">
      <c r="Y4686" s="501"/>
    </row>
    <row r="4687" spans="25:25" hidden="1" x14ac:dyDescent="0.25">
      <c r="Y4687" s="501"/>
    </row>
    <row r="4688" spans="25:25" hidden="1" x14ac:dyDescent="0.25">
      <c r="Y4688" s="501"/>
    </row>
    <row r="4689" spans="25:25" hidden="1" x14ac:dyDescent="0.25">
      <c r="Y4689" s="501"/>
    </row>
    <row r="4690" spans="25:25" hidden="1" x14ac:dyDescent="0.25">
      <c r="Y4690" s="501"/>
    </row>
    <row r="4691" spans="25:25" hidden="1" x14ac:dyDescent="0.25">
      <c r="Y4691" s="501"/>
    </row>
    <row r="4692" spans="25:25" hidden="1" x14ac:dyDescent="0.25">
      <c r="Y4692" s="501"/>
    </row>
    <row r="4693" spans="25:25" hidden="1" x14ac:dyDescent="0.25">
      <c r="Y4693" s="501"/>
    </row>
    <row r="4694" spans="25:25" hidden="1" x14ac:dyDescent="0.25">
      <c r="Y4694" s="501"/>
    </row>
    <row r="4695" spans="25:25" hidden="1" x14ac:dyDescent="0.25">
      <c r="Y4695" s="501"/>
    </row>
    <row r="4696" spans="25:25" hidden="1" x14ac:dyDescent="0.25">
      <c r="Y4696" s="501"/>
    </row>
    <row r="4697" spans="25:25" hidden="1" x14ac:dyDescent="0.25">
      <c r="Y4697" s="501"/>
    </row>
    <row r="4698" spans="25:25" hidden="1" x14ac:dyDescent="0.25">
      <c r="Y4698" s="501"/>
    </row>
    <row r="4699" spans="25:25" hidden="1" x14ac:dyDescent="0.25">
      <c r="Y4699" s="501"/>
    </row>
    <row r="4700" spans="25:25" hidden="1" x14ac:dyDescent="0.25">
      <c r="Y4700" s="501"/>
    </row>
    <row r="4701" spans="25:25" hidden="1" x14ac:dyDescent="0.25">
      <c r="Y4701" s="501"/>
    </row>
    <row r="4702" spans="25:25" hidden="1" x14ac:dyDescent="0.25">
      <c r="Y4702" s="501"/>
    </row>
    <row r="4703" spans="25:25" hidden="1" x14ac:dyDescent="0.25">
      <c r="Y4703" s="501"/>
    </row>
    <row r="4704" spans="25:25" hidden="1" x14ac:dyDescent="0.25">
      <c r="Y4704" s="501"/>
    </row>
    <row r="4705" spans="25:25" hidden="1" x14ac:dyDescent="0.25">
      <c r="Y4705" s="501"/>
    </row>
    <row r="4706" spans="25:25" hidden="1" x14ac:dyDescent="0.25">
      <c r="Y4706" s="501"/>
    </row>
    <row r="4707" spans="25:25" hidden="1" x14ac:dyDescent="0.25">
      <c r="Y4707" s="501"/>
    </row>
    <row r="4708" spans="25:25" hidden="1" x14ac:dyDescent="0.25">
      <c r="Y4708" s="501"/>
    </row>
    <row r="4709" spans="25:25" hidden="1" x14ac:dyDescent="0.25">
      <c r="Y4709" s="501"/>
    </row>
    <row r="4710" spans="25:25" hidden="1" x14ac:dyDescent="0.25">
      <c r="Y4710" s="501"/>
    </row>
    <row r="4711" spans="25:25" hidden="1" x14ac:dyDescent="0.25">
      <c r="Y4711" s="501"/>
    </row>
    <row r="4712" spans="25:25" hidden="1" x14ac:dyDescent="0.25">
      <c r="Y4712" s="501"/>
    </row>
    <row r="4713" spans="25:25" hidden="1" x14ac:dyDescent="0.25">
      <c r="Y4713" s="501"/>
    </row>
    <row r="4714" spans="25:25" hidden="1" x14ac:dyDescent="0.25">
      <c r="Y4714" s="501"/>
    </row>
    <row r="4715" spans="25:25" hidden="1" x14ac:dyDescent="0.25">
      <c r="Y4715" s="501"/>
    </row>
    <row r="4716" spans="25:25" hidden="1" x14ac:dyDescent="0.25">
      <c r="Y4716" s="501"/>
    </row>
    <row r="4717" spans="25:25" hidden="1" x14ac:dyDescent="0.25">
      <c r="Y4717" s="501"/>
    </row>
    <row r="4718" spans="25:25" hidden="1" x14ac:dyDescent="0.25">
      <c r="Y4718" s="501"/>
    </row>
    <row r="4719" spans="25:25" hidden="1" x14ac:dyDescent="0.25">
      <c r="Y4719" s="501"/>
    </row>
    <row r="4720" spans="25:25" hidden="1" x14ac:dyDescent="0.25">
      <c r="Y4720" s="501"/>
    </row>
    <row r="4721" spans="25:25" hidden="1" x14ac:dyDescent="0.25">
      <c r="Y4721" s="501"/>
    </row>
    <row r="4722" spans="25:25" hidden="1" x14ac:dyDescent="0.25">
      <c r="Y4722" s="501"/>
    </row>
    <row r="4723" spans="25:25" hidden="1" x14ac:dyDescent="0.25">
      <c r="Y4723" s="501"/>
    </row>
    <row r="4724" spans="25:25" hidden="1" x14ac:dyDescent="0.25">
      <c r="Y4724" s="501"/>
    </row>
    <row r="4725" spans="25:25" hidden="1" x14ac:dyDescent="0.25">
      <c r="Y4725" s="501"/>
    </row>
    <row r="4726" spans="25:25" hidden="1" x14ac:dyDescent="0.25">
      <c r="Y4726" s="501"/>
    </row>
    <row r="4727" spans="25:25" hidden="1" x14ac:dyDescent="0.25">
      <c r="Y4727" s="501"/>
    </row>
    <row r="4728" spans="25:25" hidden="1" x14ac:dyDescent="0.25">
      <c r="Y4728" s="501"/>
    </row>
    <row r="4729" spans="25:25" hidden="1" x14ac:dyDescent="0.25">
      <c r="Y4729" s="501"/>
    </row>
    <row r="4730" spans="25:25" hidden="1" x14ac:dyDescent="0.25">
      <c r="Y4730" s="501"/>
    </row>
    <row r="4731" spans="25:25" hidden="1" x14ac:dyDescent="0.25">
      <c r="Y4731" s="501"/>
    </row>
    <row r="4732" spans="25:25" hidden="1" x14ac:dyDescent="0.25">
      <c r="Y4732" s="501"/>
    </row>
    <row r="4733" spans="25:25" hidden="1" x14ac:dyDescent="0.25">
      <c r="Y4733" s="501"/>
    </row>
    <row r="4734" spans="25:25" hidden="1" x14ac:dyDescent="0.25">
      <c r="Y4734" s="501"/>
    </row>
    <row r="4735" spans="25:25" hidden="1" x14ac:dyDescent="0.25">
      <c r="Y4735" s="501"/>
    </row>
    <row r="4736" spans="25:25" hidden="1" x14ac:dyDescent="0.25">
      <c r="Y4736" s="501"/>
    </row>
    <row r="4737" spans="25:25" hidden="1" x14ac:dyDescent="0.25">
      <c r="Y4737" s="501"/>
    </row>
    <row r="4738" spans="25:25" hidden="1" x14ac:dyDescent="0.25">
      <c r="Y4738" s="501"/>
    </row>
    <row r="4739" spans="25:25" hidden="1" x14ac:dyDescent="0.25">
      <c r="Y4739" s="501"/>
    </row>
    <row r="4740" spans="25:25" hidden="1" x14ac:dyDescent="0.25">
      <c r="Y4740" s="501"/>
    </row>
    <row r="4741" spans="25:25" hidden="1" x14ac:dyDescent="0.25">
      <c r="Y4741" s="501"/>
    </row>
    <row r="4742" spans="25:25" hidden="1" x14ac:dyDescent="0.25">
      <c r="Y4742" s="501"/>
    </row>
    <row r="4743" spans="25:25" hidden="1" x14ac:dyDescent="0.25">
      <c r="Y4743" s="501"/>
    </row>
    <row r="4744" spans="25:25" hidden="1" x14ac:dyDescent="0.25">
      <c r="Y4744" s="501"/>
    </row>
    <row r="4745" spans="25:25" hidden="1" x14ac:dyDescent="0.25">
      <c r="Y4745" s="501"/>
    </row>
    <row r="4746" spans="25:25" hidden="1" x14ac:dyDescent="0.25">
      <c r="Y4746" s="501"/>
    </row>
    <row r="4747" spans="25:25" hidden="1" x14ac:dyDescent="0.25">
      <c r="Y4747" s="501"/>
    </row>
    <row r="4748" spans="25:25" hidden="1" x14ac:dyDescent="0.25">
      <c r="Y4748" s="501"/>
    </row>
    <row r="4749" spans="25:25" hidden="1" x14ac:dyDescent="0.25">
      <c r="Y4749" s="501"/>
    </row>
    <row r="4750" spans="25:25" hidden="1" x14ac:dyDescent="0.25">
      <c r="Y4750" s="501"/>
    </row>
    <row r="4751" spans="25:25" hidden="1" x14ac:dyDescent="0.25">
      <c r="Y4751" s="501"/>
    </row>
    <row r="4752" spans="25:25" hidden="1" x14ac:dyDescent="0.25">
      <c r="Y4752" s="501"/>
    </row>
    <row r="4753" spans="25:25" hidden="1" x14ac:dyDescent="0.25">
      <c r="Y4753" s="501"/>
    </row>
    <row r="4754" spans="25:25" hidden="1" x14ac:dyDescent="0.25">
      <c r="Y4754" s="501"/>
    </row>
    <row r="4755" spans="25:25" hidden="1" x14ac:dyDescent="0.25">
      <c r="Y4755" s="501"/>
    </row>
    <row r="4756" spans="25:25" hidden="1" x14ac:dyDescent="0.25">
      <c r="Y4756" s="501"/>
    </row>
    <row r="4757" spans="25:25" hidden="1" x14ac:dyDescent="0.25">
      <c r="Y4757" s="501"/>
    </row>
    <row r="4758" spans="25:25" hidden="1" x14ac:dyDescent="0.25">
      <c r="Y4758" s="501"/>
    </row>
    <row r="4759" spans="25:25" hidden="1" x14ac:dyDescent="0.25">
      <c r="Y4759" s="501"/>
    </row>
    <row r="4760" spans="25:25" hidden="1" x14ac:dyDescent="0.25">
      <c r="Y4760" s="501"/>
    </row>
    <row r="4761" spans="25:25" hidden="1" x14ac:dyDescent="0.25">
      <c r="Y4761" s="501"/>
    </row>
    <row r="4762" spans="25:25" hidden="1" x14ac:dyDescent="0.25">
      <c r="Y4762" s="501"/>
    </row>
    <row r="4763" spans="25:25" hidden="1" x14ac:dyDescent="0.25">
      <c r="Y4763" s="501"/>
    </row>
    <row r="4764" spans="25:25" hidden="1" x14ac:dyDescent="0.25">
      <c r="Y4764" s="501"/>
    </row>
    <row r="4765" spans="25:25" hidden="1" x14ac:dyDescent="0.25">
      <c r="Y4765" s="501"/>
    </row>
    <row r="4766" spans="25:25" hidden="1" x14ac:dyDescent="0.25">
      <c r="Y4766" s="501"/>
    </row>
    <row r="4767" spans="25:25" hidden="1" x14ac:dyDescent="0.25">
      <c r="Y4767" s="501"/>
    </row>
    <row r="4768" spans="25:25" hidden="1" x14ac:dyDescent="0.25">
      <c r="Y4768" s="501"/>
    </row>
    <row r="4769" spans="25:25" hidden="1" x14ac:dyDescent="0.25">
      <c r="Y4769" s="501"/>
    </row>
    <row r="4770" spans="25:25" hidden="1" x14ac:dyDescent="0.25">
      <c r="Y4770" s="501"/>
    </row>
    <row r="4771" spans="25:25" hidden="1" x14ac:dyDescent="0.25">
      <c r="Y4771" s="501"/>
    </row>
    <row r="4772" spans="25:25" hidden="1" x14ac:dyDescent="0.25">
      <c r="Y4772" s="501"/>
    </row>
    <row r="4773" spans="25:25" hidden="1" x14ac:dyDescent="0.25">
      <c r="Y4773" s="501"/>
    </row>
    <row r="4774" spans="25:25" hidden="1" x14ac:dyDescent="0.25">
      <c r="Y4774" s="501"/>
    </row>
    <row r="4775" spans="25:25" hidden="1" x14ac:dyDescent="0.25">
      <c r="Y4775" s="501"/>
    </row>
    <row r="4776" spans="25:25" hidden="1" x14ac:dyDescent="0.25">
      <c r="Y4776" s="501"/>
    </row>
    <row r="4777" spans="25:25" hidden="1" x14ac:dyDescent="0.25">
      <c r="Y4777" s="501"/>
    </row>
    <row r="4778" spans="25:25" hidden="1" x14ac:dyDescent="0.25">
      <c r="Y4778" s="501"/>
    </row>
    <row r="4779" spans="25:25" hidden="1" x14ac:dyDescent="0.25">
      <c r="Y4779" s="501"/>
    </row>
    <row r="4780" spans="25:25" hidden="1" x14ac:dyDescent="0.25">
      <c r="Y4780" s="501"/>
    </row>
    <row r="4781" spans="25:25" hidden="1" x14ac:dyDescent="0.25">
      <c r="Y4781" s="501"/>
    </row>
    <row r="4782" spans="25:25" hidden="1" x14ac:dyDescent="0.25">
      <c r="Y4782" s="501"/>
    </row>
    <row r="4783" spans="25:25" hidden="1" x14ac:dyDescent="0.25">
      <c r="Y4783" s="501"/>
    </row>
    <row r="4784" spans="25:25" hidden="1" x14ac:dyDescent="0.25">
      <c r="Y4784" s="501"/>
    </row>
    <row r="4785" spans="25:25" hidden="1" x14ac:dyDescent="0.25">
      <c r="Y4785" s="501"/>
    </row>
    <row r="4786" spans="25:25" hidden="1" x14ac:dyDescent="0.25">
      <c r="Y4786" s="501"/>
    </row>
    <row r="4787" spans="25:25" hidden="1" x14ac:dyDescent="0.25">
      <c r="Y4787" s="501"/>
    </row>
    <row r="4788" spans="25:25" hidden="1" x14ac:dyDescent="0.25">
      <c r="Y4788" s="501"/>
    </row>
    <row r="4789" spans="25:25" hidden="1" x14ac:dyDescent="0.25">
      <c r="Y4789" s="501"/>
    </row>
    <row r="4790" spans="25:25" hidden="1" x14ac:dyDescent="0.25">
      <c r="Y4790" s="501"/>
    </row>
    <row r="4791" spans="25:25" hidden="1" x14ac:dyDescent="0.25">
      <c r="Y4791" s="501"/>
    </row>
    <row r="4792" spans="25:25" hidden="1" x14ac:dyDescent="0.25">
      <c r="Y4792" s="501"/>
    </row>
    <row r="4793" spans="25:25" hidden="1" x14ac:dyDescent="0.25">
      <c r="Y4793" s="501"/>
    </row>
    <row r="4794" spans="25:25" hidden="1" x14ac:dyDescent="0.25">
      <c r="Y4794" s="501"/>
    </row>
    <row r="4795" spans="25:25" hidden="1" x14ac:dyDescent="0.25">
      <c r="Y4795" s="501"/>
    </row>
    <row r="4796" spans="25:25" hidden="1" x14ac:dyDescent="0.25">
      <c r="Y4796" s="501"/>
    </row>
    <row r="4797" spans="25:25" hidden="1" x14ac:dyDescent="0.25">
      <c r="Y4797" s="501"/>
    </row>
    <row r="4798" spans="25:25" hidden="1" x14ac:dyDescent="0.25">
      <c r="Y4798" s="501"/>
    </row>
    <row r="4799" spans="25:25" hidden="1" x14ac:dyDescent="0.25">
      <c r="Y4799" s="501"/>
    </row>
    <row r="4800" spans="25:25" hidden="1" x14ac:dyDescent="0.25">
      <c r="Y4800" s="501"/>
    </row>
    <row r="4801" spans="25:25" hidden="1" x14ac:dyDescent="0.25">
      <c r="Y4801" s="501"/>
    </row>
    <row r="4802" spans="25:25" hidden="1" x14ac:dyDescent="0.25">
      <c r="Y4802" s="501"/>
    </row>
    <row r="4803" spans="25:25" hidden="1" x14ac:dyDescent="0.25">
      <c r="Y4803" s="501"/>
    </row>
    <row r="4804" spans="25:25" hidden="1" x14ac:dyDescent="0.25">
      <c r="Y4804" s="501"/>
    </row>
    <row r="4805" spans="25:25" hidden="1" x14ac:dyDescent="0.25">
      <c r="Y4805" s="501"/>
    </row>
    <row r="4806" spans="25:25" hidden="1" x14ac:dyDescent="0.25">
      <c r="Y4806" s="501"/>
    </row>
    <row r="4807" spans="25:25" hidden="1" x14ac:dyDescent="0.25">
      <c r="Y4807" s="501"/>
    </row>
    <row r="4808" spans="25:25" hidden="1" x14ac:dyDescent="0.25">
      <c r="Y4808" s="501"/>
    </row>
    <row r="4809" spans="25:25" hidden="1" x14ac:dyDescent="0.25">
      <c r="Y4809" s="501"/>
    </row>
    <row r="4810" spans="25:25" hidden="1" x14ac:dyDescent="0.25">
      <c r="Y4810" s="501"/>
    </row>
    <row r="4811" spans="25:25" hidden="1" x14ac:dyDescent="0.25">
      <c r="Y4811" s="501"/>
    </row>
    <row r="4812" spans="25:25" hidden="1" x14ac:dyDescent="0.25">
      <c r="Y4812" s="501"/>
    </row>
    <row r="4813" spans="25:25" hidden="1" x14ac:dyDescent="0.25">
      <c r="Y4813" s="501"/>
    </row>
    <row r="4814" spans="25:25" hidden="1" x14ac:dyDescent="0.25">
      <c r="Y4814" s="501"/>
    </row>
    <row r="4815" spans="25:25" hidden="1" x14ac:dyDescent="0.25">
      <c r="Y4815" s="501"/>
    </row>
    <row r="4816" spans="25:25" hidden="1" x14ac:dyDescent="0.25">
      <c r="Y4816" s="501"/>
    </row>
    <row r="4817" spans="25:25" hidden="1" x14ac:dyDescent="0.25">
      <c r="Y4817" s="501"/>
    </row>
    <row r="4818" spans="25:25" hidden="1" x14ac:dyDescent="0.25">
      <c r="Y4818" s="501"/>
    </row>
    <row r="4819" spans="25:25" hidden="1" x14ac:dyDescent="0.25">
      <c r="Y4819" s="501"/>
    </row>
    <row r="4820" spans="25:25" hidden="1" x14ac:dyDescent="0.25">
      <c r="Y4820" s="501"/>
    </row>
    <row r="4821" spans="25:25" hidden="1" x14ac:dyDescent="0.25">
      <c r="Y4821" s="501"/>
    </row>
    <row r="4822" spans="25:25" hidden="1" x14ac:dyDescent="0.25">
      <c r="Y4822" s="501"/>
    </row>
    <row r="4823" spans="25:25" hidden="1" x14ac:dyDescent="0.25">
      <c r="Y4823" s="501"/>
    </row>
    <row r="4824" spans="25:25" hidden="1" x14ac:dyDescent="0.25">
      <c r="Y4824" s="501"/>
    </row>
    <row r="4825" spans="25:25" hidden="1" x14ac:dyDescent="0.25">
      <c r="Y4825" s="501"/>
    </row>
    <row r="4826" spans="25:25" hidden="1" x14ac:dyDescent="0.25">
      <c r="Y4826" s="501"/>
    </row>
    <row r="4827" spans="25:25" hidden="1" x14ac:dyDescent="0.25">
      <c r="Y4827" s="501"/>
    </row>
    <row r="4828" spans="25:25" hidden="1" x14ac:dyDescent="0.25">
      <c r="Y4828" s="501"/>
    </row>
    <row r="4829" spans="25:25" hidden="1" x14ac:dyDescent="0.25">
      <c r="Y4829" s="501"/>
    </row>
    <row r="4830" spans="25:25" hidden="1" x14ac:dyDescent="0.25">
      <c r="Y4830" s="501"/>
    </row>
    <row r="4831" spans="25:25" hidden="1" x14ac:dyDescent="0.25">
      <c r="Y4831" s="501"/>
    </row>
    <row r="4832" spans="25:25" hidden="1" x14ac:dyDescent="0.25">
      <c r="Y4832" s="501"/>
    </row>
    <row r="4833" spans="25:25" hidden="1" x14ac:dyDescent="0.25">
      <c r="Y4833" s="501"/>
    </row>
    <row r="4834" spans="25:25" hidden="1" x14ac:dyDescent="0.25">
      <c r="Y4834" s="501"/>
    </row>
    <row r="4835" spans="25:25" hidden="1" x14ac:dyDescent="0.25">
      <c r="Y4835" s="501"/>
    </row>
    <row r="4836" spans="25:25" hidden="1" x14ac:dyDescent="0.25">
      <c r="Y4836" s="501"/>
    </row>
    <row r="4837" spans="25:25" hidden="1" x14ac:dyDescent="0.25">
      <c r="Y4837" s="501"/>
    </row>
    <row r="4838" spans="25:25" hidden="1" x14ac:dyDescent="0.25">
      <c r="Y4838" s="501"/>
    </row>
    <row r="4839" spans="25:25" hidden="1" x14ac:dyDescent="0.25">
      <c r="Y4839" s="501"/>
    </row>
    <row r="4840" spans="25:25" hidden="1" x14ac:dyDescent="0.25">
      <c r="Y4840" s="501"/>
    </row>
    <row r="4841" spans="25:25" hidden="1" x14ac:dyDescent="0.25">
      <c r="Y4841" s="501"/>
    </row>
    <row r="4842" spans="25:25" hidden="1" x14ac:dyDescent="0.25">
      <c r="Y4842" s="501"/>
    </row>
    <row r="4843" spans="25:25" hidden="1" x14ac:dyDescent="0.25">
      <c r="Y4843" s="501"/>
    </row>
    <row r="4844" spans="25:25" hidden="1" x14ac:dyDescent="0.25">
      <c r="Y4844" s="501"/>
    </row>
    <row r="4845" spans="25:25" hidden="1" x14ac:dyDescent="0.25">
      <c r="Y4845" s="501"/>
    </row>
    <row r="4846" spans="25:25" hidden="1" x14ac:dyDescent="0.25">
      <c r="Y4846" s="501"/>
    </row>
    <row r="4847" spans="25:25" hidden="1" x14ac:dyDescent="0.25">
      <c r="Y4847" s="501"/>
    </row>
    <row r="4848" spans="25:25" hidden="1" x14ac:dyDescent="0.25">
      <c r="Y4848" s="501"/>
    </row>
    <row r="4849" spans="25:25" hidden="1" x14ac:dyDescent="0.25">
      <c r="Y4849" s="501"/>
    </row>
    <row r="4850" spans="25:25" hidden="1" x14ac:dyDescent="0.25">
      <c r="Y4850" s="501"/>
    </row>
    <row r="4851" spans="25:25" hidden="1" x14ac:dyDescent="0.25">
      <c r="Y4851" s="501"/>
    </row>
    <row r="4852" spans="25:25" hidden="1" x14ac:dyDescent="0.25">
      <c r="Y4852" s="501"/>
    </row>
    <row r="4853" spans="25:25" hidden="1" x14ac:dyDescent="0.25">
      <c r="Y4853" s="501"/>
    </row>
    <row r="4854" spans="25:25" hidden="1" x14ac:dyDescent="0.25">
      <c r="Y4854" s="501"/>
    </row>
    <row r="4855" spans="25:25" hidden="1" x14ac:dyDescent="0.25">
      <c r="Y4855" s="501"/>
    </row>
    <row r="4856" spans="25:25" hidden="1" x14ac:dyDescent="0.25">
      <c r="Y4856" s="501"/>
    </row>
    <row r="4857" spans="25:25" hidden="1" x14ac:dyDescent="0.25">
      <c r="Y4857" s="501"/>
    </row>
    <row r="4858" spans="25:25" hidden="1" x14ac:dyDescent="0.25">
      <c r="Y4858" s="501"/>
    </row>
    <row r="4859" spans="25:25" hidden="1" x14ac:dyDescent="0.25">
      <c r="Y4859" s="501"/>
    </row>
    <row r="4860" spans="25:25" hidden="1" x14ac:dyDescent="0.25">
      <c r="Y4860" s="501"/>
    </row>
    <row r="4861" spans="25:25" hidden="1" x14ac:dyDescent="0.25">
      <c r="Y4861" s="501"/>
    </row>
    <row r="4862" spans="25:25" hidden="1" x14ac:dyDescent="0.25">
      <c r="Y4862" s="501"/>
    </row>
    <row r="4863" spans="25:25" hidden="1" x14ac:dyDescent="0.25">
      <c r="Y4863" s="501"/>
    </row>
    <row r="4864" spans="25:25" hidden="1" x14ac:dyDescent="0.25">
      <c r="Y4864" s="501"/>
    </row>
    <row r="4865" spans="25:25" hidden="1" x14ac:dyDescent="0.25">
      <c r="Y4865" s="501"/>
    </row>
    <row r="4866" spans="25:25" hidden="1" x14ac:dyDescent="0.25">
      <c r="Y4866" s="501"/>
    </row>
    <row r="4867" spans="25:25" hidden="1" x14ac:dyDescent="0.25">
      <c r="Y4867" s="501"/>
    </row>
    <row r="4868" spans="25:25" hidden="1" x14ac:dyDescent="0.25">
      <c r="Y4868" s="501"/>
    </row>
    <row r="4869" spans="25:25" hidden="1" x14ac:dyDescent="0.25">
      <c r="Y4869" s="501"/>
    </row>
    <row r="4870" spans="25:25" hidden="1" x14ac:dyDescent="0.25">
      <c r="Y4870" s="501"/>
    </row>
    <row r="4871" spans="25:25" hidden="1" x14ac:dyDescent="0.25">
      <c r="Y4871" s="501"/>
    </row>
    <row r="4872" spans="25:25" hidden="1" x14ac:dyDescent="0.25">
      <c r="Y4872" s="501"/>
    </row>
    <row r="4873" spans="25:25" hidden="1" x14ac:dyDescent="0.25">
      <c r="Y4873" s="501"/>
    </row>
    <row r="4874" spans="25:25" hidden="1" x14ac:dyDescent="0.25">
      <c r="Y4874" s="501"/>
    </row>
    <row r="4875" spans="25:25" hidden="1" x14ac:dyDescent="0.25">
      <c r="Y4875" s="501"/>
    </row>
    <row r="4876" spans="25:25" hidden="1" x14ac:dyDescent="0.25">
      <c r="Y4876" s="501"/>
    </row>
    <row r="4877" spans="25:25" hidden="1" x14ac:dyDescent="0.25">
      <c r="Y4877" s="501"/>
    </row>
    <row r="4878" spans="25:25" hidden="1" x14ac:dyDescent="0.25">
      <c r="Y4878" s="501"/>
    </row>
    <row r="4879" spans="25:25" hidden="1" x14ac:dyDescent="0.25">
      <c r="Y4879" s="501"/>
    </row>
    <row r="4880" spans="25:25" hidden="1" x14ac:dyDescent="0.25">
      <c r="Y4880" s="501"/>
    </row>
    <row r="4881" spans="25:25" hidden="1" x14ac:dyDescent="0.25">
      <c r="Y4881" s="501"/>
    </row>
    <row r="4882" spans="25:25" hidden="1" x14ac:dyDescent="0.25">
      <c r="Y4882" s="501"/>
    </row>
    <row r="4883" spans="25:25" hidden="1" x14ac:dyDescent="0.25">
      <c r="Y4883" s="501"/>
    </row>
    <row r="4884" spans="25:25" hidden="1" x14ac:dyDescent="0.25">
      <c r="Y4884" s="501"/>
    </row>
    <row r="4885" spans="25:25" hidden="1" x14ac:dyDescent="0.25">
      <c r="Y4885" s="501"/>
    </row>
    <row r="4886" spans="25:25" hidden="1" x14ac:dyDescent="0.25">
      <c r="Y4886" s="501"/>
    </row>
    <row r="4887" spans="25:25" hidden="1" x14ac:dyDescent="0.25">
      <c r="Y4887" s="501"/>
    </row>
    <row r="4888" spans="25:25" hidden="1" x14ac:dyDescent="0.25">
      <c r="Y4888" s="501"/>
    </row>
    <row r="4889" spans="25:25" hidden="1" x14ac:dyDescent="0.25">
      <c r="Y4889" s="501"/>
    </row>
    <row r="4890" spans="25:25" hidden="1" x14ac:dyDescent="0.25">
      <c r="Y4890" s="501"/>
    </row>
    <row r="4891" spans="25:25" hidden="1" x14ac:dyDescent="0.25">
      <c r="Y4891" s="501"/>
    </row>
    <row r="4892" spans="25:25" hidden="1" x14ac:dyDescent="0.25">
      <c r="Y4892" s="501"/>
    </row>
    <row r="4893" spans="25:25" hidden="1" x14ac:dyDescent="0.25">
      <c r="Y4893" s="501"/>
    </row>
    <row r="4894" spans="25:25" hidden="1" x14ac:dyDescent="0.25">
      <c r="Y4894" s="501"/>
    </row>
    <row r="4895" spans="25:25" hidden="1" x14ac:dyDescent="0.25">
      <c r="Y4895" s="501"/>
    </row>
    <row r="4896" spans="25:25" hidden="1" x14ac:dyDescent="0.25">
      <c r="Y4896" s="501"/>
    </row>
    <row r="4897" spans="25:25" hidden="1" x14ac:dyDescent="0.25">
      <c r="Y4897" s="501"/>
    </row>
    <row r="4898" spans="25:25" hidden="1" x14ac:dyDescent="0.25">
      <c r="Y4898" s="501"/>
    </row>
    <row r="4899" spans="25:25" hidden="1" x14ac:dyDescent="0.25">
      <c r="Y4899" s="501"/>
    </row>
    <row r="4900" spans="25:25" hidden="1" x14ac:dyDescent="0.25">
      <c r="Y4900" s="501"/>
    </row>
    <row r="4901" spans="25:25" hidden="1" x14ac:dyDescent="0.25">
      <c r="Y4901" s="501"/>
    </row>
    <row r="4902" spans="25:25" hidden="1" x14ac:dyDescent="0.25">
      <c r="Y4902" s="501"/>
    </row>
    <row r="4903" spans="25:25" hidden="1" x14ac:dyDescent="0.25">
      <c r="Y4903" s="501"/>
    </row>
    <row r="4904" spans="25:25" hidden="1" x14ac:dyDescent="0.25">
      <c r="Y4904" s="501"/>
    </row>
    <row r="4905" spans="25:25" hidden="1" x14ac:dyDescent="0.25">
      <c r="Y4905" s="501"/>
    </row>
    <row r="4906" spans="25:25" hidden="1" x14ac:dyDescent="0.25">
      <c r="Y4906" s="501"/>
    </row>
    <row r="4907" spans="25:25" hidden="1" x14ac:dyDescent="0.25">
      <c r="Y4907" s="501"/>
    </row>
    <row r="4908" spans="25:25" hidden="1" x14ac:dyDescent="0.25">
      <c r="Y4908" s="501"/>
    </row>
    <row r="4909" spans="25:25" hidden="1" x14ac:dyDescent="0.25">
      <c r="Y4909" s="501"/>
    </row>
    <row r="4910" spans="25:25" hidden="1" x14ac:dyDescent="0.25">
      <c r="Y4910" s="501"/>
    </row>
    <row r="4911" spans="25:25" hidden="1" x14ac:dyDescent="0.25">
      <c r="Y4911" s="501"/>
    </row>
    <row r="4912" spans="25:25" hidden="1" x14ac:dyDescent="0.25">
      <c r="Y4912" s="501"/>
    </row>
    <row r="4913" spans="25:25" hidden="1" x14ac:dyDescent="0.25">
      <c r="Y4913" s="501"/>
    </row>
    <row r="4914" spans="25:25" hidden="1" x14ac:dyDescent="0.25">
      <c r="Y4914" s="501"/>
    </row>
    <row r="4915" spans="25:25" hidden="1" x14ac:dyDescent="0.25">
      <c r="Y4915" s="501"/>
    </row>
    <row r="4916" spans="25:25" hidden="1" x14ac:dyDescent="0.25">
      <c r="Y4916" s="501"/>
    </row>
    <row r="4917" spans="25:25" hidden="1" x14ac:dyDescent="0.25">
      <c r="Y4917" s="501"/>
    </row>
    <row r="4918" spans="25:25" hidden="1" x14ac:dyDescent="0.25">
      <c r="Y4918" s="501"/>
    </row>
    <row r="4919" spans="25:25" hidden="1" x14ac:dyDescent="0.25">
      <c r="Y4919" s="501"/>
    </row>
    <row r="4920" spans="25:25" hidden="1" x14ac:dyDescent="0.25">
      <c r="Y4920" s="501"/>
    </row>
    <row r="4921" spans="25:25" hidden="1" x14ac:dyDescent="0.25">
      <c r="Y4921" s="501"/>
    </row>
    <row r="4922" spans="25:25" hidden="1" x14ac:dyDescent="0.25">
      <c r="Y4922" s="501"/>
    </row>
    <row r="4923" spans="25:25" hidden="1" x14ac:dyDescent="0.25">
      <c r="Y4923" s="501"/>
    </row>
    <row r="4924" spans="25:25" hidden="1" x14ac:dyDescent="0.25">
      <c r="Y4924" s="501"/>
    </row>
    <row r="4925" spans="25:25" hidden="1" x14ac:dyDescent="0.25">
      <c r="Y4925" s="501"/>
    </row>
    <row r="4926" spans="25:25" hidden="1" x14ac:dyDescent="0.25">
      <c r="Y4926" s="501"/>
    </row>
    <row r="4927" spans="25:25" hidden="1" x14ac:dyDescent="0.25">
      <c r="Y4927" s="501"/>
    </row>
    <row r="4928" spans="25:25" hidden="1" x14ac:dyDescent="0.25">
      <c r="Y4928" s="501"/>
    </row>
    <row r="4929" spans="25:25" hidden="1" x14ac:dyDescent="0.25">
      <c r="Y4929" s="501"/>
    </row>
    <row r="4930" spans="25:25" hidden="1" x14ac:dyDescent="0.25">
      <c r="Y4930" s="501"/>
    </row>
    <row r="4931" spans="25:25" hidden="1" x14ac:dyDescent="0.25">
      <c r="Y4931" s="501"/>
    </row>
    <row r="4932" spans="25:25" hidden="1" x14ac:dyDescent="0.25">
      <c r="Y4932" s="501"/>
    </row>
    <row r="4933" spans="25:25" hidden="1" x14ac:dyDescent="0.25">
      <c r="Y4933" s="501"/>
    </row>
    <row r="4934" spans="25:25" hidden="1" x14ac:dyDescent="0.25">
      <c r="Y4934" s="501"/>
    </row>
    <row r="4935" spans="25:25" hidden="1" x14ac:dyDescent="0.25">
      <c r="Y4935" s="501"/>
    </row>
    <row r="4936" spans="25:25" hidden="1" x14ac:dyDescent="0.25">
      <c r="Y4936" s="501"/>
    </row>
    <row r="4937" spans="25:25" hidden="1" x14ac:dyDescent="0.25">
      <c r="Y4937" s="501"/>
    </row>
    <row r="4938" spans="25:25" hidden="1" x14ac:dyDescent="0.25">
      <c r="Y4938" s="501"/>
    </row>
    <row r="4939" spans="25:25" hidden="1" x14ac:dyDescent="0.25">
      <c r="Y4939" s="501"/>
    </row>
    <row r="4940" spans="25:25" hidden="1" x14ac:dyDescent="0.25">
      <c r="Y4940" s="501"/>
    </row>
    <row r="4941" spans="25:25" hidden="1" x14ac:dyDescent="0.25">
      <c r="Y4941" s="501"/>
    </row>
    <row r="4942" spans="25:25" hidden="1" x14ac:dyDescent="0.25">
      <c r="Y4942" s="501"/>
    </row>
    <row r="4943" spans="25:25" hidden="1" x14ac:dyDescent="0.25">
      <c r="Y4943" s="501"/>
    </row>
    <row r="4944" spans="25:25" hidden="1" x14ac:dyDescent="0.25">
      <c r="Y4944" s="501"/>
    </row>
    <row r="4945" spans="25:25" hidden="1" x14ac:dyDescent="0.25">
      <c r="Y4945" s="501"/>
    </row>
    <row r="4946" spans="25:25" hidden="1" x14ac:dyDescent="0.25">
      <c r="Y4946" s="501"/>
    </row>
    <row r="4947" spans="25:25" hidden="1" x14ac:dyDescent="0.25">
      <c r="Y4947" s="501"/>
    </row>
    <row r="4948" spans="25:25" hidden="1" x14ac:dyDescent="0.25">
      <c r="Y4948" s="501"/>
    </row>
    <row r="4949" spans="25:25" hidden="1" x14ac:dyDescent="0.25">
      <c r="Y4949" s="501"/>
    </row>
    <row r="4950" spans="25:25" hidden="1" x14ac:dyDescent="0.25">
      <c r="Y4950" s="501"/>
    </row>
    <row r="4951" spans="25:25" hidden="1" x14ac:dyDescent="0.25">
      <c r="Y4951" s="501"/>
    </row>
    <row r="4952" spans="25:25" hidden="1" x14ac:dyDescent="0.25">
      <c r="Y4952" s="501"/>
    </row>
    <row r="4953" spans="25:25" hidden="1" x14ac:dyDescent="0.25">
      <c r="Y4953" s="501"/>
    </row>
    <row r="4954" spans="25:25" hidden="1" x14ac:dyDescent="0.25">
      <c r="Y4954" s="501"/>
    </row>
    <row r="4955" spans="25:25" hidden="1" x14ac:dyDescent="0.25">
      <c r="Y4955" s="501"/>
    </row>
    <row r="4956" spans="25:25" hidden="1" x14ac:dyDescent="0.25">
      <c r="Y4956" s="501"/>
    </row>
    <row r="4957" spans="25:25" hidden="1" x14ac:dyDescent="0.25">
      <c r="Y4957" s="501"/>
    </row>
    <row r="4958" spans="25:25" hidden="1" x14ac:dyDescent="0.25">
      <c r="Y4958" s="501"/>
    </row>
    <row r="4959" spans="25:25" hidden="1" x14ac:dyDescent="0.25">
      <c r="Y4959" s="501"/>
    </row>
    <row r="4960" spans="25:25" hidden="1" x14ac:dyDescent="0.25">
      <c r="Y4960" s="501"/>
    </row>
    <row r="4961" spans="25:25" hidden="1" x14ac:dyDescent="0.25">
      <c r="Y4961" s="501"/>
    </row>
    <row r="4962" spans="25:25" hidden="1" x14ac:dyDescent="0.25">
      <c r="Y4962" s="501"/>
    </row>
    <row r="4963" spans="25:25" hidden="1" x14ac:dyDescent="0.25">
      <c r="Y4963" s="501"/>
    </row>
    <row r="4964" spans="25:25" hidden="1" x14ac:dyDescent="0.25">
      <c r="Y4964" s="501"/>
    </row>
    <row r="4965" spans="25:25" hidden="1" x14ac:dyDescent="0.25">
      <c r="Y4965" s="501"/>
    </row>
    <row r="4966" spans="25:25" hidden="1" x14ac:dyDescent="0.25">
      <c r="Y4966" s="501"/>
    </row>
    <row r="4967" spans="25:25" hidden="1" x14ac:dyDescent="0.25">
      <c r="Y4967" s="501"/>
    </row>
    <row r="4968" spans="25:25" hidden="1" x14ac:dyDescent="0.25">
      <c r="Y4968" s="501"/>
    </row>
    <row r="4969" spans="25:25" hidden="1" x14ac:dyDescent="0.25">
      <c r="Y4969" s="501"/>
    </row>
    <row r="4970" spans="25:25" hidden="1" x14ac:dyDescent="0.25">
      <c r="Y4970" s="501"/>
    </row>
    <row r="4971" spans="25:25" hidden="1" x14ac:dyDescent="0.25">
      <c r="Y4971" s="501"/>
    </row>
    <row r="4972" spans="25:25" hidden="1" x14ac:dyDescent="0.25">
      <c r="Y4972" s="501"/>
    </row>
    <row r="4973" spans="25:25" hidden="1" x14ac:dyDescent="0.25">
      <c r="Y4973" s="501"/>
    </row>
    <row r="4974" spans="25:25" hidden="1" x14ac:dyDescent="0.25">
      <c r="Y4974" s="501"/>
    </row>
    <row r="4975" spans="25:25" hidden="1" x14ac:dyDescent="0.25">
      <c r="Y4975" s="501"/>
    </row>
    <row r="4976" spans="25:25" hidden="1" x14ac:dyDescent="0.25">
      <c r="Y4976" s="501"/>
    </row>
    <row r="4977" spans="25:25" hidden="1" x14ac:dyDescent="0.25">
      <c r="Y4977" s="501"/>
    </row>
    <row r="4978" spans="25:25" hidden="1" x14ac:dyDescent="0.25">
      <c r="Y4978" s="501"/>
    </row>
    <row r="4979" spans="25:25" hidden="1" x14ac:dyDescent="0.25">
      <c r="Y4979" s="501"/>
    </row>
    <row r="4980" spans="25:25" hidden="1" x14ac:dyDescent="0.25">
      <c r="Y4980" s="501"/>
    </row>
    <row r="4981" spans="25:25" hidden="1" x14ac:dyDescent="0.25">
      <c r="Y4981" s="501"/>
    </row>
    <row r="4982" spans="25:25" hidden="1" x14ac:dyDescent="0.25">
      <c r="Y4982" s="501"/>
    </row>
    <row r="4983" spans="25:25" hidden="1" x14ac:dyDescent="0.25">
      <c r="Y4983" s="501"/>
    </row>
    <row r="4984" spans="25:25" hidden="1" x14ac:dyDescent="0.25">
      <c r="Y4984" s="501"/>
    </row>
    <row r="4985" spans="25:25" hidden="1" x14ac:dyDescent="0.25">
      <c r="Y4985" s="501"/>
    </row>
    <row r="4986" spans="25:25" hidden="1" x14ac:dyDescent="0.25">
      <c r="Y4986" s="501"/>
    </row>
    <row r="4987" spans="25:25" hidden="1" x14ac:dyDescent="0.25">
      <c r="Y4987" s="501"/>
    </row>
    <row r="4988" spans="25:25" hidden="1" x14ac:dyDescent="0.25">
      <c r="Y4988" s="501"/>
    </row>
    <row r="4989" spans="25:25" hidden="1" x14ac:dyDescent="0.25">
      <c r="Y4989" s="501"/>
    </row>
    <row r="4990" spans="25:25" hidden="1" x14ac:dyDescent="0.25">
      <c r="Y4990" s="501"/>
    </row>
    <row r="4991" spans="25:25" hidden="1" x14ac:dyDescent="0.25">
      <c r="Y4991" s="501"/>
    </row>
    <row r="4992" spans="25:25" hidden="1" x14ac:dyDescent="0.25">
      <c r="Y4992" s="501"/>
    </row>
    <row r="4993" spans="25:25" hidden="1" x14ac:dyDescent="0.25">
      <c r="Y4993" s="501"/>
    </row>
    <row r="4994" spans="25:25" hidden="1" x14ac:dyDescent="0.25">
      <c r="Y4994" s="501"/>
    </row>
    <row r="4995" spans="25:25" hidden="1" x14ac:dyDescent="0.25">
      <c r="Y4995" s="501"/>
    </row>
    <row r="4996" spans="25:25" hidden="1" x14ac:dyDescent="0.25">
      <c r="Y4996" s="501"/>
    </row>
    <row r="4997" spans="25:25" hidden="1" x14ac:dyDescent="0.25">
      <c r="Y4997" s="501"/>
    </row>
    <row r="4998" spans="25:25" hidden="1" x14ac:dyDescent="0.25">
      <c r="Y4998" s="501"/>
    </row>
    <row r="4999" spans="25:25" hidden="1" x14ac:dyDescent="0.25">
      <c r="Y4999" s="501"/>
    </row>
    <row r="5000" spans="25:25" hidden="1" x14ac:dyDescent="0.25">
      <c r="Y5000" s="501"/>
    </row>
    <row r="5001" spans="25:25" hidden="1" x14ac:dyDescent="0.25">
      <c r="Y5001" s="501"/>
    </row>
    <row r="5002" spans="25:25" hidden="1" x14ac:dyDescent="0.25">
      <c r="Y5002" s="501"/>
    </row>
    <row r="5003" spans="25:25" hidden="1" x14ac:dyDescent="0.25">
      <c r="Y5003" s="501"/>
    </row>
    <row r="5004" spans="25:25" hidden="1" x14ac:dyDescent="0.25">
      <c r="Y5004" s="501"/>
    </row>
    <row r="5005" spans="25:25" hidden="1" x14ac:dyDescent="0.25">
      <c r="Y5005" s="501"/>
    </row>
    <row r="5006" spans="25:25" hidden="1" x14ac:dyDescent="0.25">
      <c r="Y5006" s="501"/>
    </row>
    <row r="5007" spans="25:25" hidden="1" x14ac:dyDescent="0.25">
      <c r="Y5007" s="501"/>
    </row>
    <row r="5008" spans="25:25" hidden="1" x14ac:dyDescent="0.25">
      <c r="Y5008" s="501"/>
    </row>
    <row r="5009" spans="25:25" hidden="1" x14ac:dyDescent="0.25">
      <c r="Y5009" s="501"/>
    </row>
    <row r="5010" spans="25:25" hidden="1" x14ac:dyDescent="0.25">
      <c r="Y5010" s="501"/>
    </row>
    <row r="5011" spans="25:25" hidden="1" x14ac:dyDescent="0.25">
      <c r="Y5011" s="501"/>
    </row>
    <row r="5012" spans="25:25" hidden="1" x14ac:dyDescent="0.25">
      <c r="Y5012" s="501"/>
    </row>
    <row r="5013" spans="25:25" hidden="1" x14ac:dyDescent="0.25">
      <c r="Y5013" s="501"/>
    </row>
    <row r="5014" spans="25:25" hidden="1" x14ac:dyDescent="0.25">
      <c r="Y5014" s="501"/>
    </row>
    <row r="5015" spans="25:25" hidden="1" x14ac:dyDescent="0.25">
      <c r="Y5015" s="501"/>
    </row>
    <row r="5016" spans="25:25" hidden="1" x14ac:dyDescent="0.25">
      <c r="Y5016" s="501"/>
    </row>
    <row r="5017" spans="25:25" hidden="1" x14ac:dyDescent="0.25">
      <c r="Y5017" s="501"/>
    </row>
    <row r="5018" spans="25:25" hidden="1" x14ac:dyDescent="0.25">
      <c r="Y5018" s="501"/>
    </row>
    <row r="5019" spans="25:25" hidden="1" x14ac:dyDescent="0.25">
      <c r="Y5019" s="501"/>
    </row>
    <row r="5020" spans="25:25" hidden="1" x14ac:dyDescent="0.25">
      <c r="Y5020" s="501"/>
    </row>
    <row r="5021" spans="25:25" hidden="1" x14ac:dyDescent="0.25">
      <c r="Y5021" s="501"/>
    </row>
    <row r="5022" spans="25:25" hidden="1" x14ac:dyDescent="0.25">
      <c r="Y5022" s="501"/>
    </row>
    <row r="5023" spans="25:25" hidden="1" x14ac:dyDescent="0.25">
      <c r="Y5023" s="501"/>
    </row>
    <row r="5024" spans="25:25" hidden="1" x14ac:dyDescent="0.25">
      <c r="Y5024" s="501"/>
    </row>
    <row r="5025" spans="25:25" hidden="1" x14ac:dyDescent="0.25">
      <c r="Y5025" s="501"/>
    </row>
    <row r="5026" spans="25:25" hidden="1" x14ac:dyDescent="0.25">
      <c r="Y5026" s="501"/>
    </row>
    <row r="5027" spans="25:25" hidden="1" x14ac:dyDescent="0.25">
      <c r="Y5027" s="501"/>
    </row>
    <row r="5028" spans="25:25" hidden="1" x14ac:dyDescent="0.25">
      <c r="Y5028" s="501"/>
    </row>
    <row r="5029" spans="25:25" hidden="1" x14ac:dyDescent="0.25">
      <c r="Y5029" s="501"/>
    </row>
    <row r="5030" spans="25:25" hidden="1" x14ac:dyDescent="0.25">
      <c r="Y5030" s="501"/>
    </row>
    <row r="5031" spans="25:25" hidden="1" x14ac:dyDescent="0.25">
      <c r="Y5031" s="501"/>
    </row>
    <row r="5032" spans="25:25" hidden="1" x14ac:dyDescent="0.25">
      <c r="Y5032" s="501"/>
    </row>
    <row r="5033" spans="25:25" hidden="1" x14ac:dyDescent="0.25">
      <c r="Y5033" s="501"/>
    </row>
    <row r="5034" spans="25:25" hidden="1" x14ac:dyDescent="0.25">
      <c r="Y5034" s="501"/>
    </row>
    <row r="5035" spans="25:25" hidden="1" x14ac:dyDescent="0.25">
      <c r="Y5035" s="501"/>
    </row>
    <row r="5036" spans="25:25" hidden="1" x14ac:dyDescent="0.25">
      <c r="Y5036" s="501"/>
    </row>
    <row r="5037" spans="25:25" hidden="1" x14ac:dyDescent="0.25">
      <c r="Y5037" s="501"/>
    </row>
    <row r="5038" spans="25:25" hidden="1" x14ac:dyDescent="0.25">
      <c r="Y5038" s="501"/>
    </row>
    <row r="5039" spans="25:25" hidden="1" x14ac:dyDescent="0.25">
      <c r="Y5039" s="501"/>
    </row>
    <row r="5040" spans="25:25" hidden="1" x14ac:dyDescent="0.25">
      <c r="Y5040" s="501"/>
    </row>
    <row r="5041" spans="25:25" hidden="1" x14ac:dyDescent="0.25">
      <c r="Y5041" s="501"/>
    </row>
    <row r="5042" spans="25:25" hidden="1" x14ac:dyDescent="0.25">
      <c r="Y5042" s="501"/>
    </row>
    <row r="5043" spans="25:25" hidden="1" x14ac:dyDescent="0.25">
      <c r="Y5043" s="501"/>
    </row>
    <row r="5044" spans="25:25" hidden="1" x14ac:dyDescent="0.25">
      <c r="Y5044" s="501"/>
    </row>
    <row r="5045" spans="25:25" hidden="1" x14ac:dyDescent="0.25">
      <c r="Y5045" s="501"/>
    </row>
    <row r="5046" spans="25:25" hidden="1" x14ac:dyDescent="0.25">
      <c r="Y5046" s="501"/>
    </row>
    <row r="5047" spans="25:25" hidden="1" x14ac:dyDescent="0.25">
      <c r="Y5047" s="501"/>
    </row>
    <row r="5048" spans="25:25" hidden="1" x14ac:dyDescent="0.25">
      <c r="Y5048" s="501"/>
    </row>
    <row r="5049" spans="25:25" hidden="1" x14ac:dyDescent="0.25">
      <c r="Y5049" s="501"/>
    </row>
    <row r="5050" spans="25:25" hidden="1" x14ac:dyDescent="0.25">
      <c r="Y5050" s="501"/>
    </row>
    <row r="5051" spans="25:25" hidden="1" x14ac:dyDescent="0.25">
      <c r="Y5051" s="501"/>
    </row>
    <row r="5052" spans="25:25" hidden="1" x14ac:dyDescent="0.25">
      <c r="Y5052" s="501"/>
    </row>
    <row r="5053" spans="25:25" hidden="1" x14ac:dyDescent="0.25">
      <c r="Y5053" s="501"/>
    </row>
    <row r="5054" spans="25:25" hidden="1" x14ac:dyDescent="0.25">
      <c r="Y5054" s="501"/>
    </row>
    <row r="5055" spans="25:25" hidden="1" x14ac:dyDescent="0.25">
      <c r="Y5055" s="501"/>
    </row>
    <row r="5056" spans="25:25" hidden="1" x14ac:dyDescent="0.25">
      <c r="Y5056" s="501"/>
    </row>
    <row r="5057" spans="25:25" hidden="1" x14ac:dyDescent="0.25">
      <c r="Y5057" s="501"/>
    </row>
    <row r="5058" spans="25:25" hidden="1" x14ac:dyDescent="0.25">
      <c r="Y5058" s="501"/>
    </row>
    <row r="5059" spans="25:25" hidden="1" x14ac:dyDescent="0.25">
      <c r="Y5059" s="501"/>
    </row>
    <row r="5060" spans="25:25" hidden="1" x14ac:dyDescent="0.25">
      <c r="Y5060" s="501"/>
    </row>
    <row r="5061" spans="25:25" hidden="1" x14ac:dyDescent="0.25">
      <c r="Y5061" s="501"/>
    </row>
    <row r="5062" spans="25:25" hidden="1" x14ac:dyDescent="0.25">
      <c r="Y5062" s="501"/>
    </row>
    <row r="5063" spans="25:25" hidden="1" x14ac:dyDescent="0.25">
      <c r="Y5063" s="501"/>
    </row>
    <row r="5064" spans="25:25" hidden="1" x14ac:dyDescent="0.25">
      <c r="Y5064" s="501"/>
    </row>
    <row r="5065" spans="25:25" hidden="1" x14ac:dyDescent="0.25">
      <c r="Y5065" s="501"/>
    </row>
    <row r="5066" spans="25:25" hidden="1" x14ac:dyDescent="0.25">
      <c r="Y5066" s="501"/>
    </row>
    <row r="5067" spans="25:25" hidden="1" x14ac:dyDescent="0.25">
      <c r="Y5067" s="501"/>
    </row>
    <row r="5068" spans="25:25" hidden="1" x14ac:dyDescent="0.25">
      <c r="Y5068" s="501"/>
    </row>
    <row r="5069" spans="25:25" hidden="1" x14ac:dyDescent="0.25">
      <c r="Y5069" s="501"/>
    </row>
    <row r="5070" spans="25:25" hidden="1" x14ac:dyDescent="0.25">
      <c r="Y5070" s="501"/>
    </row>
    <row r="5071" spans="25:25" hidden="1" x14ac:dyDescent="0.25">
      <c r="Y5071" s="501"/>
    </row>
    <row r="5072" spans="25:25" hidden="1" x14ac:dyDescent="0.25">
      <c r="Y5072" s="501"/>
    </row>
    <row r="5073" spans="25:25" hidden="1" x14ac:dyDescent="0.25">
      <c r="Y5073" s="501"/>
    </row>
    <row r="5074" spans="25:25" hidden="1" x14ac:dyDescent="0.25">
      <c r="Y5074" s="501"/>
    </row>
    <row r="5075" spans="25:25" hidden="1" x14ac:dyDescent="0.25">
      <c r="Y5075" s="501"/>
    </row>
    <row r="5076" spans="25:25" hidden="1" x14ac:dyDescent="0.25">
      <c r="Y5076" s="501"/>
    </row>
    <row r="5077" spans="25:25" hidden="1" x14ac:dyDescent="0.25">
      <c r="Y5077" s="501"/>
    </row>
    <row r="5078" spans="25:25" hidden="1" x14ac:dyDescent="0.25">
      <c r="Y5078" s="501"/>
    </row>
    <row r="5079" spans="25:25" hidden="1" x14ac:dyDescent="0.25">
      <c r="Y5079" s="501"/>
    </row>
    <row r="5080" spans="25:25" hidden="1" x14ac:dyDescent="0.25">
      <c r="Y5080" s="501"/>
    </row>
    <row r="5081" spans="25:25" hidden="1" x14ac:dyDescent="0.25">
      <c r="Y5081" s="501"/>
    </row>
    <row r="5082" spans="25:25" hidden="1" x14ac:dyDescent="0.25">
      <c r="Y5082" s="501"/>
    </row>
    <row r="5083" spans="25:25" hidden="1" x14ac:dyDescent="0.25">
      <c r="Y5083" s="501"/>
    </row>
    <row r="5084" spans="25:25" hidden="1" x14ac:dyDescent="0.25">
      <c r="Y5084" s="501"/>
    </row>
    <row r="5085" spans="25:25" hidden="1" x14ac:dyDescent="0.25">
      <c r="Y5085" s="501"/>
    </row>
    <row r="5086" spans="25:25" hidden="1" x14ac:dyDescent="0.25">
      <c r="Y5086" s="501"/>
    </row>
    <row r="5087" spans="25:25" hidden="1" x14ac:dyDescent="0.25">
      <c r="Y5087" s="501"/>
    </row>
    <row r="5088" spans="25:25" hidden="1" x14ac:dyDescent="0.25">
      <c r="Y5088" s="501"/>
    </row>
    <row r="5089" spans="25:25" hidden="1" x14ac:dyDescent="0.25">
      <c r="Y5089" s="501"/>
    </row>
    <row r="5090" spans="25:25" hidden="1" x14ac:dyDescent="0.25">
      <c r="Y5090" s="501"/>
    </row>
    <row r="5091" spans="25:25" hidden="1" x14ac:dyDescent="0.25">
      <c r="Y5091" s="501"/>
    </row>
    <row r="5092" spans="25:25" hidden="1" x14ac:dyDescent="0.25">
      <c r="Y5092" s="501"/>
    </row>
    <row r="5093" spans="25:25" hidden="1" x14ac:dyDescent="0.25">
      <c r="Y5093" s="501"/>
    </row>
    <row r="5094" spans="25:25" hidden="1" x14ac:dyDescent="0.25">
      <c r="Y5094" s="501"/>
    </row>
    <row r="5095" spans="25:25" hidden="1" x14ac:dyDescent="0.25">
      <c r="Y5095" s="501"/>
    </row>
    <row r="5096" spans="25:25" hidden="1" x14ac:dyDescent="0.25">
      <c r="Y5096" s="501"/>
    </row>
    <row r="5097" spans="25:25" hidden="1" x14ac:dyDescent="0.25">
      <c r="Y5097" s="501"/>
    </row>
    <row r="5098" spans="25:25" hidden="1" x14ac:dyDescent="0.25">
      <c r="Y5098" s="501"/>
    </row>
    <row r="5099" spans="25:25" hidden="1" x14ac:dyDescent="0.25">
      <c r="Y5099" s="501"/>
    </row>
    <row r="5100" spans="25:25" hidden="1" x14ac:dyDescent="0.25">
      <c r="Y5100" s="501"/>
    </row>
    <row r="5101" spans="25:25" hidden="1" x14ac:dyDescent="0.25">
      <c r="Y5101" s="501"/>
    </row>
    <row r="5102" spans="25:25" hidden="1" x14ac:dyDescent="0.25">
      <c r="Y5102" s="501"/>
    </row>
    <row r="5103" spans="25:25" hidden="1" x14ac:dyDescent="0.25">
      <c r="Y5103" s="501"/>
    </row>
    <row r="5104" spans="25:25" hidden="1" x14ac:dyDescent="0.25">
      <c r="Y5104" s="501"/>
    </row>
    <row r="5105" spans="25:25" hidden="1" x14ac:dyDescent="0.25">
      <c r="Y5105" s="501"/>
    </row>
    <row r="5106" spans="25:25" hidden="1" x14ac:dyDescent="0.25">
      <c r="Y5106" s="501"/>
    </row>
    <row r="5107" spans="25:25" hidden="1" x14ac:dyDescent="0.25">
      <c r="Y5107" s="501"/>
    </row>
    <row r="5108" spans="25:25" hidden="1" x14ac:dyDescent="0.25">
      <c r="Y5108" s="501"/>
    </row>
    <row r="5109" spans="25:25" hidden="1" x14ac:dyDescent="0.25">
      <c r="Y5109" s="501"/>
    </row>
    <row r="5110" spans="25:25" hidden="1" x14ac:dyDescent="0.25">
      <c r="Y5110" s="501"/>
    </row>
    <row r="5111" spans="25:25" hidden="1" x14ac:dyDescent="0.25">
      <c r="Y5111" s="501"/>
    </row>
    <row r="5112" spans="25:25" hidden="1" x14ac:dyDescent="0.25">
      <c r="Y5112" s="501"/>
    </row>
    <row r="5113" spans="25:25" hidden="1" x14ac:dyDescent="0.25">
      <c r="Y5113" s="501"/>
    </row>
    <row r="5114" spans="25:25" hidden="1" x14ac:dyDescent="0.25">
      <c r="Y5114" s="501"/>
    </row>
    <row r="5115" spans="25:25" hidden="1" x14ac:dyDescent="0.25">
      <c r="Y5115" s="501"/>
    </row>
    <row r="5116" spans="25:25" hidden="1" x14ac:dyDescent="0.25">
      <c r="Y5116" s="501"/>
    </row>
    <row r="5117" spans="25:25" hidden="1" x14ac:dyDescent="0.25">
      <c r="Y5117" s="501"/>
    </row>
    <row r="5118" spans="25:25" hidden="1" x14ac:dyDescent="0.25">
      <c r="Y5118" s="501"/>
    </row>
    <row r="5119" spans="25:25" hidden="1" x14ac:dyDescent="0.25">
      <c r="Y5119" s="501"/>
    </row>
    <row r="5120" spans="25:25" hidden="1" x14ac:dyDescent="0.25">
      <c r="Y5120" s="501"/>
    </row>
    <row r="5121" spans="25:25" hidden="1" x14ac:dyDescent="0.25">
      <c r="Y5121" s="501"/>
    </row>
    <row r="5122" spans="25:25" hidden="1" x14ac:dyDescent="0.25">
      <c r="Y5122" s="501"/>
    </row>
    <row r="5123" spans="25:25" hidden="1" x14ac:dyDescent="0.25">
      <c r="Y5123" s="501"/>
    </row>
    <row r="5124" spans="25:25" hidden="1" x14ac:dyDescent="0.25">
      <c r="Y5124" s="501"/>
    </row>
    <row r="5125" spans="25:25" hidden="1" x14ac:dyDescent="0.25">
      <c r="Y5125" s="501"/>
    </row>
    <row r="5126" spans="25:25" hidden="1" x14ac:dyDescent="0.25">
      <c r="Y5126" s="501"/>
    </row>
    <row r="5127" spans="25:25" hidden="1" x14ac:dyDescent="0.25">
      <c r="Y5127" s="501"/>
    </row>
    <row r="5128" spans="25:25" hidden="1" x14ac:dyDescent="0.25">
      <c r="Y5128" s="501"/>
    </row>
    <row r="5129" spans="25:25" hidden="1" x14ac:dyDescent="0.25">
      <c r="Y5129" s="501"/>
    </row>
    <row r="5130" spans="25:25" hidden="1" x14ac:dyDescent="0.25">
      <c r="Y5130" s="501"/>
    </row>
    <row r="5131" spans="25:25" hidden="1" x14ac:dyDescent="0.25">
      <c r="Y5131" s="501"/>
    </row>
    <row r="5132" spans="25:25" hidden="1" x14ac:dyDescent="0.25">
      <c r="Y5132" s="501"/>
    </row>
    <row r="5133" spans="25:25" hidden="1" x14ac:dyDescent="0.25">
      <c r="Y5133" s="501"/>
    </row>
    <row r="5134" spans="25:25" hidden="1" x14ac:dyDescent="0.25">
      <c r="Y5134" s="501"/>
    </row>
    <row r="5135" spans="25:25" hidden="1" x14ac:dyDescent="0.25">
      <c r="Y5135" s="501"/>
    </row>
    <row r="5136" spans="25:25" hidden="1" x14ac:dyDescent="0.25">
      <c r="Y5136" s="501"/>
    </row>
    <row r="5137" spans="25:25" hidden="1" x14ac:dyDescent="0.25">
      <c r="Y5137" s="501"/>
    </row>
    <row r="5138" spans="25:25" hidden="1" x14ac:dyDescent="0.25">
      <c r="Y5138" s="501"/>
    </row>
    <row r="5139" spans="25:25" hidden="1" x14ac:dyDescent="0.25">
      <c r="Y5139" s="501"/>
    </row>
    <row r="5140" spans="25:25" hidden="1" x14ac:dyDescent="0.25">
      <c r="Y5140" s="501"/>
    </row>
    <row r="5141" spans="25:25" hidden="1" x14ac:dyDescent="0.25">
      <c r="Y5141" s="501"/>
    </row>
    <row r="5142" spans="25:25" hidden="1" x14ac:dyDescent="0.25">
      <c r="Y5142" s="501"/>
    </row>
    <row r="5143" spans="25:25" hidden="1" x14ac:dyDescent="0.25">
      <c r="Y5143" s="501"/>
    </row>
    <row r="5144" spans="25:25" hidden="1" x14ac:dyDescent="0.25">
      <c r="Y5144" s="501"/>
    </row>
    <row r="5145" spans="25:25" hidden="1" x14ac:dyDescent="0.25">
      <c r="Y5145" s="501"/>
    </row>
    <row r="5146" spans="25:25" hidden="1" x14ac:dyDescent="0.25">
      <c r="Y5146" s="501"/>
    </row>
    <row r="5147" spans="25:25" hidden="1" x14ac:dyDescent="0.25">
      <c r="Y5147" s="501"/>
    </row>
    <row r="5148" spans="25:25" hidden="1" x14ac:dyDescent="0.25">
      <c r="Y5148" s="501"/>
    </row>
    <row r="5149" spans="25:25" hidden="1" x14ac:dyDescent="0.25">
      <c r="Y5149" s="501"/>
    </row>
    <row r="5150" spans="25:25" hidden="1" x14ac:dyDescent="0.25">
      <c r="Y5150" s="501"/>
    </row>
    <row r="5151" spans="25:25" hidden="1" x14ac:dyDescent="0.25">
      <c r="Y5151" s="501"/>
    </row>
    <row r="5152" spans="25:25" hidden="1" x14ac:dyDescent="0.25">
      <c r="Y5152" s="501"/>
    </row>
    <row r="5153" spans="25:25" hidden="1" x14ac:dyDescent="0.25">
      <c r="Y5153" s="501"/>
    </row>
    <row r="5154" spans="25:25" hidden="1" x14ac:dyDescent="0.25">
      <c r="Y5154" s="501"/>
    </row>
    <row r="5155" spans="25:25" hidden="1" x14ac:dyDescent="0.25">
      <c r="Y5155" s="501"/>
    </row>
    <row r="5156" spans="25:25" hidden="1" x14ac:dyDescent="0.25">
      <c r="Y5156" s="501"/>
    </row>
    <row r="5157" spans="25:25" hidden="1" x14ac:dyDescent="0.25">
      <c r="Y5157" s="501"/>
    </row>
    <row r="5158" spans="25:25" hidden="1" x14ac:dyDescent="0.25">
      <c r="Y5158" s="501"/>
    </row>
    <row r="5159" spans="25:25" hidden="1" x14ac:dyDescent="0.25">
      <c r="Y5159" s="501"/>
    </row>
    <row r="5160" spans="25:25" hidden="1" x14ac:dyDescent="0.25">
      <c r="Y5160" s="501"/>
    </row>
    <row r="5161" spans="25:25" hidden="1" x14ac:dyDescent="0.25">
      <c r="Y5161" s="501"/>
    </row>
    <row r="5162" spans="25:25" hidden="1" x14ac:dyDescent="0.25">
      <c r="Y5162" s="501"/>
    </row>
    <row r="5163" spans="25:25" hidden="1" x14ac:dyDescent="0.25">
      <c r="Y5163" s="501"/>
    </row>
    <row r="5164" spans="25:25" hidden="1" x14ac:dyDescent="0.25">
      <c r="Y5164" s="501"/>
    </row>
    <row r="5165" spans="25:25" hidden="1" x14ac:dyDescent="0.25">
      <c r="Y5165" s="501"/>
    </row>
    <row r="5166" spans="25:25" hidden="1" x14ac:dyDescent="0.25">
      <c r="Y5166" s="501"/>
    </row>
    <row r="5167" spans="25:25" hidden="1" x14ac:dyDescent="0.25">
      <c r="Y5167" s="501"/>
    </row>
    <row r="5168" spans="25:25" hidden="1" x14ac:dyDescent="0.25">
      <c r="Y5168" s="501"/>
    </row>
    <row r="5169" spans="25:25" hidden="1" x14ac:dyDescent="0.25">
      <c r="Y5169" s="501"/>
    </row>
    <row r="5170" spans="25:25" hidden="1" x14ac:dyDescent="0.25">
      <c r="Y5170" s="501"/>
    </row>
    <row r="5171" spans="25:25" hidden="1" x14ac:dyDescent="0.25">
      <c r="Y5171" s="501"/>
    </row>
    <row r="5172" spans="25:25" hidden="1" x14ac:dyDescent="0.25">
      <c r="Y5172" s="501"/>
    </row>
    <row r="5173" spans="25:25" hidden="1" x14ac:dyDescent="0.25">
      <c r="Y5173" s="501"/>
    </row>
    <row r="5174" spans="25:25" hidden="1" x14ac:dyDescent="0.25">
      <c r="Y5174" s="501"/>
    </row>
    <row r="5175" spans="25:25" hidden="1" x14ac:dyDescent="0.25">
      <c r="Y5175" s="501"/>
    </row>
    <row r="5176" spans="25:25" hidden="1" x14ac:dyDescent="0.25">
      <c r="Y5176" s="501"/>
    </row>
    <row r="5177" spans="25:25" hidden="1" x14ac:dyDescent="0.25">
      <c r="Y5177" s="501"/>
    </row>
    <row r="5178" spans="25:25" hidden="1" x14ac:dyDescent="0.25">
      <c r="Y5178" s="501"/>
    </row>
    <row r="5179" spans="25:25" hidden="1" x14ac:dyDescent="0.25">
      <c r="Y5179" s="501"/>
    </row>
    <row r="5180" spans="25:25" hidden="1" x14ac:dyDescent="0.25">
      <c r="Y5180" s="501"/>
    </row>
    <row r="5181" spans="25:25" hidden="1" x14ac:dyDescent="0.25">
      <c r="Y5181" s="501"/>
    </row>
    <row r="5182" spans="25:25" hidden="1" x14ac:dyDescent="0.25">
      <c r="Y5182" s="501"/>
    </row>
    <row r="5183" spans="25:25" hidden="1" x14ac:dyDescent="0.25">
      <c r="Y5183" s="501"/>
    </row>
    <row r="5184" spans="25:25" hidden="1" x14ac:dyDescent="0.25">
      <c r="Y5184" s="501"/>
    </row>
    <row r="5185" spans="25:25" hidden="1" x14ac:dyDescent="0.25">
      <c r="Y5185" s="501"/>
    </row>
    <row r="5186" spans="25:25" hidden="1" x14ac:dyDescent="0.25">
      <c r="Y5186" s="501"/>
    </row>
    <row r="5187" spans="25:25" hidden="1" x14ac:dyDescent="0.25">
      <c r="Y5187" s="501"/>
    </row>
    <row r="5188" spans="25:25" hidden="1" x14ac:dyDescent="0.25">
      <c r="Y5188" s="501"/>
    </row>
    <row r="5189" spans="25:25" hidden="1" x14ac:dyDescent="0.25">
      <c r="Y5189" s="501"/>
    </row>
    <row r="5190" spans="25:25" hidden="1" x14ac:dyDescent="0.25">
      <c r="Y5190" s="501"/>
    </row>
    <row r="5191" spans="25:25" hidden="1" x14ac:dyDescent="0.25">
      <c r="Y5191" s="501"/>
    </row>
    <row r="5192" spans="25:25" hidden="1" x14ac:dyDescent="0.25">
      <c r="Y5192" s="501"/>
    </row>
    <row r="5193" spans="25:25" hidden="1" x14ac:dyDescent="0.25">
      <c r="Y5193" s="501"/>
    </row>
    <row r="5194" spans="25:25" hidden="1" x14ac:dyDescent="0.25">
      <c r="Y5194" s="501"/>
    </row>
    <row r="5195" spans="25:25" hidden="1" x14ac:dyDescent="0.25">
      <c r="Y5195" s="501"/>
    </row>
    <row r="5196" spans="25:25" hidden="1" x14ac:dyDescent="0.25">
      <c r="Y5196" s="501"/>
    </row>
    <row r="5197" spans="25:25" hidden="1" x14ac:dyDescent="0.25">
      <c r="Y5197" s="501"/>
    </row>
    <row r="5198" spans="25:25" hidden="1" x14ac:dyDescent="0.25">
      <c r="Y5198" s="501"/>
    </row>
    <row r="5199" spans="25:25" hidden="1" x14ac:dyDescent="0.25">
      <c r="Y5199" s="501"/>
    </row>
    <row r="5200" spans="25:25" hidden="1" x14ac:dyDescent="0.25">
      <c r="Y5200" s="501"/>
    </row>
    <row r="5201" spans="25:25" hidden="1" x14ac:dyDescent="0.25">
      <c r="Y5201" s="501"/>
    </row>
    <row r="5202" spans="25:25" hidden="1" x14ac:dyDescent="0.25">
      <c r="Y5202" s="501"/>
    </row>
    <row r="5203" spans="25:25" hidden="1" x14ac:dyDescent="0.25">
      <c r="Y5203" s="501"/>
    </row>
    <row r="5204" spans="25:25" hidden="1" x14ac:dyDescent="0.25">
      <c r="Y5204" s="501"/>
    </row>
    <row r="5205" spans="25:25" hidden="1" x14ac:dyDescent="0.25">
      <c r="Y5205" s="501"/>
    </row>
    <row r="5206" spans="25:25" hidden="1" x14ac:dyDescent="0.25">
      <c r="Y5206" s="501"/>
    </row>
    <row r="5207" spans="25:25" hidden="1" x14ac:dyDescent="0.25">
      <c r="Y5207" s="501"/>
    </row>
    <row r="5208" spans="25:25" hidden="1" x14ac:dyDescent="0.25">
      <c r="Y5208" s="501"/>
    </row>
    <row r="5209" spans="25:25" hidden="1" x14ac:dyDescent="0.25">
      <c r="Y5209" s="501"/>
    </row>
    <row r="5210" spans="25:25" hidden="1" x14ac:dyDescent="0.25">
      <c r="Y5210" s="501"/>
    </row>
    <row r="5211" spans="25:25" hidden="1" x14ac:dyDescent="0.25">
      <c r="Y5211" s="501"/>
    </row>
    <row r="5212" spans="25:25" hidden="1" x14ac:dyDescent="0.25">
      <c r="Y5212" s="501"/>
    </row>
    <row r="5213" spans="25:25" hidden="1" x14ac:dyDescent="0.25">
      <c r="Y5213" s="501"/>
    </row>
    <row r="5214" spans="25:25" hidden="1" x14ac:dyDescent="0.25">
      <c r="Y5214" s="501"/>
    </row>
    <row r="5215" spans="25:25" hidden="1" x14ac:dyDescent="0.25">
      <c r="Y5215" s="501"/>
    </row>
    <row r="5216" spans="25:25" hidden="1" x14ac:dyDescent="0.25">
      <c r="Y5216" s="501"/>
    </row>
    <row r="5217" spans="25:25" hidden="1" x14ac:dyDescent="0.25">
      <c r="Y5217" s="501"/>
    </row>
    <row r="5218" spans="25:25" hidden="1" x14ac:dyDescent="0.25">
      <c r="Y5218" s="501"/>
    </row>
    <row r="5219" spans="25:25" hidden="1" x14ac:dyDescent="0.25">
      <c r="Y5219" s="501"/>
    </row>
    <row r="5220" spans="25:25" hidden="1" x14ac:dyDescent="0.25">
      <c r="Y5220" s="501"/>
    </row>
    <row r="5221" spans="25:25" hidden="1" x14ac:dyDescent="0.25">
      <c r="Y5221" s="501"/>
    </row>
    <row r="5222" spans="25:25" hidden="1" x14ac:dyDescent="0.25">
      <c r="Y5222" s="501"/>
    </row>
    <row r="5223" spans="25:25" hidden="1" x14ac:dyDescent="0.25">
      <c r="Y5223" s="501"/>
    </row>
    <row r="5224" spans="25:25" hidden="1" x14ac:dyDescent="0.25">
      <c r="Y5224" s="501"/>
    </row>
    <row r="5225" spans="25:25" hidden="1" x14ac:dyDescent="0.25">
      <c r="Y5225" s="501"/>
    </row>
    <row r="5226" spans="25:25" hidden="1" x14ac:dyDescent="0.25">
      <c r="Y5226" s="501"/>
    </row>
    <row r="5227" spans="25:25" hidden="1" x14ac:dyDescent="0.25">
      <c r="Y5227" s="501"/>
    </row>
    <row r="5228" spans="25:25" hidden="1" x14ac:dyDescent="0.25">
      <c r="Y5228" s="501"/>
    </row>
    <row r="5229" spans="25:25" hidden="1" x14ac:dyDescent="0.25">
      <c r="Y5229" s="501"/>
    </row>
    <row r="5230" spans="25:25" hidden="1" x14ac:dyDescent="0.25">
      <c r="Y5230" s="501"/>
    </row>
    <row r="5231" spans="25:25" hidden="1" x14ac:dyDescent="0.25">
      <c r="Y5231" s="501"/>
    </row>
    <row r="5232" spans="25:25" hidden="1" x14ac:dyDescent="0.25">
      <c r="Y5232" s="501"/>
    </row>
    <row r="5233" spans="25:25" hidden="1" x14ac:dyDescent="0.25">
      <c r="Y5233" s="501"/>
    </row>
    <row r="5234" spans="25:25" hidden="1" x14ac:dyDescent="0.25">
      <c r="Y5234" s="501"/>
    </row>
    <row r="5235" spans="25:25" hidden="1" x14ac:dyDescent="0.25">
      <c r="Y5235" s="501"/>
    </row>
    <row r="5236" spans="25:25" hidden="1" x14ac:dyDescent="0.25">
      <c r="Y5236" s="501"/>
    </row>
    <row r="5237" spans="25:25" hidden="1" x14ac:dyDescent="0.25">
      <c r="Y5237" s="501"/>
    </row>
    <row r="5238" spans="25:25" hidden="1" x14ac:dyDescent="0.25">
      <c r="Y5238" s="501"/>
    </row>
    <row r="5239" spans="25:25" hidden="1" x14ac:dyDescent="0.25">
      <c r="Y5239" s="501"/>
    </row>
    <row r="5240" spans="25:25" hidden="1" x14ac:dyDescent="0.25">
      <c r="Y5240" s="501"/>
    </row>
    <row r="5241" spans="25:25" hidden="1" x14ac:dyDescent="0.25">
      <c r="Y5241" s="501"/>
    </row>
    <row r="5242" spans="25:25" hidden="1" x14ac:dyDescent="0.25">
      <c r="Y5242" s="501"/>
    </row>
    <row r="5243" spans="25:25" hidden="1" x14ac:dyDescent="0.25">
      <c r="Y5243" s="501"/>
    </row>
    <row r="5244" spans="25:25" hidden="1" x14ac:dyDescent="0.25">
      <c r="Y5244" s="501"/>
    </row>
    <row r="5245" spans="25:25" hidden="1" x14ac:dyDescent="0.25">
      <c r="Y5245" s="501"/>
    </row>
    <row r="5246" spans="25:25" hidden="1" x14ac:dyDescent="0.25">
      <c r="Y5246" s="501"/>
    </row>
    <row r="5247" spans="25:25" hidden="1" x14ac:dyDescent="0.25">
      <c r="Y5247" s="501"/>
    </row>
    <row r="5248" spans="25:25" hidden="1" x14ac:dyDescent="0.25">
      <c r="Y5248" s="501"/>
    </row>
    <row r="5249" spans="25:25" hidden="1" x14ac:dyDescent="0.25">
      <c r="Y5249" s="501"/>
    </row>
    <row r="5250" spans="25:25" hidden="1" x14ac:dyDescent="0.25">
      <c r="Y5250" s="501"/>
    </row>
    <row r="5251" spans="25:25" hidden="1" x14ac:dyDescent="0.25">
      <c r="Y5251" s="501"/>
    </row>
    <row r="5252" spans="25:25" hidden="1" x14ac:dyDescent="0.25">
      <c r="Y5252" s="501"/>
    </row>
    <row r="5253" spans="25:25" hidden="1" x14ac:dyDescent="0.25">
      <c r="Y5253" s="501"/>
    </row>
    <row r="5254" spans="25:25" hidden="1" x14ac:dyDescent="0.25">
      <c r="Y5254" s="501"/>
    </row>
    <row r="5255" spans="25:25" hidden="1" x14ac:dyDescent="0.25">
      <c r="Y5255" s="501"/>
    </row>
    <row r="5256" spans="25:25" hidden="1" x14ac:dyDescent="0.25">
      <c r="Y5256" s="501"/>
    </row>
    <row r="5257" spans="25:25" hidden="1" x14ac:dyDescent="0.25">
      <c r="Y5257" s="501"/>
    </row>
    <row r="5258" spans="25:25" hidden="1" x14ac:dyDescent="0.25">
      <c r="Y5258" s="501"/>
    </row>
    <row r="5259" spans="25:25" hidden="1" x14ac:dyDescent="0.25">
      <c r="Y5259" s="501"/>
    </row>
    <row r="5260" spans="25:25" hidden="1" x14ac:dyDescent="0.25">
      <c r="Y5260" s="501"/>
    </row>
    <row r="5261" spans="25:25" hidden="1" x14ac:dyDescent="0.25">
      <c r="Y5261" s="501"/>
    </row>
    <row r="5262" spans="25:25" hidden="1" x14ac:dyDescent="0.25">
      <c r="Y5262" s="501"/>
    </row>
    <row r="5263" spans="25:25" hidden="1" x14ac:dyDescent="0.25">
      <c r="Y5263" s="501"/>
    </row>
    <row r="5264" spans="25:25" hidden="1" x14ac:dyDescent="0.25">
      <c r="Y5264" s="501"/>
    </row>
    <row r="5265" spans="25:25" hidden="1" x14ac:dyDescent="0.25">
      <c r="Y5265" s="501"/>
    </row>
    <row r="5266" spans="25:25" hidden="1" x14ac:dyDescent="0.25">
      <c r="Y5266" s="501"/>
    </row>
    <row r="5267" spans="25:25" hidden="1" x14ac:dyDescent="0.25">
      <c r="Y5267" s="501"/>
    </row>
    <row r="5268" spans="25:25" hidden="1" x14ac:dyDescent="0.25">
      <c r="Y5268" s="501"/>
    </row>
    <row r="5269" spans="25:25" hidden="1" x14ac:dyDescent="0.25">
      <c r="Y5269" s="501"/>
    </row>
    <row r="5270" spans="25:25" hidden="1" x14ac:dyDescent="0.25">
      <c r="Y5270" s="501"/>
    </row>
    <row r="5271" spans="25:25" hidden="1" x14ac:dyDescent="0.25">
      <c r="Y5271" s="501"/>
    </row>
    <row r="5272" spans="25:25" hidden="1" x14ac:dyDescent="0.25">
      <c r="Y5272" s="501"/>
    </row>
    <row r="5273" spans="25:25" hidden="1" x14ac:dyDescent="0.25">
      <c r="Y5273" s="501"/>
    </row>
    <row r="5274" spans="25:25" hidden="1" x14ac:dyDescent="0.25">
      <c r="Y5274" s="501"/>
    </row>
    <row r="5275" spans="25:25" hidden="1" x14ac:dyDescent="0.25">
      <c r="Y5275" s="501"/>
    </row>
    <row r="5276" spans="25:25" hidden="1" x14ac:dyDescent="0.25">
      <c r="Y5276" s="501"/>
    </row>
    <row r="5277" spans="25:25" hidden="1" x14ac:dyDescent="0.25">
      <c r="Y5277" s="501"/>
    </row>
    <row r="5278" spans="25:25" hidden="1" x14ac:dyDescent="0.25">
      <c r="Y5278" s="501"/>
    </row>
    <row r="5279" spans="25:25" hidden="1" x14ac:dyDescent="0.25">
      <c r="Y5279" s="501"/>
    </row>
    <row r="5280" spans="25:25" hidden="1" x14ac:dyDescent="0.25">
      <c r="Y5280" s="501"/>
    </row>
    <row r="5281" spans="25:25" hidden="1" x14ac:dyDescent="0.25">
      <c r="Y5281" s="501"/>
    </row>
    <row r="5282" spans="25:25" hidden="1" x14ac:dyDescent="0.25">
      <c r="Y5282" s="501"/>
    </row>
    <row r="5283" spans="25:25" hidden="1" x14ac:dyDescent="0.25">
      <c r="Y5283" s="501"/>
    </row>
    <row r="5284" spans="25:25" hidden="1" x14ac:dyDescent="0.25">
      <c r="Y5284" s="501"/>
    </row>
    <row r="5285" spans="25:25" hidden="1" x14ac:dyDescent="0.25">
      <c r="Y5285" s="501"/>
    </row>
    <row r="5286" spans="25:25" hidden="1" x14ac:dyDescent="0.25">
      <c r="Y5286" s="501"/>
    </row>
    <row r="5287" spans="25:25" hidden="1" x14ac:dyDescent="0.25">
      <c r="Y5287" s="501"/>
    </row>
    <row r="5288" spans="25:25" hidden="1" x14ac:dyDescent="0.25">
      <c r="Y5288" s="501"/>
    </row>
    <row r="5289" spans="25:25" hidden="1" x14ac:dyDescent="0.25">
      <c r="Y5289" s="501"/>
    </row>
    <row r="5290" spans="25:25" hidden="1" x14ac:dyDescent="0.25">
      <c r="Y5290" s="501"/>
    </row>
    <row r="5291" spans="25:25" hidden="1" x14ac:dyDescent="0.25">
      <c r="Y5291" s="501"/>
    </row>
    <row r="5292" spans="25:25" hidden="1" x14ac:dyDescent="0.25">
      <c r="Y5292" s="501"/>
    </row>
    <row r="5293" spans="25:25" hidden="1" x14ac:dyDescent="0.25">
      <c r="Y5293" s="501"/>
    </row>
    <row r="5294" spans="25:25" hidden="1" x14ac:dyDescent="0.25">
      <c r="Y5294" s="501"/>
    </row>
    <row r="5295" spans="25:25" hidden="1" x14ac:dyDescent="0.25">
      <c r="Y5295" s="501"/>
    </row>
    <row r="5296" spans="25:25" hidden="1" x14ac:dyDescent="0.25">
      <c r="Y5296" s="501"/>
    </row>
    <row r="5297" spans="25:25" hidden="1" x14ac:dyDescent="0.25">
      <c r="Y5297" s="501"/>
    </row>
    <row r="5298" spans="25:25" hidden="1" x14ac:dyDescent="0.25">
      <c r="Y5298" s="501"/>
    </row>
    <row r="5299" spans="25:25" hidden="1" x14ac:dyDescent="0.25">
      <c r="Y5299" s="501"/>
    </row>
    <row r="5300" spans="25:25" hidden="1" x14ac:dyDescent="0.25">
      <c r="Y5300" s="501"/>
    </row>
    <row r="5301" spans="25:25" hidden="1" x14ac:dyDescent="0.25">
      <c r="Y5301" s="501"/>
    </row>
    <row r="5302" spans="25:25" hidden="1" x14ac:dyDescent="0.25">
      <c r="Y5302" s="501"/>
    </row>
    <row r="5303" spans="25:25" hidden="1" x14ac:dyDescent="0.25">
      <c r="Y5303" s="501"/>
    </row>
    <row r="5304" spans="25:25" hidden="1" x14ac:dyDescent="0.25">
      <c r="Y5304" s="501"/>
    </row>
    <row r="5305" spans="25:25" hidden="1" x14ac:dyDescent="0.25">
      <c r="Y5305" s="501"/>
    </row>
    <row r="5306" spans="25:25" hidden="1" x14ac:dyDescent="0.25">
      <c r="Y5306" s="501"/>
    </row>
    <row r="5307" spans="25:25" hidden="1" x14ac:dyDescent="0.25">
      <c r="Y5307" s="501"/>
    </row>
    <row r="5308" spans="25:25" hidden="1" x14ac:dyDescent="0.25">
      <c r="Y5308" s="501"/>
    </row>
    <row r="5309" spans="25:25" hidden="1" x14ac:dyDescent="0.25">
      <c r="Y5309" s="501"/>
    </row>
    <row r="5310" spans="25:25" hidden="1" x14ac:dyDescent="0.25">
      <c r="Y5310" s="501"/>
    </row>
    <row r="5311" spans="25:25" hidden="1" x14ac:dyDescent="0.25">
      <c r="Y5311" s="501"/>
    </row>
    <row r="5312" spans="25:25" hidden="1" x14ac:dyDescent="0.25">
      <c r="Y5312" s="501"/>
    </row>
    <row r="5313" spans="25:25" hidden="1" x14ac:dyDescent="0.25">
      <c r="Y5313" s="501"/>
    </row>
    <row r="5314" spans="25:25" hidden="1" x14ac:dyDescent="0.25">
      <c r="Y5314" s="501"/>
    </row>
    <row r="5315" spans="25:25" hidden="1" x14ac:dyDescent="0.25">
      <c r="Y5315" s="501"/>
    </row>
    <row r="5316" spans="25:25" hidden="1" x14ac:dyDescent="0.25">
      <c r="Y5316" s="501"/>
    </row>
    <row r="5317" spans="25:25" hidden="1" x14ac:dyDescent="0.25">
      <c r="Y5317" s="501"/>
    </row>
    <row r="5318" spans="25:25" hidden="1" x14ac:dyDescent="0.25">
      <c r="Y5318" s="501"/>
    </row>
    <row r="5319" spans="25:25" hidden="1" x14ac:dyDescent="0.25">
      <c r="Y5319" s="501"/>
    </row>
    <row r="5320" spans="25:25" hidden="1" x14ac:dyDescent="0.25">
      <c r="Y5320" s="501"/>
    </row>
    <row r="5321" spans="25:25" hidden="1" x14ac:dyDescent="0.25">
      <c r="Y5321" s="501"/>
    </row>
    <row r="5322" spans="25:25" hidden="1" x14ac:dyDescent="0.25">
      <c r="Y5322" s="501"/>
    </row>
    <row r="5323" spans="25:25" hidden="1" x14ac:dyDescent="0.25">
      <c r="Y5323" s="501"/>
    </row>
    <row r="5324" spans="25:25" hidden="1" x14ac:dyDescent="0.25">
      <c r="Y5324" s="501"/>
    </row>
    <row r="5325" spans="25:25" hidden="1" x14ac:dyDescent="0.25">
      <c r="Y5325" s="501"/>
    </row>
    <row r="5326" spans="25:25" hidden="1" x14ac:dyDescent="0.25">
      <c r="Y5326" s="501"/>
    </row>
    <row r="5327" spans="25:25" hidden="1" x14ac:dyDescent="0.25">
      <c r="Y5327" s="501"/>
    </row>
    <row r="5328" spans="25:25" hidden="1" x14ac:dyDescent="0.25">
      <c r="Y5328" s="501"/>
    </row>
    <row r="5329" spans="25:25" hidden="1" x14ac:dyDescent="0.25">
      <c r="Y5329" s="501"/>
    </row>
    <row r="5330" spans="25:25" hidden="1" x14ac:dyDescent="0.25">
      <c r="Y5330" s="501"/>
    </row>
    <row r="5331" spans="25:25" hidden="1" x14ac:dyDescent="0.25">
      <c r="Y5331" s="501"/>
    </row>
    <row r="5332" spans="25:25" hidden="1" x14ac:dyDescent="0.25">
      <c r="Y5332" s="501"/>
    </row>
    <row r="5333" spans="25:25" hidden="1" x14ac:dyDescent="0.25">
      <c r="Y5333" s="501"/>
    </row>
    <row r="5334" spans="25:25" hidden="1" x14ac:dyDescent="0.25">
      <c r="Y5334" s="501"/>
    </row>
    <row r="5335" spans="25:25" hidden="1" x14ac:dyDescent="0.25">
      <c r="Y5335" s="501"/>
    </row>
    <row r="5336" spans="25:25" hidden="1" x14ac:dyDescent="0.25">
      <c r="Y5336" s="501"/>
    </row>
    <row r="5337" spans="25:25" hidden="1" x14ac:dyDescent="0.25">
      <c r="Y5337" s="501"/>
    </row>
    <row r="5338" spans="25:25" hidden="1" x14ac:dyDescent="0.25">
      <c r="Y5338" s="501"/>
    </row>
    <row r="5339" spans="25:25" hidden="1" x14ac:dyDescent="0.25">
      <c r="Y5339" s="501"/>
    </row>
    <row r="5340" spans="25:25" hidden="1" x14ac:dyDescent="0.25">
      <c r="Y5340" s="501"/>
    </row>
    <row r="5341" spans="25:25" hidden="1" x14ac:dyDescent="0.25">
      <c r="Y5341" s="501"/>
    </row>
    <row r="5342" spans="25:25" hidden="1" x14ac:dyDescent="0.25">
      <c r="Y5342" s="501"/>
    </row>
    <row r="5343" spans="25:25" hidden="1" x14ac:dyDescent="0.25">
      <c r="Y5343" s="501"/>
    </row>
    <row r="5344" spans="25:25" hidden="1" x14ac:dyDescent="0.25">
      <c r="Y5344" s="501"/>
    </row>
    <row r="5345" spans="25:25" hidden="1" x14ac:dyDescent="0.25">
      <c r="Y5345" s="501"/>
    </row>
    <row r="5346" spans="25:25" hidden="1" x14ac:dyDescent="0.25">
      <c r="Y5346" s="501"/>
    </row>
    <row r="5347" spans="25:25" hidden="1" x14ac:dyDescent="0.25">
      <c r="Y5347" s="501"/>
    </row>
    <row r="5348" spans="25:25" hidden="1" x14ac:dyDescent="0.25">
      <c r="Y5348" s="501"/>
    </row>
    <row r="5349" spans="25:25" hidden="1" x14ac:dyDescent="0.25">
      <c r="Y5349" s="501"/>
    </row>
    <row r="5350" spans="25:25" hidden="1" x14ac:dyDescent="0.25">
      <c r="Y5350" s="501"/>
    </row>
    <row r="5351" spans="25:25" hidden="1" x14ac:dyDescent="0.25">
      <c r="Y5351" s="501"/>
    </row>
    <row r="5352" spans="25:25" hidden="1" x14ac:dyDescent="0.25">
      <c r="Y5352" s="501"/>
    </row>
    <row r="5353" spans="25:25" hidden="1" x14ac:dyDescent="0.25">
      <c r="Y5353" s="501"/>
    </row>
    <row r="5354" spans="25:25" hidden="1" x14ac:dyDescent="0.25">
      <c r="Y5354" s="501"/>
    </row>
    <row r="5355" spans="25:25" hidden="1" x14ac:dyDescent="0.25">
      <c r="Y5355" s="501"/>
    </row>
    <row r="5356" spans="25:25" hidden="1" x14ac:dyDescent="0.25">
      <c r="Y5356" s="501"/>
    </row>
    <row r="5357" spans="25:25" hidden="1" x14ac:dyDescent="0.25">
      <c r="Y5357" s="501"/>
    </row>
    <row r="5358" spans="25:25" hidden="1" x14ac:dyDescent="0.25">
      <c r="Y5358" s="501"/>
    </row>
    <row r="5359" spans="25:25" hidden="1" x14ac:dyDescent="0.25">
      <c r="Y5359" s="501"/>
    </row>
    <row r="5360" spans="25:25" hidden="1" x14ac:dyDescent="0.25">
      <c r="Y5360" s="501"/>
    </row>
    <row r="5361" spans="25:25" hidden="1" x14ac:dyDescent="0.25">
      <c r="Y5361" s="501"/>
    </row>
    <row r="5362" spans="25:25" hidden="1" x14ac:dyDescent="0.25">
      <c r="Y5362" s="501"/>
    </row>
    <row r="5363" spans="25:25" hidden="1" x14ac:dyDescent="0.25">
      <c r="Y5363" s="501"/>
    </row>
    <row r="5364" spans="25:25" hidden="1" x14ac:dyDescent="0.25">
      <c r="Y5364" s="501"/>
    </row>
    <row r="5365" spans="25:25" hidden="1" x14ac:dyDescent="0.25">
      <c r="Y5365" s="501"/>
    </row>
    <row r="5366" spans="25:25" hidden="1" x14ac:dyDescent="0.25">
      <c r="Y5366" s="501"/>
    </row>
    <row r="5367" spans="25:25" hidden="1" x14ac:dyDescent="0.25">
      <c r="Y5367" s="501"/>
    </row>
    <row r="5368" spans="25:25" hidden="1" x14ac:dyDescent="0.25">
      <c r="Y5368" s="501"/>
    </row>
    <row r="5369" spans="25:25" hidden="1" x14ac:dyDescent="0.25">
      <c r="Y5369" s="501"/>
    </row>
    <row r="5370" spans="25:25" hidden="1" x14ac:dyDescent="0.25">
      <c r="Y5370" s="501"/>
    </row>
    <row r="5371" spans="25:25" hidden="1" x14ac:dyDescent="0.25">
      <c r="Y5371" s="501"/>
    </row>
    <row r="5372" spans="25:25" hidden="1" x14ac:dyDescent="0.25">
      <c r="Y5372" s="501"/>
    </row>
    <row r="5373" spans="25:25" hidden="1" x14ac:dyDescent="0.25">
      <c r="Y5373" s="501"/>
    </row>
    <row r="5374" spans="25:25" hidden="1" x14ac:dyDescent="0.25">
      <c r="Y5374" s="501"/>
    </row>
    <row r="5375" spans="25:25" hidden="1" x14ac:dyDescent="0.25">
      <c r="Y5375" s="501"/>
    </row>
    <row r="5376" spans="25:25" hidden="1" x14ac:dyDescent="0.25">
      <c r="Y5376" s="501"/>
    </row>
    <row r="5377" spans="25:25" hidden="1" x14ac:dyDescent="0.25">
      <c r="Y5377" s="501"/>
    </row>
    <row r="5378" spans="25:25" hidden="1" x14ac:dyDescent="0.25">
      <c r="Y5378" s="501"/>
    </row>
    <row r="5379" spans="25:25" hidden="1" x14ac:dyDescent="0.25">
      <c r="Y5379" s="501"/>
    </row>
    <row r="5380" spans="25:25" hidden="1" x14ac:dyDescent="0.25">
      <c r="Y5380" s="501"/>
    </row>
    <row r="5381" spans="25:25" hidden="1" x14ac:dyDescent="0.25">
      <c r="Y5381" s="501"/>
    </row>
    <row r="5382" spans="25:25" hidden="1" x14ac:dyDescent="0.25">
      <c r="Y5382" s="501"/>
    </row>
    <row r="5383" spans="25:25" hidden="1" x14ac:dyDescent="0.25">
      <c r="Y5383" s="501"/>
    </row>
    <row r="5384" spans="25:25" hidden="1" x14ac:dyDescent="0.25">
      <c r="Y5384" s="501"/>
    </row>
    <row r="5385" spans="25:25" hidden="1" x14ac:dyDescent="0.25">
      <c r="Y5385" s="501"/>
    </row>
    <row r="5386" spans="25:25" hidden="1" x14ac:dyDescent="0.25">
      <c r="Y5386" s="501"/>
    </row>
    <row r="5387" spans="25:25" hidden="1" x14ac:dyDescent="0.25">
      <c r="Y5387" s="501"/>
    </row>
    <row r="5388" spans="25:25" hidden="1" x14ac:dyDescent="0.25">
      <c r="Y5388" s="501"/>
    </row>
    <row r="5389" spans="25:25" hidden="1" x14ac:dyDescent="0.25">
      <c r="Y5389" s="501"/>
    </row>
    <row r="5390" spans="25:25" hidden="1" x14ac:dyDescent="0.25">
      <c r="Y5390" s="501"/>
    </row>
    <row r="5391" spans="25:25" hidden="1" x14ac:dyDescent="0.25">
      <c r="Y5391" s="501"/>
    </row>
    <row r="5392" spans="25:25" hidden="1" x14ac:dyDescent="0.25">
      <c r="Y5392" s="501"/>
    </row>
    <row r="5393" spans="25:25" hidden="1" x14ac:dyDescent="0.25">
      <c r="Y5393" s="501"/>
    </row>
    <row r="5394" spans="25:25" hidden="1" x14ac:dyDescent="0.25">
      <c r="Y5394" s="501"/>
    </row>
    <row r="5395" spans="25:25" hidden="1" x14ac:dyDescent="0.25">
      <c r="Y5395" s="501"/>
    </row>
    <row r="5396" spans="25:25" hidden="1" x14ac:dyDescent="0.25">
      <c r="Y5396" s="501"/>
    </row>
    <row r="5397" spans="25:25" hidden="1" x14ac:dyDescent="0.25">
      <c r="Y5397" s="501"/>
    </row>
    <row r="5398" spans="25:25" hidden="1" x14ac:dyDescent="0.25">
      <c r="Y5398" s="501"/>
    </row>
    <row r="5399" spans="25:25" hidden="1" x14ac:dyDescent="0.25">
      <c r="Y5399" s="501"/>
    </row>
    <row r="5400" spans="25:25" hidden="1" x14ac:dyDescent="0.25">
      <c r="Y5400" s="501"/>
    </row>
    <row r="5401" spans="25:25" hidden="1" x14ac:dyDescent="0.25">
      <c r="Y5401" s="501"/>
    </row>
    <row r="5402" spans="25:25" hidden="1" x14ac:dyDescent="0.25">
      <c r="Y5402" s="501"/>
    </row>
    <row r="5403" spans="25:25" hidden="1" x14ac:dyDescent="0.25">
      <c r="Y5403" s="501"/>
    </row>
    <row r="5404" spans="25:25" hidden="1" x14ac:dyDescent="0.25">
      <c r="Y5404" s="501"/>
    </row>
    <row r="5405" spans="25:25" hidden="1" x14ac:dyDescent="0.25">
      <c r="Y5405" s="501"/>
    </row>
    <row r="5406" spans="25:25" hidden="1" x14ac:dyDescent="0.25">
      <c r="Y5406" s="501"/>
    </row>
    <row r="5407" spans="25:25" hidden="1" x14ac:dyDescent="0.25">
      <c r="Y5407" s="501"/>
    </row>
    <row r="5408" spans="25:25" hidden="1" x14ac:dyDescent="0.25">
      <c r="Y5408" s="501"/>
    </row>
    <row r="5409" spans="25:25" hidden="1" x14ac:dyDescent="0.25">
      <c r="Y5409" s="501"/>
    </row>
    <row r="5410" spans="25:25" hidden="1" x14ac:dyDescent="0.25">
      <c r="Y5410" s="501"/>
    </row>
    <row r="5411" spans="25:25" hidden="1" x14ac:dyDescent="0.25">
      <c r="Y5411" s="501"/>
    </row>
    <row r="5412" spans="25:25" hidden="1" x14ac:dyDescent="0.25">
      <c r="Y5412" s="501"/>
    </row>
    <row r="5413" spans="25:25" hidden="1" x14ac:dyDescent="0.25">
      <c r="Y5413" s="501"/>
    </row>
    <row r="5414" spans="25:25" hidden="1" x14ac:dyDescent="0.25">
      <c r="Y5414" s="501"/>
    </row>
    <row r="5415" spans="25:25" hidden="1" x14ac:dyDescent="0.25">
      <c r="Y5415" s="501"/>
    </row>
    <row r="5416" spans="25:25" hidden="1" x14ac:dyDescent="0.25">
      <c r="Y5416" s="501"/>
    </row>
    <row r="5417" spans="25:25" hidden="1" x14ac:dyDescent="0.25">
      <c r="Y5417" s="501"/>
    </row>
    <row r="5418" spans="25:25" hidden="1" x14ac:dyDescent="0.25">
      <c r="Y5418" s="501"/>
    </row>
    <row r="5419" spans="25:25" hidden="1" x14ac:dyDescent="0.25">
      <c r="Y5419" s="501"/>
    </row>
    <row r="5420" spans="25:25" hidden="1" x14ac:dyDescent="0.25">
      <c r="Y5420" s="501"/>
    </row>
    <row r="5421" spans="25:25" hidden="1" x14ac:dyDescent="0.25">
      <c r="Y5421" s="501"/>
    </row>
    <row r="5422" spans="25:25" hidden="1" x14ac:dyDescent="0.25">
      <c r="Y5422" s="501"/>
    </row>
    <row r="5423" spans="25:25" hidden="1" x14ac:dyDescent="0.25">
      <c r="Y5423" s="501"/>
    </row>
    <row r="5424" spans="25:25" hidden="1" x14ac:dyDescent="0.25">
      <c r="Y5424" s="501"/>
    </row>
    <row r="5425" spans="25:25" hidden="1" x14ac:dyDescent="0.25">
      <c r="Y5425" s="501"/>
    </row>
    <row r="5426" spans="25:25" hidden="1" x14ac:dyDescent="0.25">
      <c r="Y5426" s="501"/>
    </row>
    <row r="5427" spans="25:25" hidden="1" x14ac:dyDescent="0.25">
      <c r="Y5427" s="501"/>
    </row>
    <row r="5428" spans="25:25" hidden="1" x14ac:dyDescent="0.25">
      <c r="Y5428" s="501"/>
    </row>
    <row r="5429" spans="25:25" hidden="1" x14ac:dyDescent="0.25">
      <c r="Y5429" s="501"/>
    </row>
    <row r="5430" spans="25:25" hidden="1" x14ac:dyDescent="0.25">
      <c r="Y5430" s="501"/>
    </row>
    <row r="5431" spans="25:25" hidden="1" x14ac:dyDescent="0.25">
      <c r="Y5431" s="501"/>
    </row>
    <row r="5432" spans="25:25" hidden="1" x14ac:dyDescent="0.25">
      <c r="Y5432" s="501"/>
    </row>
    <row r="5433" spans="25:25" hidden="1" x14ac:dyDescent="0.25">
      <c r="Y5433" s="501"/>
    </row>
    <row r="5434" spans="25:25" hidden="1" x14ac:dyDescent="0.25">
      <c r="Y5434" s="501"/>
    </row>
    <row r="5435" spans="25:25" hidden="1" x14ac:dyDescent="0.25">
      <c r="Y5435" s="501"/>
    </row>
    <row r="5436" spans="25:25" hidden="1" x14ac:dyDescent="0.25">
      <c r="Y5436" s="501"/>
    </row>
    <row r="5437" spans="25:25" hidden="1" x14ac:dyDescent="0.25">
      <c r="Y5437" s="501"/>
    </row>
    <row r="5438" spans="25:25" hidden="1" x14ac:dyDescent="0.25">
      <c r="Y5438" s="501"/>
    </row>
    <row r="5439" spans="25:25" hidden="1" x14ac:dyDescent="0.25">
      <c r="Y5439" s="501"/>
    </row>
    <row r="5440" spans="25:25" hidden="1" x14ac:dyDescent="0.25">
      <c r="Y5440" s="501"/>
    </row>
    <row r="5441" spans="25:25" hidden="1" x14ac:dyDescent="0.25">
      <c r="Y5441" s="501"/>
    </row>
    <row r="5442" spans="25:25" hidden="1" x14ac:dyDescent="0.25">
      <c r="Y5442" s="501"/>
    </row>
    <row r="5443" spans="25:25" hidden="1" x14ac:dyDescent="0.25">
      <c r="Y5443" s="501"/>
    </row>
    <row r="5444" spans="25:25" hidden="1" x14ac:dyDescent="0.25">
      <c r="Y5444" s="501"/>
    </row>
    <row r="5445" spans="25:25" hidden="1" x14ac:dyDescent="0.25">
      <c r="Y5445" s="501"/>
    </row>
    <row r="5446" spans="25:25" hidden="1" x14ac:dyDescent="0.25">
      <c r="Y5446" s="501"/>
    </row>
    <row r="5447" spans="25:25" hidden="1" x14ac:dyDescent="0.25">
      <c r="Y5447" s="501"/>
    </row>
    <row r="5448" spans="25:25" hidden="1" x14ac:dyDescent="0.25">
      <c r="Y5448" s="501"/>
    </row>
    <row r="5449" spans="25:25" hidden="1" x14ac:dyDescent="0.25">
      <c r="Y5449" s="501"/>
    </row>
    <row r="5450" spans="25:25" hidden="1" x14ac:dyDescent="0.25">
      <c r="Y5450" s="501"/>
    </row>
    <row r="5451" spans="25:25" hidden="1" x14ac:dyDescent="0.25">
      <c r="Y5451" s="501"/>
    </row>
    <row r="5452" spans="25:25" hidden="1" x14ac:dyDescent="0.25">
      <c r="Y5452" s="501"/>
    </row>
    <row r="5453" spans="25:25" hidden="1" x14ac:dyDescent="0.25">
      <c r="Y5453" s="501"/>
    </row>
    <row r="5454" spans="25:25" hidden="1" x14ac:dyDescent="0.25">
      <c r="Y5454" s="501"/>
    </row>
    <row r="5455" spans="25:25" hidden="1" x14ac:dyDescent="0.25">
      <c r="Y5455" s="501"/>
    </row>
    <row r="5456" spans="25:25" hidden="1" x14ac:dyDescent="0.25">
      <c r="Y5456" s="501"/>
    </row>
    <row r="5457" spans="25:25" hidden="1" x14ac:dyDescent="0.25">
      <c r="Y5457" s="501"/>
    </row>
    <row r="5458" spans="25:25" hidden="1" x14ac:dyDescent="0.25">
      <c r="Y5458" s="501"/>
    </row>
    <row r="5459" spans="25:25" hidden="1" x14ac:dyDescent="0.25">
      <c r="Y5459" s="501"/>
    </row>
    <row r="5460" spans="25:25" hidden="1" x14ac:dyDescent="0.25">
      <c r="Y5460" s="501"/>
    </row>
    <row r="5461" spans="25:25" hidden="1" x14ac:dyDescent="0.25">
      <c r="Y5461" s="501"/>
    </row>
    <row r="5462" spans="25:25" hidden="1" x14ac:dyDescent="0.25">
      <c r="Y5462" s="501"/>
    </row>
    <row r="5463" spans="25:25" hidden="1" x14ac:dyDescent="0.25">
      <c r="Y5463" s="501"/>
    </row>
    <row r="5464" spans="25:25" hidden="1" x14ac:dyDescent="0.25">
      <c r="Y5464" s="501"/>
    </row>
    <row r="5465" spans="25:25" hidden="1" x14ac:dyDescent="0.25">
      <c r="Y5465" s="501"/>
    </row>
    <row r="5466" spans="25:25" hidden="1" x14ac:dyDescent="0.25">
      <c r="Y5466" s="501"/>
    </row>
    <row r="5467" spans="25:25" hidden="1" x14ac:dyDescent="0.25">
      <c r="Y5467" s="501"/>
    </row>
    <row r="5468" spans="25:25" hidden="1" x14ac:dyDescent="0.25">
      <c r="Y5468" s="501"/>
    </row>
    <row r="5469" spans="25:25" hidden="1" x14ac:dyDescent="0.25">
      <c r="Y5469" s="501"/>
    </row>
    <row r="5470" spans="25:25" hidden="1" x14ac:dyDescent="0.25">
      <c r="Y5470" s="501"/>
    </row>
    <row r="5471" spans="25:25" hidden="1" x14ac:dyDescent="0.25">
      <c r="Y5471" s="501"/>
    </row>
    <row r="5472" spans="25:25" hidden="1" x14ac:dyDescent="0.25">
      <c r="Y5472" s="501"/>
    </row>
    <row r="5473" spans="25:25" hidden="1" x14ac:dyDescent="0.25">
      <c r="Y5473" s="501"/>
    </row>
    <row r="5474" spans="25:25" hidden="1" x14ac:dyDescent="0.25">
      <c r="Y5474" s="501"/>
    </row>
    <row r="5475" spans="25:25" hidden="1" x14ac:dyDescent="0.25">
      <c r="Y5475" s="501"/>
    </row>
    <row r="5476" spans="25:25" hidden="1" x14ac:dyDescent="0.25">
      <c r="Y5476" s="501"/>
    </row>
    <row r="5477" spans="25:25" hidden="1" x14ac:dyDescent="0.25">
      <c r="Y5477" s="501"/>
    </row>
    <row r="5478" spans="25:25" hidden="1" x14ac:dyDescent="0.25">
      <c r="Y5478" s="501"/>
    </row>
    <row r="5479" spans="25:25" hidden="1" x14ac:dyDescent="0.25">
      <c r="Y5479" s="501"/>
    </row>
    <row r="5480" spans="25:25" hidden="1" x14ac:dyDescent="0.25">
      <c r="Y5480" s="501"/>
    </row>
    <row r="5481" spans="25:25" hidden="1" x14ac:dyDescent="0.25">
      <c r="Y5481" s="501"/>
    </row>
    <row r="5482" spans="25:25" hidden="1" x14ac:dyDescent="0.25">
      <c r="Y5482" s="501"/>
    </row>
    <row r="5483" spans="25:25" hidden="1" x14ac:dyDescent="0.25">
      <c r="Y5483" s="501"/>
    </row>
    <row r="5484" spans="25:25" hidden="1" x14ac:dyDescent="0.25">
      <c r="Y5484" s="501"/>
    </row>
    <row r="5485" spans="25:25" hidden="1" x14ac:dyDescent="0.25">
      <c r="Y5485" s="501"/>
    </row>
    <row r="5486" spans="25:25" hidden="1" x14ac:dyDescent="0.25">
      <c r="Y5486" s="501"/>
    </row>
    <row r="5487" spans="25:25" hidden="1" x14ac:dyDescent="0.25">
      <c r="Y5487" s="501"/>
    </row>
    <row r="5488" spans="25:25" hidden="1" x14ac:dyDescent="0.25">
      <c r="Y5488" s="501"/>
    </row>
    <row r="5489" spans="25:25" hidden="1" x14ac:dyDescent="0.25">
      <c r="Y5489" s="501"/>
    </row>
    <row r="5490" spans="25:25" hidden="1" x14ac:dyDescent="0.25">
      <c r="Y5490" s="501"/>
    </row>
    <row r="5491" spans="25:25" hidden="1" x14ac:dyDescent="0.25">
      <c r="Y5491" s="501"/>
    </row>
    <row r="5492" spans="25:25" hidden="1" x14ac:dyDescent="0.25">
      <c r="Y5492" s="501"/>
    </row>
    <row r="5493" spans="25:25" hidden="1" x14ac:dyDescent="0.25">
      <c r="Y5493" s="501"/>
    </row>
    <row r="5494" spans="25:25" hidden="1" x14ac:dyDescent="0.25">
      <c r="Y5494" s="501"/>
    </row>
    <row r="5495" spans="25:25" hidden="1" x14ac:dyDescent="0.25">
      <c r="Y5495" s="501"/>
    </row>
    <row r="5496" spans="25:25" hidden="1" x14ac:dyDescent="0.25">
      <c r="Y5496" s="501"/>
    </row>
    <row r="5497" spans="25:25" hidden="1" x14ac:dyDescent="0.25">
      <c r="Y5497" s="501"/>
    </row>
    <row r="5498" spans="25:25" hidden="1" x14ac:dyDescent="0.25">
      <c r="Y5498" s="501"/>
    </row>
    <row r="5499" spans="25:25" hidden="1" x14ac:dyDescent="0.25">
      <c r="Y5499" s="501"/>
    </row>
    <row r="5500" spans="25:25" hidden="1" x14ac:dyDescent="0.25">
      <c r="Y5500" s="501"/>
    </row>
    <row r="5501" spans="25:25" hidden="1" x14ac:dyDescent="0.25">
      <c r="Y5501" s="501"/>
    </row>
    <row r="5502" spans="25:25" hidden="1" x14ac:dyDescent="0.25">
      <c r="Y5502" s="501"/>
    </row>
    <row r="5503" spans="25:25" hidden="1" x14ac:dyDescent="0.25">
      <c r="Y5503" s="501"/>
    </row>
    <row r="5504" spans="25:25" hidden="1" x14ac:dyDescent="0.25">
      <c r="Y5504" s="501"/>
    </row>
    <row r="5505" spans="25:25" hidden="1" x14ac:dyDescent="0.25">
      <c r="Y5505" s="501"/>
    </row>
    <row r="5506" spans="25:25" hidden="1" x14ac:dyDescent="0.25">
      <c r="Y5506" s="501"/>
    </row>
    <row r="5507" spans="25:25" hidden="1" x14ac:dyDescent="0.25">
      <c r="Y5507" s="501"/>
    </row>
    <row r="5508" spans="25:25" hidden="1" x14ac:dyDescent="0.25">
      <c r="Y5508" s="501"/>
    </row>
    <row r="5509" spans="25:25" hidden="1" x14ac:dyDescent="0.25">
      <c r="Y5509" s="501"/>
    </row>
    <row r="5510" spans="25:25" hidden="1" x14ac:dyDescent="0.25">
      <c r="Y5510" s="501"/>
    </row>
    <row r="5511" spans="25:25" hidden="1" x14ac:dyDescent="0.25">
      <c r="Y5511" s="501"/>
    </row>
    <row r="5512" spans="25:25" hidden="1" x14ac:dyDescent="0.25">
      <c r="Y5512" s="501"/>
    </row>
    <row r="5513" spans="25:25" hidden="1" x14ac:dyDescent="0.25">
      <c r="Y5513" s="501"/>
    </row>
    <row r="5514" spans="25:25" hidden="1" x14ac:dyDescent="0.25">
      <c r="Y5514" s="501"/>
    </row>
    <row r="5515" spans="25:25" hidden="1" x14ac:dyDescent="0.25">
      <c r="Y5515" s="501"/>
    </row>
    <row r="5516" spans="25:25" hidden="1" x14ac:dyDescent="0.25">
      <c r="Y5516" s="501"/>
    </row>
    <row r="5517" spans="25:25" hidden="1" x14ac:dyDescent="0.25">
      <c r="Y5517" s="501"/>
    </row>
    <row r="5518" spans="25:25" hidden="1" x14ac:dyDescent="0.25">
      <c r="Y5518" s="501"/>
    </row>
    <row r="5519" spans="25:25" hidden="1" x14ac:dyDescent="0.25">
      <c r="Y5519" s="501"/>
    </row>
    <row r="5520" spans="25:25" hidden="1" x14ac:dyDescent="0.25">
      <c r="Y5520" s="501"/>
    </row>
    <row r="5521" spans="25:25" hidden="1" x14ac:dyDescent="0.25">
      <c r="Y5521" s="501"/>
    </row>
    <row r="5522" spans="25:25" hidden="1" x14ac:dyDescent="0.25">
      <c r="Y5522" s="501"/>
    </row>
    <row r="5523" spans="25:25" hidden="1" x14ac:dyDescent="0.25">
      <c r="Y5523" s="501"/>
    </row>
    <row r="5524" spans="25:25" hidden="1" x14ac:dyDescent="0.25">
      <c r="Y5524" s="501"/>
    </row>
    <row r="5525" spans="25:25" hidden="1" x14ac:dyDescent="0.25">
      <c r="Y5525" s="501"/>
    </row>
    <row r="5526" spans="25:25" hidden="1" x14ac:dyDescent="0.25">
      <c r="Y5526" s="501"/>
    </row>
    <row r="5527" spans="25:25" hidden="1" x14ac:dyDescent="0.25">
      <c r="Y5527" s="501"/>
    </row>
    <row r="5528" spans="25:25" hidden="1" x14ac:dyDescent="0.25">
      <c r="Y5528" s="501"/>
    </row>
    <row r="5529" spans="25:25" hidden="1" x14ac:dyDescent="0.25">
      <c r="Y5529" s="501"/>
    </row>
    <row r="5530" spans="25:25" hidden="1" x14ac:dyDescent="0.25">
      <c r="Y5530" s="501"/>
    </row>
    <row r="5531" spans="25:25" hidden="1" x14ac:dyDescent="0.25">
      <c r="Y5531" s="501"/>
    </row>
    <row r="5532" spans="25:25" hidden="1" x14ac:dyDescent="0.25">
      <c r="Y5532" s="501"/>
    </row>
    <row r="5533" spans="25:25" hidden="1" x14ac:dyDescent="0.25">
      <c r="Y5533" s="501"/>
    </row>
    <row r="5534" spans="25:25" hidden="1" x14ac:dyDescent="0.25">
      <c r="Y5534" s="501"/>
    </row>
    <row r="5535" spans="25:25" hidden="1" x14ac:dyDescent="0.25">
      <c r="Y5535" s="501"/>
    </row>
    <row r="5536" spans="25:25" hidden="1" x14ac:dyDescent="0.25">
      <c r="Y5536" s="501"/>
    </row>
    <row r="5537" spans="25:25" hidden="1" x14ac:dyDescent="0.25">
      <c r="Y5537" s="501"/>
    </row>
    <row r="5538" spans="25:25" hidden="1" x14ac:dyDescent="0.25">
      <c r="Y5538" s="501"/>
    </row>
    <row r="5539" spans="25:25" hidden="1" x14ac:dyDescent="0.25">
      <c r="Y5539" s="501"/>
    </row>
    <row r="5540" spans="25:25" hidden="1" x14ac:dyDescent="0.25">
      <c r="Y5540" s="501"/>
    </row>
    <row r="5541" spans="25:25" hidden="1" x14ac:dyDescent="0.25">
      <c r="Y5541" s="501"/>
    </row>
    <row r="5542" spans="25:25" hidden="1" x14ac:dyDescent="0.25">
      <c r="Y5542" s="501"/>
    </row>
    <row r="5543" spans="25:25" hidden="1" x14ac:dyDescent="0.25">
      <c r="Y5543" s="501"/>
    </row>
    <row r="5544" spans="25:25" hidden="1" x14ac:dyDescent="0.25">
      <c r="Y5544" s="501"/>
    </row>
    <row r="5545" spans="25:25" hidden="1" x14ac:dyDescent="0.25">
      <c r="Y5545" s="501"/>
    </row>
    <row r="5546" spans="25:25" hidden="1" x14ac:dyDescent="0.25">
      <c r="Y5546" s="501"/>
    </row>
    <row r="5547" spans="25:25" hidden="1" x14ac:dyDescent="0.25">
      <c r="Y5547" s="501"/>
    </row>
    <row r="5548" spans="25:25" hidden="1" x14ac:dyDescent="0.25">
      <c r="Y5548" s="501"/>
    </row>
    <row r="5549" spans="25:25" hidden="1" x14ac:dyDescent="0.25">
      <c r="Y5549" s="501"/>
    </row>
    <row r="5550" spans="25:25" hidden="1" x14ac:dyDescent="0.25">
      <c r="Y5550" s="501"/>
    </row>
    <row r="5551" spans="25:25" hidden="1" x14ac:dyDescent="0.25">
      <c r="Y5551" s="501"/>
    </row>
    <row r="5552" spans="25:25" hidden="1" x14ac:dyDescent="0.25">
      <c r="Y5552" s="501"/>
    </row>
    <row r="5553" spans="25:25" hidden="1" x14ac:dyDescent="0.25">
      <c r="Y5553" s="501"/>
    </row>
    <row r="5554" spans="25:25" hidden="1" x14ac:dyDescent="0.25">
      <c r="Y5554" s="501"/>
    </row>
    <row r="5555" spans="25:25" hidden="1" x14ac:dyDescent="0.25">
      <c r="Y5555" s="501"/>
    </row>
    <row r="5556" spans="25:25" hidden="1" x14ac:dyDescent="0.25">
      <c r="Y5556" s="501"/>
    </row>
    <row r="5557" spans="25:25" hidden="1" x14ac:dyDescent="0.25">
      <c r="Y5557" s="501"/>
    </row>
    <row r="5558" spans="25:25" hidden="1" x14ac:dyDescent="0.25">
      <c r="Y5558" s="501"/>
    </row>
    <row r="5559" spans="25:25" hidden="1" x14ac:dyDescent="0.25">
      <c r="Y5559" s="501"/>
    </row>
    <row r="5560" spans="25:25" hidden="1" x14ac:dyDescent="0.25">
      <c r="Y5560" s="501"/>
    </row>
    <row r="5561" spans="25:25" hidden="1" x14ac:dyDescent="0.25">
      <c r="Y5561" s="501"/>
    </row>
    <row r="5562" spans="25:25" hidden="1" x14ac:dyDescent="0.25">
      <c r="Y5562" s="501"/>
    </row>
    <row r="5563" spans="25:25" hidden="1" x14ac:dyDescent="0.25">
      <c r="Y5563" s="501"/>
    </row>
    <row r="5564" spans="25:25" hidden="1" x14ac:dyDescent="0.25">
      <c r="Y5564" s="501"/>
    </row>
    <row r="5565" spans="25:25" hidden="1" x14ac:dyDescent="0.25">
      <c r="Y5565" s="501"/>
    </row>
    <row r="5566" spans="25:25" hidden="1" x14ac:dyDescent="0.25">
      <c r="Y5566" s="501"/>
    </row>
    <row r="5567" spans="25:25" hidden="1" x14ac:dyDescent="0.25">
      <c r="Y5567" s="501"/>
    </row>
    <row r="5568" spans="25:25" hidden="1" x14ac:dyDescent="0.25">
      <c r="Y5568" s="501"/>
    </row>
    <row r="5569" spans="25:25" hidden="1" x14ac:dyDescent="0.25">
      <c r="Y5569" s="501"/>
    </row>
    <row r="5570" spans="25:25" hidden="1" x14ac:dyDescent="0.25">
      <c r="Y5570" s="501"/>
    </row>
    <row r="5571" spans="25:25" hidden="1" x14ac:dyDescent="0.25">
      <c r="Y5571" s="501"/>
    </row>
    <row r="5572" spans="25:25" hidden="1" x14ac:dyDescent="0.25">
      <c r="Y5572" s="501"/>
    </row>
    <row r="5573" spans="25:25" hidden="1" x14ac:dyDescent="0.25">
      <c r="Y5573" s="501"/>
    </row>
    <row r="5574" spans="25:25" hidden="1" x14ac:dyDescent="0.25">
      <c r="Y5574" s="501"/>
    </row>
    <row r="5575" spans="25:25" hidden="1" x14ac:dyDescent="0.25">
      <c r="Y5575" s="501"/>
    </row>
    <row r="5576" spans="25:25" hidden="1" x14ac:dyDescent="0.25">
      <c r="Y5576" s="501"/>
    </row>
    <row r="5577" spans="25:25" hidden="1" x14ac:dyDescent="0.25">
      <c r="Y5577" s="501"/>
    </row>
    <row r="5578" spans="25:25" hidden="1" x14ac:dyDescent="0.25">
      <c r="Y5578" s="501"/>
    </row>
    <row r="5579" spans="25:25" hidden="1" x14ac:dyDescent="0.25">
      <c r="Y5579" s="501"/>
    </row>
    <row r="5580" spans="25:25" hidden="1" x14ac:dyDescent="0.25">
      <c r="Y5580" s="501"/>
    </row>
    <row r="5581" spans="25:25" hidden="1" x14ac:dyDescent="0.25">
      <c r="Y5581" s="501"/>
    </row>
    <row r="5582" spans="25:25" hidden="1" x14ac:dyDescent="0.25">
      <c r="Y5582" s="501"/>
    </row>
    <row r="5583" spans="25:25" hidden="1" x14ac:dyDescent="0.25">
      <c r="Y5583" s="501"/>
    </row>
    <row r="5584" spans="25:25" hidden="1" x14ac:dyDescent="0.25">
      <c r="Y5584" s="501"/>
    </row>
    <row r="5585" spans="25:25" hidden="1" x14ac:dyDescent="0.25">
      <c r="Y5585" s="501"/>
    </row>
    <row r="5586" spans="25:25" hidden="1" x14ac:dyDescent="0.25">
      <c r="Y5586" s="501"/>
    </row>
    <row r="5587" spans="25:25" hidden="1" x14ac:dyDescent="0.25">
      <c r="Y5587" s="501"/>
    </row>
    <row r="5588" spans="25:25" hidden="1" x14ac:dyDescent="0.25">
      <c r="Y5588" s="501"/>
    </row>
    <row r="5589" spans="25:25" hidden="1" x14ac:dyDescent="0.25">
      <c r="Y5589" s="501"/>
    </row>
    <row r="5590" spans="25:25" hidden="1" x14ac:dyDescent="0.25">
      <c r="Y5590" s="501"/>
    </row>
    <row r="5591" spans="25:25" hidden="1" x14ac:dyDescent="0.25">
      <c r="Y5591" s="501"/>
    </row>
    <row r="5592" spans="25:25" hidden="1" x14ac:dyDescent="0.25">
      <c r="Y5592" s="501"/>
    </row>
    <row r="5593" spans="25:25" hidden="1" x14ac:dyDescent="0.25">
      <c r="Y5593" s="501"/>
    </row>
    <row r="5594" spans="25:25" hidden="1" x14ac:dyDescent="0.25">
      <c r="Y5594" s="501"/>
    </row>
    <row r="5595" spans="25:25" hidden="1" x14ac:dyDescent="0.25">
      <c r="Y5595" s="501"/>
    </row>
    <row r="5596" spans="25:25" hidden="1" x14ac:dyDescent="0.25">
      <c r="Y5596" s="501"/>
    </row>
    <row r="5597" spans="25:25" hidden="1" x14ac:dyDescent="0.25">
      <c r="Y5597" s="501"/>
    </row>
    <row r="5598" spans="25:25" hidden="1" x14ac:dyDescent="0.25">
      <c r="Y5598" s="501"/>
    </row>
    <row r="5599" spans="25:25" hidden="1" x14ac:dyDescent="0.25">
      <c r="Y5599" s="501"/>
    </row>
    <row r="5600" spans="25:25" hidden="1" x14ac:dyDescent="0.25">
      <c r="Y5600" s="501"/>
    </row>
    <row r="5601" spans="25:25" hidden="1" x14ac:dyDescent="0.25">
      <c r="Y5601" s="501"/>
    </row>
    <row r="5602" spans="25:25" hidden="1" x14ac:dyDescent="0.25">
      <c r="Y5602" s="501"/>
    </row>
    <row r="5603" spans="25:25" hidden="1" x14ac:dyDescent="0.25">
      <c r="Y5603" s="501"/>
    </row>
    <row r="5604" spans="25:25" hidden="1" x14ac:dyDescent="0.25">
      <c r="Y5604" s="501"/>
    </row>
    <row r="5605" spans="25:25" hidden="1" x14ac:dyDescent="0.25">
      <c r="Y5605" s="501"/>
    </row>
    <row r="5606" spans="25:25" hidden="1" x14ac:dyDescent="0.25">
      <c r="Y5606" s="501"/>
    </row>
    <row r="5607" spans="25:25" hidden="1" x14ac:dyDescent="0.25">
      <c r="Y5607" s="501"/>
    </row>
    <row r="5608" spans="25:25" hidden="1" x14ac:dyDescent="0.25">
      <c r="Y5608" s="501"/>
    </row>
    <row r="5609" spans="25:25" hidden="1" x14ac:dyDescent="0.25">
      <c r="Y5609" s="501"/>
    </row>
    <row r="5610" spans="25:25" hidden="1" x14ac:dyDescent="0.25">
      <c r="Y5610" s="501"/>
    </row>
    <row r="5611" spans="25:25" hidden="1" x14ac:dyDescent="0.25">
      <c r="Y5611" s="501"/>
    </row>
    <row r="5612" spans="25:25" hidden="1" x14ac:dyDescent="0.25">
      <c r="Y5612" s="501"/>
    </row>
    <row r="5613" spans="25:25" hidden="1" x14ac:dyDescent="0.25">
      <c r="Y5613" s="501"/>
    </row>
    <row r="5614" spans="25:25" hidden="1" x14ac:dyDescent="0.25">
      <c r="Y5614" s="501"/>
    </row>
    <row r="5615" spans="25:25" hidden="1" x14ac:dyDescent="0.25">
      <c r="Y5615" s="501"/>
    </row>
    <row r="5616" spans="25:25" hidden="1" x14ac:dyDescent="0.25">
      <c r="Y5616" s="501"/>
    </row>
    <row r="5617" spans="25:25" hidden="1" x14ac:dyDescent="0.25">
      <c r="Y5617" s="501"/>
    </row>
    <row r="5618" spans="25:25" hidden="1" x14ac:dyDescent="0.25">
      <c r="Y5618" s="501"/>
    </row>
    <row r="5619" spans="25:25" hidden="1" x14ac:dyDescent="0.25">
      <c r="Y5619" s="501"/>
    </row>
    <row r="5620" spans="25:25" hidden="1" x14ac:dyDescent="0.25">
      <c r="Y5620" s="501"/>
    </row>
    <row r="5621" spans="25:25" hidden="1" x14ac:dyDescent="0.25">
      <c r="Y5621" s="501"/>
    </row>
    <row r="5622" spans="25:25" hidden="1" x14ac:dyDescent="0.25">
      <c r="Y5622" s="501"/>
    </row>
    <row r="5623" spans="25:25" hidden="1" x14ac:dyDescent="0.25">
      <c r="Y5623" s="501"/>
    </row>
    <row r="5624" spans="25:25" hidden="1" x14ac:dyDescent="0.25">
      <c r="Y5624" s="501"/>
    </row>
    <row r="5625" spans="25:25" hidden="1" x14ac:dyDescent="0.25">
      <c r="Y5625" s="501"/>
    </row>
    <row r="5626" spans="25:25" hidden="1" x14ac:dyDescent="0.25">
      <c r="Y5626" s="501"/>
    </row>
    <row r="5627" spans="25:25" hidden="1" x14ac:dyDescent="0.25">
      <c r="Y5627" s="501"/>
    </row>
    <row r="5628" spans="25:25" hidden="1" x14ac:dyDescent="0.25">
      <c r="Y5628" s="501"/>
    </row>
    <row r="5629" spans="25:25" hidden="1" x14ac:dyDescent="0.25">
      <c r="Y5629" s="501"/>
    </row>
    <row r="5630" spans="25:25" hidden="1" x14ac:dyDescent="0.25">
      <c r="Y5630" s="501"/>
    </row>
    <row r="5631" spans="25:25" hidden="1" x14ac:dyDescent="0.25">
      <c r="Y5631" s="501"/>
    </row>
    <row r="5632" spans="25:25" hidden="1" x14ac:dyDescent="0.25">
      <c r="Y5632" s="501"/>
    </row>
    <row r="5633" spans="25:25" hidden="1" x14ac:dyDescent="0.25">
      <c r="Y5633" s="501"/>
    </row>
    <row r="5634" spans="25:25" hidden="1" x14ac:dyDescent="0.25">
      <c r="Y5634" s="501"/>
    </row>
    <row r="5635" spans="25:25" hidden="1" x14ac:dyDescent="0.25">
      <c r="Y5635" s="501"/>
    </row>
    <row r="5636" spans="25:25" hidden="1" x14ac:dyDescent="0.25">
      <c r="Y5636" s="501"/>
    </row>
    <row r="5637" spans="25:25" hidden="1" x14ac:dyDescent="0.25">
      <c r="Y5637" s="501"/>
    </row>
    <row r="5638" spans="25:25" hidden="1" x14ac:dyDescent="0.25">
      <c r="Y5638" s="501"/>
    </row>
    <row r="5639" spans="25:25" hidden="1" x14ac:dyDescent="0.25">
      <c r="Y5639" s="501"/>
    </row>
    <row r="5640" spans="25:25" hidden="1" x14ac:dyDescent="0.25">
      <c r="Y5640" s="501"/>
    </row>
    <row r="5641" spans="25:25" hidden="1" x14ac:dyDescent="0.25">
      <c r="Y5641" s="501"/>
    </row>
    <row r="5642" spans="25:25" hidden="1" x14ac:dyDescent="0.25">
      <c r="Y5642" s="501"/>
    </row>
    <row r="5643" spans="25:25" hidden="1" x14ac:dyDescent="0.25">
      <c r="Y5643" s="501"/>
    </row>
    <row r="5644" spans="25:25" hidden="1" x14ac:dyDescent="0.25">
      <c r="Y5644" s="501"/>
    </row>
    <row r="5645" spans="25:25" hidden="1" x14ac:dyDescent="0.25">
      <c r="Y5645" s="501"/>
    </row>
    <row r="5646" spans="25:25" hidden="1" x14ac:dyDescent="0.25">
      <c r="Y5646" s="501"/>
    </row>
    <row r="5647" spans="25:25" hidden="1" x14ac:dyDescent="0.25">
      <c r="Y5647" s="501"/>
    </row>
    <row r="5648" spans="25:25" hidden="1" x14ac:dyDescent="0.25">
      <c r="Y5648" s="501"/>
    </row>
    <row r="5649" spans="25:25" hidden="1" x14ac:dyDescent="0.25">
      <c r="Y5649" s="501"/>
    </row>
    <row r="5650" spans="25:25" hidden="1" x14ac:dyDescent="0.25">
      <c r="Y5650" s="501"/>
    </row>
    <row r="5651" spans="25:25" hidden="1" x14ac:dyDescent="0.25">
      <c r="Y5651" s="501"/>
    </row>
    <row r="5652" spans="25:25" hidden="1" x14ac:dyDescent="0.25">
      <c r="Y5652" s="501"/>
    </row>
    <row r="5653" spans="25:25" hidden="1" x14ac:dyDescent="0.25">
      <c r="Y5653" s="501"/>
    </row>
    <row r="5654" spans="25:25" hidden="1" x14ac:dyDescent="0.25">
      <c r="Y5654" s="501"/>
    </row>
    <row r="5655" spans="25:25" hidden="1" x14ac:dyDescent="0.25">
      <c r="Y5655" s="501"/>
    </row>
    <row r="5656" spans="25:25" hidden="1" x14ac:dyDescent="0.25">
      <c r="Y5656" s="501"/>
    </row>
    <row r="5657" spans="25:25" hidden="1" x14ac:dyDescent="0.25">
      <c r="Y5657" s="501"/>
    </row>
    <row r="5658" spans="25:25" hidden="1" x14ac:dyDescent="0.25">
      <c r="Y5658" s="501"/>
    </row>
    <row r="5659" spans="25:25" hidden="1" x14ac:dyDescent="0.25">
      <c r="Y5659" s="501"/>
    </row>
    <row r="5660" spans="25:25" hidden="1" x14ac:dyDescent="0.25">
      <c r="Y5660" s="501"/>
    </row>
    <row r="5661" spans="25:25" hidden="1" x14ac:dyDescent="0.25">
      <c r="Y5661" s="501"/>
    </row>
    <row r="5662" spans="25:25" hidden="1" x14ac:dyDescent="0.25">
      <c r="Y5662" s="501"/>
    </row>
    <row r="5663" spans="25:25" hidden="1" x14ac:dyDescent="0.25">
      <c r="Y5663" s="501"/>
    </row>
    <row r="5664" spans="25:25" hidden="1" x14ac:dyDescent="0.25">
      <c r="Y5664" s="501"/>
    </row>
    <row r="5665" spans="25:25" hidden="1" x14ac:dyDescent="0.25">
      <c r="Y5665" s="501"/>
    </row>
    <row r="5666" spans="25:25" hidden="1" x14ac:dyDescent="0.25">
      <c r="Y5666" s="501"/>
    </row>
    <row r="5667" spans="25:25" hidden="1" x14ac:dyDescent="0.25">
      <c r="Y5667" s="501"/>
    </row>
    <row r="5668" spans="25:25" hidden="1" x14ac:dyDescent="0.25">
      <c r="Y5668" s="501"/>
    </row>
    <row r="5669" spans="25:25" hidden="1" x14ac:dyDescent="0.25">
      <c r="Y5669" s="501"/>
    </row>
    <row r="5670" spans="25:25" hidden="1" x14ac:dyDescent="0.25">
      <c r="Y5670" s="501"/>
    </row>
    <row r="5671" spans="25:25" hidden="1" x14ac:dyDescent="0.25">
      <c r="Y5671" s="501"/>
    </row>
    <row r="5672" spans="25:25" hidden="1" x14ac:dyDescent="0.25">
      <c r="Y5672" s="501"/>
    </row>
    <row r="5673" spans="25:25" hidden="1" x14ac:dyDescent="0.25">
      <c r="Y5673" s="501"/>
    </row>
    <row r="5674" spans="25:25" hidden="1" x14ac:dyDescent="0.25">
      <c r="Y5674" s="501"/>
    </row>
    <row r="5675" spans="25:25" hidden="1" x14ac:dyDescent="0.25">
      <c r="Y5675" s="501"/>
    </row>
    <row r="5676" spans="25:25" hidden="1" x14ac:dyDescent="0.25">
      <c r="Y5676" s="501"/>
    </row>
    <row r="5677" spans="25:25" hidden="1" x14ac:dyDescent="0.25">
      <c r="Y5677" s="501"/>
    </row>
    <row r="5678" spans="25:25" hidden="1" x14ac:dyDescent="0.25">
      <c r="Y5678" s="501"/>
    </row>
    <row r="5679" spans="25:25" hidden="1" x14ac:dyDescent="0.25">
      <c r="Y5679" s="501"/>
    </row>
    <row r="5680" spans="25:25" hidden="1" x14ac:dyDescent="0.25">
      <c r="Y5680" s="501"/>
    </row>
    <row r="5681" spans="25:25" hidden="1" x14ac:dyDescent="0.25">
      <c r="Y5681" s="501"/>
    </row>
    <row r="5682" spans="25:25" hidden="1" x14ac:dyDescent="0.25">
      <c r="Y5682" s="501"/>
    </row>
    <row r="5683" spans="25:25" hidden="1" x14ac:dyDescent="0.25">
      <c r="Y5683" s="501"/>
    </row>
    <row r="5684" spans="25:25" hidden="1" x14ac:dyDescent="0.25">
      <c r="Y5684" s="501"/>
    </row>
    <row r="5685" spans="25:25" hidden="1" x14ac:dyDescent="0.25">
      <c r="Y5685" s="501"/>
    </row>
    <row r="5686" spans="25:25" hidden="1" x14ac:dyDescent="0.25">
      <c r="Y5686" s="501"/>
    </row>
    <row r="5687" spans="25:25" hidden="1" x14ac:dyDescent="0.25">
      <c r="Y5687" s="501"/>
    </row>
    <row r="5688" spans="25:25" hidden="1" x14ac:dyDescent="0.25">
      <c r="Y5688" s="501"/>
    </row>
    <row r="5689" spans="25:25" hidden="1" x14ac:dyDescent="0.25">
      <c r="Y5689" s="501"/>
    </row>
    <row r="5690" spans="25:25" hidden="1" x14ac:dyDescent="0.25">
      <c r="Y5690" s="501"/>
    </row>
    <row r="5691" spans="25:25" hidden="1" x14ac:dyDescent="0.25">
      <c r="Y5691" s="501"/>
    </row>
    <row r="5692" spans="25:25" hidden="1" x14ac:dyDescent="0.25">
      <c r="Y5692" s="501"/>
    </row>
    <row r="5693" spans="25:25" hidden="1" x14ac:dyDescent="0.25">
      <c r="Y5693" s="501"/>
    </row>
    <row r="5694" spans="25:25" hidden="1" x14ac:dyDescent="0.25">
      <c r="Y5694" s="501"/>
    </row>
    <row r="5695" spans="25:25" hidden="1" x14ac:dyDescent="0.25">
      <c r="Y5695" s="501"/>
    </row>
    <row r="5696" spans="25:25" hidden="1" x14ac:dyDescent="0.25">
      <c r="Y5696" s="501"/>
    </row>
    <row r="5697" spans="25:25" hidden="1" x14ac:dyDescent="0.25">
      <c r="Y5697" s="501"/>
    </row>
    <row r="5698" spans="25:25" hidden="1" x14ac:dyDescent="0.25">
      <c r="Y5698" s="501"/>
    </row>
    <row r="5699" spans="25:25" hidden="1" x14ac:dyDescent="0.25">
      <c r="Y5699" s="501"/>
    </row>
    <row r="5700" spans="25:25" hidden="1" x14ac:dyDescent="0.25">
      <c r="Y5700" s="501"/>
    </row>
    <row r="5701" spans="25:25" hidden="1" x14ac:dyDescent="0.25">
      <c r="Y5701" s="501"/>
    </row>
    <row r="5702" spans="25:25" hidden="1" x14ac:dyDescent="0.25">
      <c r="Y5702" s="501"/>
    </row>
    <row r="5703" spans="25:25" hidden="1" x14ac:dyDescent="0.25">
      <c r="Y5703" s="501"/>
    </row>
    <row r="5704" spans="25:25" hidden="1" x14ac:dyDescent="0.25">
      <c r="Y5704" s="501"/>
    </row>
    <row r="5705" spans="25:25" hidden="1" x14ac:dyDescent="0.25">
      <c r="Y5705" s="501"/>
    </row>
    <row r="5706" spans="25:25" hidden="1" x14ac:dyDescent="0.25">
      <c r="Y5706" s="501"/>
    </row>
    <row r="5707" spans="25:25" hidden="1" x14ac:dyDescent="0.25">
      <c r="Y5707" s="501"/>
    </row>
    <row r="5708" spans="25:25" hidden="1" x14ac:dyDescent="0.25">
      <c r="Y5708" s="501"/>
    </row>
    <row r="5709" spans="25:25" hidden="1" x14ac:dyDescent="0.25">
      <c r="Y5709" s="501"/>
    </row>
    <row r="5710" spans="25:25" hidden="1" x14ac:dyDescent="0.25">
      <c r="Y5710" s="501"/>
    </row>
    <row r="5711" spans="25:25" hidden="1" x14ac:dyDescent="0.25">
      <c r="Y5711" s="501"/>
    </row>
    <row r="5712" spans="25:25" hidden="1" x14ac:dyDescent="0.25">
      <c r="Y5712" s="501"/>
    </row>
    <row r="5713" spans="25:25" hidden="1" x14ac:dyDescent="0.25">
      <c r="Y5713" s="501"/>
    </row>
    <row r="5714" spans="25:25" hidden="1" x14ac:dyDescent="0.25">
      <c r="Y5714" s="501"/>
    </row>
    <row r="5715" spans="25:25" hidden="1" x14ac:dyDescent="0.25">
      <c r="Y5715" s="501"/>
    </row>
    <row r="5716" spans="25:25" hidden="1" x14ac:dyDescent="0.25">
      <c r="Y5716" s="501"/>
    </row>
    <row r="5717" spans="25:25" hidden="1" x14ac:dyDescent="0.25">
      <c r="Y5717" s="501"/>
    </row>
    <row r="5718" spans="25:25" hidden="1" x14ac:dyDescent="0.25">
      <c r="Y5718" s="501"/>
    </row>
    <row r="5719" spans="25:25" hidden="1" x14ac:dyDescent="0.25">
      <c r="Y5719" s="501"/>
    </row>
    <row r="5720" spans="25:25" hidden="1" x14ac:dyDescent="0.25">
      <c r="Y5720" s="501"/>
    </row>
    <row r="5721" spans="25:25" hidden="1" x14ac:dyDescent="0.25">
      <c r="Y5721" s="501"/>
    </row>
    <row r="5722" spans="25:25" hidden="1" x14ac:dyDescent="0.25">
      <c r="Y5722" s="501"/>
    </row>
    <row r="5723" spans="25:25" hidden="1" x14ac:dyDescent="0.25">
      <c r="Y5723" s="501"/>
    </row>
    <row r="5724" spans="25:25" hidden="1" x14ac:dyDescent="0.25">
      <c r="Y5724" s="501"/>
    </row>
    <row r="5725" spans="25:25" hidden="1" x14ac:dyDescent="0.25">
      <c r="Y5725" s="501"/>
    </row>
    <row r="5726" spans="25:25" hidden="1" x14ac:dyDescent="0.25">
      <c r="Y5726" s="501"/>
    </row>
    <row r="5727" spans="25:25" hidden="1" x14ac:dyDescent="0.25">
      <c r="Y5727" s="501"/>
    </row>
    <row r="5728" spans="25:25" hidden="1" x14ac:dyDescent="0.25">
      <c r="Y5728" s="501"/>
    </row>
    <row r="5729" spans="25:25" hidden="1" x14ac:dyDescent="0.25">
      <c r="Y5729" s="501"/>
    </row>
    <row r="5730" spans="25:25" hidden="1" x14ac:dyDescent="0.25">
      <c r="Y5730" s="501"/>
    </row>
    <row r="5731" spans="25:25" hidden="1" x14ac:dyDescent="0.25">
      <c r="Y5731" s="501"/>
    </row>
    <row r="5732" spans="25:25" hidden="1" x14ac:dyDescent="0.25">
      <c r="Y5732" s="501"/>
    </row>
    <row r="5733" spans="25:25" hidden="1" x14ac:dyDescent="0.25">
      <c r="Y5733" s="501"/>
    </row>
    <row r="5734" spans="25:25" hidden="1" x14ac:dyDescent="0.25">
      <c r="Y5734" s="501"/>
    </row>
    <row r="5735" spans="25:25" hidden="1" x14ac:dyDescent="0.25">
      <c r="Y5735" s="501"/>
    </row>
    <row r="5736" spans="25:25" hidden="1" x14ac:dyDescent="0.25">
      <c r="Y5736" s="501"/>
    </row>
    <row r="5737" spans="25:25" hidden="1" x14ac:dyDescent="0.25">
      <c r="Y5737" s="501"/>
    </row>
    <row r="5738" spans="25:25" hidden="1" x14ac:dyDescent="0.25">
      <c r="Y5738" s="501"/>
    </row>
    <row r="5739" spans="25:25" hidden="1" x14ac:dyDescent="0.25">
      <c r="Y5739" s="501"/>
    </row>
    <row r="5740" spans="25:25" hidden="1" x14ac:dyDescent="0.25">
      <c r="Y5740" s="501"/>
    </row>
    <row r="5741" spans="25:25" hidden="1" x14ac:dyDescent="0.25">
      <c r="Y5741" s="501"/>
    </row>
    <row r="5742" spans="25:25" hidden="1" x14ac:dyDescent="0.25">
      <c r="Y5742" s="501"/>
    </row>
    <row r="5743" spans="25:25" hidden="1" x14ac:dyDescent="0.25">
      <c r="Y5743" s="501"/>
    </row>
    <row r="5744" spans="25:25" hidden="1" x14ac:dyDescent="0.25">
      <c r="Y5744" s="501"/>
    </row>
    <row r="5745" spans="25:25" hidden="1" x14ac:dyDescent="0.25">
      <c r="Y5745" s="501"/>
    </row>
    <row r="5746" spans="25:25" hidden="1" x14ac:dyDescent="0.25">
      <c r="Y5746" s="501"/>
    </row>
    <row r="5747" spans="25:25" hidden="1" x14ac:dyDescent="0.25">
      <c r="Y5747" s="501"/>
    </row>
    <row r="5748" spans="25:25" hidden="1" x14ac:dyDescent="0.25">
      <c r="Y5748" s="501"/>
    </row>
    <row r="5749" spans="25:25" hidden="1" x14ac:dyDescent="0.25">
      <c r="Y5749" s="501"/>
    </row>
    <row r="5750" spans="25:25" hidden="1" x14ac:dyDescent="0.25">
      <c r="Y5750" s="501"/>
    </row>
    <row r="5751" spans="25:25" hidden="1" x14ac:dyDescent="0.25">
      <c r="Y5751" s="501"/>
    </row>
    <row r="5752" spans="25:25" hidden="1" x14ac:dyDescent="0.25">
      <c r="Y5752" s="501"/>
    </row>
    <row r="5753" spans="25:25" hidden="1" x14ac:dyDescent="0.25">
      <c r="Y5753" s="501"/>
    </row>
    <row r="5754" spans="25:25" hidden="1" x14ac:dyDescent="0.25">
      <c r="Y5754" s="501"/>
    </row>
    <row r="5755" spans="25:25" hidden="1" x14ac:dyDescent="0.25">
      <c r="Y5755" s="501"/>
    </row>
    <row r="5756" spans="25:25" hidden="1" x14ac:dyDescent="0.25">
      <c r="Y5756" s="501"/>
    </row>
    <row r="5757" spans="25:25" hidden="1" x14ac:dyDescent="0.25">
      <c r="Y5757" s="501"/>
    </row>
    <row r="5758" spans="25:25" hidden="1" x14ac:dyDescent="0.25">
      <c r="Y5758" s="501"/>
    </row>
    <row r="5759" spans="25:25" hidden="1" x14ac:dyDescent="0.25">
      <c r="Y5759" s="501"/>
    </row>
    <row r="5760" spans="25:25" hidden="1" x14ac:dyDescent="0.25">
      <c r="Y5760" s="501"/>
    </row>
    <row r="5761" spans="25:25" hidden="1" x14ac:dyDescent="0.25">
      <c r="Y5761" s="501"/>
    </row>
    <row r="5762" spans="25:25" hidden="1" x14ac:dyDescent="0.25">
      <c r="Y5762" s="501"/>
    </row>
    <row r="5763" spans="25:25" hidden="1" x14ac:dyDescent="0.25">
      <c r="Y5763" s="501"/>
    </row>
    <row r="5764" spans="25:25" hidden="1" x14ac:dyDescent="0.25">
      <c r="Y5764" s="501"/>
    </row>
    <row r="5765" spans="25:25" hidden="1" x14ac:dyDescent="0.25">
      <c r="Y5765" s="501"/>
    </row>
    <row r="5766" spans="25:25" hidden="1" x14ac:dyDescent="0.25">
      <c r="Y5766" s="501"/>
    </row>
    <row r="5767" spans="25:25" hidden="1" x14ac:dyDescent="0.25">
      <c r="Y5767" s="501"/>
    </row>
    <row r="5768" spans="25:25" hidden="1" x14ac:dyDescent="0.25">
      <c r="Y5768" s="501"/>
    </row>
    <row r="5769" spans="25:25" hidden="1" x14ac:dyDescent="0.25">
      <c r="Y5769" s="501"/>
    </row>
    <row r="5770" spans="25:25" hidden="1" x14ac:dyDescent="0.25">
      <c r="Y5770" s="501"/>
    </row>
    <row r="5771" spans="25:25" hidden="1" x14ac:dyDescent="0.25">
      <c r="Y5771" s="501"/>
    </row>
    <row r="5772" spans="25:25" hidden="1" x14ac:dyDescent="0.25">
      <c r="Y5772" s="501"/>
    </row>
    <row r="5773" spans="25:25" hidden="1" x14ac:dyDescent="0.25">
      <c r="Y5773" s="501"/>
    </row>
    <row r="5774" spans="25:25" hidden="1" x14ac:dyDescent="0.25">
      <c r="Y5774" s="501"/>
    </row>
    <row r="5775" spans="25:25" hidden="1" x14ac:dyDescent="0.25">
      <c r="Y5775" s="501"/>
    </row>
    <row r="5776" spans="25:25" hidden="1" x14ac:dyDescent="0.25">
      <c r="Y5776" s="501"/>
    </row>
    <row r="5777" spans="25:25" hidden="1" x14ac:dyDescent="0.25">
      <c r="Y5777" s="501"/>
    </row>
    <row r="5778" spans="25:25" hidden="1" x14ac:dyDescent="0.25">
      <c r="Y5778" s="501"/>
    </row>
    <row r="5779" spans="25:25" hidden="1" x14ac:dyDescent="0.25">
      <c r="Y5779" s="501"/>
    </row>
    <row r="5780" spans="25:25" hidden="1" x14ac:dyDescent="0.25">
      <c r="Y5780" s="501"/>
    </row>
    <row r="5781" spans="25:25" hidden="1" x14ac:dyDescent="0.25">
      <c r="Y5781" s="501"/>
    </row>
    <row r="5782" spans="25:25" hidden="1" x14ac:dyDescent="0.25">
      <c r="Y5782" s="501"/>
    </row>
    <row r="5783" spans="25:25" hidden="1" x14ac:dyDescent="0.25">
      <c r="Y5783" s="501"/>
    </row>
    <row r="5784" spans="25:25" hidden="1" x14ac:dyDescent="0.25">
      <c r="Y5784" s="501"/>
    </row>
    <row r="5785" spans="25:25" hidden="1" x14ac:dyDescent="0.25">
      <c r="Y5785" s="501"/>
    </row>
    <row r="5786" spans="25:25" hidden="1" x14ac:dyDescent="0.25">
      <c r="Y5786" s="501"/>
    </row>
    <row r="5787" spans="25:25" hidden="1" x14ac:dyDescent="0.25">
      <c r="Y5787" s="501"/>
    </row>
    <row r="5788" spans="25:25" hidden="1" x14ac:dyDescent="0.25">
      <c r="Y5788" s="501"/>
    </row>
    <row r="5789" spans="25:25" hidden="1" x14ac:dyDescent="0.25">
      <c r="Y5789" s="501"/>
    </row>
    <row r="5790" spans="25:25" hidden="1" x14ac:dyDescent="0.25">
      <c r="Y5790" s="501"/>
    </row>
    <row r="5791" spans="25:25" hidden="1" x14ac:dyDescent="0.25">
      <c r="Y5791" s="501"/>
    </row>
    <row r="5792" spans="25:25" hidden="1" x14ac:dyDescent="0.25">
      <c r="Y5792" s="501"/>
    </row>
    <row r="5793" spans="25:25" hidden="1" x14ac:dyDescent="0.25">
      <c r="Y5793" s="501"/>
    </row>
    <row r="5794" spans="25:25" hidden="1" x14ac:dyDescent="0.25">
      <c r="Y5794" s="501"/>
    </row>
    <row r="5795" spans="25:25" hidden="1" x14ac:dyDescent="0.25">
      <c r="Y5795" s="501"/>
    </row>
    <row r="5796" spans="25:25" hidden="1" x14ac:dyDescent="0.25">
      <c r="Y5796" s="501"/>
    </row>
    <row r="5797" spans="25:25" hidden="1" x14ac:dyDescent="0.25">
      <c r="Y5797" s="501"/>
    </row>
    <row r="5798" spans="25:25" hidden="1" x14ac:dyDescent="0.25">
      <c r="Y5798" s="501"/>
    </row>
    <row r="5799" spans="25:25" hidden="1" x14ac:dyDescent="0.25">
      <c r="Y5799" s="501"/>
    </row>
    <row r="5800" spans="25:25" hidden="1" x14ac:dyDescent="0.25">
      <c r="Y5800" s="501"/>
    </row>
    <row r="5801" spans="25:25" hidden="1" x14ac:dyDescent="0.25">
      <c r="Y5801" s="501"/>
    </row>
    <row r="5802" spans="25:25" hidden="1" x14ac:dyDescent="0.25">
      <c r="Y5802" s="501"/>
    </row>
    <row r="5803" spans="25:25" hidden="1" x14ac:dyDescent="0.25">
      <c r="Y5803" s="501"/>
    </row>
    <row r="5804" spans="25:25" hidden="1" x14ac:dyDescent="0.25">
      <c r="Y5804" s="501"/>
    </row>
    <row r="5805" spans="25:25" hidden="1" x14ac:dyDescent="0.25">
      <c r="Y5805" s="501"/>
    </row>
    <row r="5806" spans="25:25" hidden="1" x14ac:dyDescent="0.25">
      <c r="Y5806" s="501"/>
    </row>
    <row r="5807" spans="25:25" hidden="1" x14ac:dyDescent="0.25">
      <c r="Y5807" s="501"/>
    </row>
    <row r="5808" spans="25:25" hidden="1" x14ac:dyDescent="0.25">
      <c r="Y5808" s="501"/>
    </row>
    <row r="5809" spans="25:25" hidden="1" x14ac:dyDescent="0.25">
      <c r="Y5809" s="501"/>
    </row>
    <row r="5810" spans="25:25" hidden="1" x14ac:dyDescent="0.25">
      <c r="Y5810" s="501"/>
    </row>
    <row r="5811" spans="25:25" hidden="1" x14ac:dyDescent="0.25">
      <c r="Y5811" s="501"/>
    </row>
    <row r="5812" spans="25:25" hidden="1" x14ac:dyDescent="0.25">
      <c r="Y5812" s="501"/>
    </row>
    <row r="5813" spans="25:25" hidden="1" x14ac:dyDescent="0.25">
      <c r="Y5813" s="501"/>
    </row>
    <row r="5814" spans="25:25" hidden="1" x14ac:dyDescent="0.25">
      <c r="Y5814" s="501"/>
    </row>
    <row r="5815" spans="25:25" hidden="1" x14ac:dyDescent="0.25">
      <c r="Y5815" s="501"/>
    </row>
    <row r="5816" spans="25:25" hidden="1" x14ac:dyDescent="0.25">
      <c r="Y5816" s="501"/>
    </row>
    <row r="5817" spans="25:25" hidden="1" x14ac:dyDescent="0.25">
      <c r="Y5817" s="501"/>
    </row>
    <row r="5818" spans="25:25" hidden="1" x14ac:dyDescent="0.25">
      <c r="Y5818" s="501"/>
    </row>
    <row r="5819" spans="25:25" hidden="1" x14ac:dyDescent="0.25">
      <c r="Y5819" s="501"/>
    </row>
    <row r="5820" spans="25:25" hidden="1" x14ac:dyDescent="0.25">
      <c r="Y5820" s="501"/>
    </row>
    <row r="5821" spans="25:25" hidden="1" x14ac:dyDescent="0.25">
      <c r="Y5821" s="501"/>
    </row>
    <row r="5822" spans="25:25" hidden="1" x14ac:dyDescent="0.25">
      <c r="Y5822" s="501"/>
    </row>
    <row r="5823" spans="25:25" hidden="1" x14ac:dyDescent="0.25">
      <c r="Y5823" s="501"/>
    </row>
    <row r="5824" spans="25:25" hidden="1" x14ac:dyDescent="0.25">
      <c r="Y5824" s="501"/>
    </row>
    <row r="5825" spans="25:25" hidden="1" x14ac:dyDescent="0.25">
      <c r="Y5825" s="501"/>
    </row>
    <row r="5826" spans="25:25" hidden="1" x14ac:dyDescent="0.25">
      <c r="Y5826" s="501"/>
    </row>
    <row r="5827" spans="25:25" hidden="1" x14ac:dyDescent="0.25">
      <c r="Y5827" s="501"/>
    </row>
    <row r="5828" spans="25:25" hidden="1" x14ac:dyDescent="0.25">
      <c r="Y5828" s="501"/>
    </row>
    <row r="5829" spans="25:25" hidden="1" x14ac:dyDescent="0.25">
      <c r="Y5829" s="501"/>
    </row>
    <row r="5830" spans="25:25" hidden="1" x14ac:dyDescent="0.25">
      <c r="Y5830" s="501"/>
    </row>
    <row r="5831" spans="25:25" hidden="1" x14ac:dyDescent="0.25">
      <c r="Y5831" s="501"/>
    </row>
    <row r="5832" spans="25:25" hidden="1" x14ac:dyDescent="0.25">
      <c r="Y5832" s="501"/>
    </row>
    <row r="5833" spans="25:25" hidden="1" x14ac:dyDescent="0.25">
      <c r="Y5833" s="501"/>
    </row>
    <row r="5834" spans="25:25" hidden="1" x14ac:dyDescent="0.25">
      <c r="Y5834" s="501"/>
    </row>
    <row r="5835" spans="25:25" hidden="1" x14ac:dyDescent="0.25">
      <c r="Y5835" s="501"/>
    </row>
    <row r="5836" spans="25:25" hidden="1" x14ac:dyDescent="0.25">
      <c r="Y5836" s="501"/>
    </row>
    <row r="5837" spans="25:25" hidden="1" x14ac:dyDescent="0.25">
      <c r="Y5837" s="501"/>
    </row>
    <row r="5838" spans="25:25" hidden="1" x14ac:dyDescent="0.25">
      <c r="Y5838" s="501"/>
    </row>
    <row r="5839" spans="25:25" hidden="1" x14ac:dyDescent="0.25">
      <c r="Y5839" s="501"/>
    </row>
    <row r="5840" spans="25:25" hidden="1" x14ac:dyDescent="0.25">
      <c r="Y5840" s="501"/>
    </row>
    <row r="5841" spans="25:25" hidden="1" x14ac:dyDescent="0.25">
      <c r="Y5841" s="501"/>
    </row>
    <row r="5842" spans="25:25" hidden="1" x14ac:dyDescent="0.25">
      <c r="Y5842" s="501"/>
    </row>
    <row r="5843" spans="25:25" hidden="1" x14ac:dyDescent="0.25">
      <c r="Y5843" s="501"/>
    </row>
    <row r="5844" spans="25:25" hidden="1" x14ac:dyDescent="0.25">
      <c r="Y5844" s="501"/>
    </row>
    <row r="5845" spans="25:25" hidden="1" x14ac:dyDescent="0.25">
      <c r="Y5845" s="501"/>
    </row>
    <row r="5846" spans="25:25" hidden="1" x14ac:dyDescent="0.25">
      <c r="Y5846" s="501"/>
    </row>
    <row r="5847" spans="25:25" hidden="1" x14ac:dyDescent="0.25">
      <c r="Y5847" s="501"/>
    </row>
    <row r="5848" spans="25:25" hidden="1" x14ac:dyDescent="0.25">
      <c r="Y5848" s="501"/>
    </row>
    <row r="5849" spans="25:25" hidden="1" x14ac:dyDescent="0.25">
      <c r="Y5849" s="501"/>
    </row>
    <row r="5850" spans="25:25" hidden="1" x14ac:dyDescent="0.25">
      <c r="Y5850" s="501"/>
    </row>
    <row r="5851" spans="25:25" hidden="1" x14ac:dyDescent="0.25">
      <c r="Y5851" s="501"/>
    </row>
    <row r="5852" spans="25:25" hidden="1" x14ac:dyDescent="0.25">
      <c r="Y5852" s="501"/>
    </row>
    <row r="5853" spans="25:25" hidden="1" x14ac:dyDescent="0.25">
      <c r="Y5853" s="501"/>
    </row>
    <row r="5854" spans="25:25" hidden="1" x14ac:dyDescent="0.25">
      <c r="Y5854" s="501"/>
    </row>
    <row r="5855" spans="25:25" hidden="1" x14ac:dyDescent="0.25">
      <c r="Y5855" s="501"/>
    </row>
    <row r="5856" spans="25:25" hidden="1" x14ac:dyDescent="0.25">
      <c r="Y5856" s="501"/>
    </row>
    <row r="5857" spans="25:25" hidden="1" x14ac:dyDescent="0.25">
      <c r="Y5857" s="501"/>
    </row>
    <row r="5858" spans="25:25" hidden="1" x14ac:dyDescent="0.25">
      <c r="Y5858" s="501"/>
    </row>
    <row r="5859" spans="25:25" hidden="1" x14ac:dyDescent="0.25">
      <c r="Y5859" s="501"/>
    </row>
    <row r="5860" spans="25:25" hidden="1" x14ac:dyDescent="0.25">
      <c r="Y5860" s="501"/>
    </row>
    <row r="5861" spans="25:25" hidden="1" x14ac:dyDescent="0.25">
      <c r="Y5861" s="501"/>
    </row>
    <row r="5862" spans="25:25" hidden="1" x14ac:dyDescent="0.25">
      <c r="Y5862" s="501"/>
    </row>
    <row r="5863" spans="25:25" hidden="1" x14ac:dyDescent="0.25">
      <c r="Y5863" s="501"/>
    </row>
    <row r="5864" spans="25:25" hidden="1" x14ac:dyDescent="0.25">
      <c r="Y5864" s="501"/>
    </row>
    <row r="5865" spans="25:25" hidden="1" x14ac:dyDescent="0.25">
      <c r="Y5865" s="501"/>
    </row>
    <row r="5866" spans="25:25" hidden="1" x14ac:dyDescent="0.25">
      <c r="Y5866" s="501"/>
    </row>
    <row r="5867" spans="25:25" hidden="1" x14ac:dyDescent="0.25">
      <c r="Y5867" s="501"/>
    </row>
    <row r="5868" spans="25:25" hidden="1" x14ac:dyDescent="0.25">
      <c r="Y5868" s="501"/>
    </row>
    <row r="5869" spans="25:25" hidden="1" x14ac:dyDescent="0.25">
      <c r="Y5869" s="501"/>
    </row>
    <row r="5870" spans="25:25" hidden="1" x14ac:dyDescent="0.25">
      <c r="Y5870" s="501"/>
    </row>
    <row r="5871" spans="25:25" hidden="1" x14ac:dyDescent="0.25">
      <c r="Y5871" s="501"/>
    </row>
    <row r="5872" spans="25:25" hidden="1" x14ac:dyDescent="0.25">
      <c r="Y5872" s="501"/>
    </row>
    <row r="5873" spans="25:25" hidden="1" x14ac:dyDescent="0.25">
      <c r="Y5873" s="501"/>
    </row>
    <row r="5874" spans="25:25" hidden="1" x14ac:dyDescent="0.25">
      <c r="Y5874" s="501"/>
    </row>
    <row r="5875" spans="25:25" hidden="1" x14ac:dyDescent="0.25">
      <c r="Y5875" s="501"/>
    </row>
    <row r="5876" spans="25:25" hidden="1" x14ac:dyDescent="0.25">
      <c r="Y5876" s="501"/>
    </row>
    <row r="5877" spans="25:25" hidden="1" x14ac:dyDescent="0.25">
      <c r="Y5877" s="501"/>
    </row>
    <row r="5878" spans="25:25" hidden="1" x14ac:dyDescent="0.25">
      <c r="Y5878" s="501"/>
    </row>
    <row r="5879" spans="25:25" hidden="1" x14ac:dyDescent="0.25">
      <c r="Y5879" s="501"/>
    </row>
    <row r="5880" spans="25:25" hidden="1" x14ac:dyDescent="0.25">
      <c r="Y5880" s="501"/>
    </row>
    <row r="5881" spans="25:25" hidden="1" x14ac:dyDescent="0.25">
      <c r="Y5881" s="501"/>
    </row>
    <row r="5882" spans="25:25" hidden="1" x14ac:dyDescent="0.25">
      <c r="Y5882" s="501"/>
    </row>
    <row r="5883" spans="25:25" hidden="1" x14ac:dyDescent="0.25">
      <c r="Y5883" s="501"/>
    </row>
    <row r="5884" spans="25:25" hidden="1" x14ac:dyDescent="0.25">
      <c r="Y5884" s="501"/>
    </row>
    <row r="5885" spans="25:25" hidden="1" x14ac:dyDescent="0.25">
      <c r="Y5885" s="501"/>
    </row>
    <row r="5886" spans="25:25" hidden="1" x14ac:dyDescent="0.25">
      <c r="Y5886" s="501"/>
    </row>
    <row r="5887" spans="25:25" hidden="1" x14ac:dyDescent="0.25">
      <c r="Y5887" s="501"/>
    </row>
    <row r="5888" spans="25:25" hidden="1" x14ac:dyDescent="0.25">
      <c r="Y5888" s="501"/>
    </row>
    <row r="5889" spans="25:25" hidden="1" x14ac:dyDescent="0.25">
      <c r="Y5889" s="501"/>
    </row>
    <row r="5890" spans="25:25" hidden="1" x14ac:dyDescent="0.25">
      <c r="Y5890" s="501"/>
    </row>
    <row r="5891" spans="25:25" hidden="1" x14ac:dyDescent="0.25">
      <c r="Y5891" s="501"/>
    </row>
    <row r="5892" spans="25:25" hidden="1" x14ac:dyDescent="0.25">
      <c r="Y5892" s="501"/>
    </row>
    <row r="5893" spans="25:25" hidden="1" x14ac:dyDescent="0.25">
      <c r="Y5893" s="501"/>
    </row>
    <row r="5894" spans="25:25" hidden="1" x14ac:dyDescent="0.25">
      <c r="Y5894" s="501"/>
    </row>
    <row r="5895" spans="25:25" hidden="1" x14ac:dyDescent="0.25">
      <c r="Y5895" s="501"/>
    </row>
    <row r="5896" spans="25:25" hidden="1" x14ac:dyDescent="0.25">
      <c r="Y5896" s="501"/>
    </row>
    <row r="5897" spans="25:25" hidden="1" x14ac:dyDescent="0.25">
      <c r="Y5897" s="501"/>
    </row>
    <row r="5898" spans="25:25" hidden="1" x14ac:dyDescent="0.25">
      <c r="Y5898" s="501"/>
    </row>
    <row r="5899" spans="25:25" hidden="1" x14ac:dyDescent="0.25">
      <c r="Y5899" s="501"/>
    </row>
    <row r="5900" spans="25:25" hidden="1" x14ac:dyDescent="0.25">
      <c r="Y5900" s="501"/>
    </row>
    <row r="5901" spans="25:25" hidden="1" x14ac:dyDescent="0.25">
      <c r="Y5901" s="501"/>
    </row>
    <row r="5902" spans="25:25" hidden="1" x14ac:dyDescent="0.25">
      <c r="Y5902" s="501"/>
    </row>
    <row r="5903" spans="25:25" hidden="1" x14ac:dyDescent="0.25">
      <c r="Y5903" s="501"/>
    </row>
    <row r="5904" spans="25:25" hidden="1" x14ac:dyDescent="0.25">
      <c r="Y5904" s="501"/>
    </row>
    <row r="5905" spans="25:25" hidden="1" x14ac:dyDescent="0.25">
      <c r="Y5905" s="501"/>
    </row>
    <row r="5906" spans="25:25" hidden="1" x14ac:dyDescent="0.25">
      <c r="Y5906" s="501"/>
    </row>
    <row r="5907" spans="25:25" hidden="1" x14ac:dyDescent="0.25">
      <c r="Y5907" s="501"/>
    </row>
    <row r="5908" spans="25:25" hidden="1" x14ac:dyDescent="0.25">
      <c r="Y5908" s="501"/>
    </row>
    <row r="5909" spans="25:25" hidden="1" x14ac:dyDescent="0.25">
      <c r="Y5909" s="501"/>
    </row>
    <row r="5910" spans="25:25" hidden="1" x14ac:dyDescent="0.25">
      <c r="Y5910" s="501"/>
    </row>
    <row r="5911" spans="25:25" hidden="1" x14ac:dyDescent="0.25">
      <c r="Y5911" s="501"/>
    </row>
    <row r="5912" spans="25:25" hidden="1" x14ac:dyDescent="0.25">
      <c r="Y5912" s="501"/>
    </row>
    <row r="5913" spans="25:25" hidden="1" x14ac:dyDescent="0.25">
      <c r="Y5913" s="501"/>
    </row>
    <row r="5914" spans="25:25" hidden="1" x14ac:dyDescent="0.25">
      <c r="Y5914" s="501"/>
    </row>
    <row r="5915" spans="25:25" hidden="1" x14ac:dyDescent="0.25">
      <c r="Y5915" s="501"/>
    </row>
    <row r="5916" spans="25:25" hidden="1" x14ac:dyDescent="0.25">
      <c r="Y5916" s="501"/>
    </row>
    <row r="5917" spans="25:25" hidden="1" x14ac:dyDescent="0.25">
      <c r="Y5917" s="501"/>
    </row>
    <row r="5918" spans="25:25" hidden="1" x14ac:dyDescent="0.25">
      <c r="Y5918" s="501"/>
    </row>
    <row r="5919" spans="25:25" hidden="1" x14ac:dyDescent="0.25">
      <c r="Y5919" s="501"/>
    </row>
    <row r="5920" spans="25:25" hidden="1" x14ac:dyDescent="0.25">
      <c r="Y5920" s="501"/>
    </row>
    <row r="5921" spans="25:25" hidden="1" x14ac:dyDescent="0.25">
      <c r="Y5921" s="501"/>
    </row>
    <row r="5922" spans="25:25" hidden="1" x14ac:dyDescent="0.25">
      <c r="Y5922" s="501"/>
    </row>
    <row r="5923" spans="25:25" hidden="1" x14ac:dyDescent="0.25">
      <c r="Y5923" s="501"/>
    </row>
    <row r="5924" spans="25:25" hidden="1" x14ac:dyDescent="0.25">
      <c r="Y5924" s="501"/>
    </row>
    <row r="5925" spans="25:25" hidden="1" x14ac:dyDescent="0.25">
      <c r="Y5925" s="501"/>
    </row>
    <row r="5926" spans="25:25" hidden="1" x14ac:dyDescent="0.25">
      <c r="Y5926" s="501"/>
    </row>
    <row r="5927" spans="25:25" hidden="1" x14ac:dyDescent="0.25">
      <c r="Y5927" s="501"/>
    </row>
    <row r="5928" spans="25:25" hidden="1" x14ac:dyDescent="0.25">
      <c r="Y5928" s="501"/>
    </row>
    <row r="5929" spans="25:25" hidden="1" x14ac:dyDescent="0.25">
      <c r="Y5929" s="501"/>
    </row>
    <row r="5930" spans="25:25" hidden="1" x14ac:dyDescent="0.25">
      <c r="Y5930" s="501"/>
    </row>
    <row r="5931" spans="25:25" hidden="1" x14ac:dyDescent="0.25">
      <c r="Y5931" s="501"/>
    </row>
    <row r="5932" spans="25:25" hidden="1" x14ac:dyDescent="0.25">
      <c r="Y5932" s="501"/>
    </row>
    <row r="5933" spans="25:25" hidden="1" x14ac:dyDescent="0.25">
      <c r="Y5933" s="501"/>
    </row>
    <row r="5934" spans="25:25" hidden="1" x14ac:dyDescent="0.25">
      <c r="Y5934" s="501"/>
    </row>
    <row r="5935" spans="25:25" hidden="1" x14ac:dyDescent="0.25">
      <c r="Y5935" s="501"/>
    </row>
    <row r="5936" spans="25:25" hidden="1" x14ac:dyDescent="0.25">
      <c r="Y5936" s="501"/>
    </row>
    <row r="5937" spans="25:25" hidden="1" x14ac:dyDescent="0.25">
      <c r="Y5937" s="501"/>
    </row>
    <row r="5938" spans="25:25" hidden="1" x14ac:dyDescent="0.25">
      <c r="Y5938" s="501"/>
    </row>
    <row r="5939" spans="25:25" hidden="1" x14ac:dyDescent="0.25">
      <c r="Y5939" s="501"/>
    </row>
    <row r="5940" spans="25:25" hidden="1" x14ac:dyDescent="0.25">
      <c r="Y5940" s="501"/>
    </row>
    <row r="5941" spans="25:25" hidden="1" x14ac:dyDescent="0.25">
      <c r="Y5941" s="501"/>
    </row>
    <row r="5942" spans="25:25" hidden="1" x14ac:dyDescent="0.25">
      <c r="Y5942" s="501"/>
    </row>
    <row r="5943" spans="25:25" hidden="1" x14ac:dyDescent="0.25">
      <c r="Y5943" s="501"/>
    </row>
    <row r="5944" spans="25:25" hidden="1" x14ac:dyDescent="0.25">
      <c r="Y5944" s="501"/>
    </row>
    <row r="5945" spans="25:25" hidden="1" x14ac:dyDescent="0.25">
      <c r="Y5945" s="501"/>
    </row>
    <row r="5946" spans="25:25" hidden="1" x14ac:dyDescent="0.25">
      <c r="Y5946" s="501"/>
    </row>
    <row r="5947" spans="25:25" hidden="1" x14ac:dyDescent="0.25">
      <c r="Y5947" s="501"/>
    </row>
    <row r="5948" spans="25:25" hidden="1" x14ac:dyDescent="0.25">
      <c r="Y5948" s="501"/>
    </row>
    <row r="5949" spans="25:25" hidden="1" x14ac:dyDescent="0.25">
      <c r="Y5949" s="501"/>
    </row>
    <row r="5950" spans="25:25" hidden="1" x14ac:dyDescent="0.25">
      <c r="Y5950" s="501"/>
    </row>
    <row r="5951" spans="25:25" hidden="1" x14ac:dyDescent="0.25">
      <c r="Y5951" s="501"/>
    </row>
    <row r="5952" spans="25:25" hidden="1" x14ac:dyDescent="0.25">
      <c r="Y5952" s="501"/>
    </row>
    <row r="5953" spans="25:25" hidden="1" x14ac:dyDescent="0.25">
      <c r="Y5953" s="501"/>
    </row>
    <row r="5954" spans="25:25" hidden="1" x14ac:dyDescent="0.25">
      <c r="Y5954" s="501"/>
    </row>
    <row r="5955" spans="25:25" hidden="1" x14ac:dyDescent="0.25">
      <c r="Y5955" s="501"/>
    </row>
    <row r="5956" spans="25:25" hidden="1" x14ac:dyDescent="0.25">
      <c r="Y5956" s="501"/>
    </row>
    <row r="5957" spans="25:25" hidden="1" x14ac:dyDescent="0.25">
      <c r="Y5957" s="501"/>
    </row>
    <row r="5958" spans="25:25" hidden="1" x14ac:dyDescent="0.25">
      <c r="Y5958" s="501"/>
    </row>
    <row r="5959" spans="25:25" hidden="1" x14ac:dyDescent="0.25">
      <c r="Y5959" s="501"/>
    </row>
    <row r="5960" spans="25:25" hidden="1" x14ac:dyDescent="0.25">
      <c r="Y5960" s="501"/>
    </row>
    <row r="5961" spans="25:25" hidden="1" x14ac:dyDescent="0.25">
      <c r="Y5961" s="501"/>
    </row>
    <row r="5962" spans="25:25" hidden="1" x14ac:dyDescent="0.25">
      <c r="Y5962" s="501"/>
    </row>
    <row r="5963" spans="25:25" hidden="1" x14ac:dyDescent="0.25">
      <c r="Y5963" s="501"/>
    </row>
    <row r="5964" spans="25:25" hidden="1" x14ac:dyDescent="0.25">
      <c r="Y5964" s="501"/>
    </row>
    <row r="5965" spans="25:25" hidden="1" x14ac:dyDescent="0.25">
      <c r="Y5965" s="501"/>
    </row>
    <row r="5966" spans="25:25" hidden="1" x14ac:dyDescent="0.25">
      <c r="Y5966" s="501"/>
    </row>
    <row r="5967" spans="25:25" hidden="1" x14ac:dyDescent="0.25">
      <c r="Y5967" s="501"/>
    </row>
    <row r="5968" spans="25:25" hidden="1" x14ac:dyDescent="0.25">
      <c r="Y5968" s="501"/>
    </row>
    <row r="5969" spans="25:25" hidden="1" x14ac:dyDescent="0.25">
      <c r="Y5969" s="501"/>
    </row>
    <row r="5970" spans="25:25" hidden="1" x14ac:dyDescent="0.25">
      <c r="Y5970" s="501"/>
    </row>
    <row r="5971" spans="25:25" hidden="1" x14ac:dyDescent="0.25">
      <c r="Y5971" s="501"/>
    </row>
    <row r="5972" spans="25:25" hidden="1" x14ac:dyDescent="0.25">
      <c r="Y5972" s="501"/>
    </row>
    <row r="5973" spans="25:25" hidden="1" x14ac:dyDescent="0.25">
      <c r="Y5973" s="501"/>
    </row>
    <row r="5974" spans="25:25" hidden="1" x14ac:dyDescent="0.25">
      <c r="Y5974" s="501"/>
    </row>
    <row r="5975" spans="25:25" hidden="1" x14ac:dyDescent="0.25">
      <c r="Y5975" s="501"/>
    </row>
    <row r="5976" spans="25:25" hidden="1" x14ac:dyDescent="0.25">
      <c r="Y5976" s="501"/>
    </row>
    <row r="5977" spans="25:25" hidden="1" x14ac:dyDescent="0.25">
      <c r="Y5977" s="501"/>
    </row>
    <row r="5978" spans="25:25" hidden="1" x14ac:dyDescent="0.25">
      <c r="Y5978" s="501"/>
    </row>
    <row r="5979" spans="25:25" hidden="1" x14ac:dyDescent="0.25">
      <c r="Y5979" s="501"/>
    </row>
    <row r="5980" spans="25:25" hidden="1" x14ac:dyDescent="0.25">
      <c r="Y5980" s="501"/>
    </row>
    <row r="5981" spans="25:25" hidden="1" x14ac:dyDescent="0.25">
      <c r="Y5981" s="501"/>
    </row>
    <row r="5982" spans="25:25" hidden="1" x14ac:dyDescent="0.25">
      <c r="Y5982" s="501"/>
    </row>
    <row r="5983" spans="25:25" hidden="1" x14ac:dyDescent="0.25">
      <c r="Y5983" s="501"/>
    </row>
    <row r="5984" spans="25:25" hidden="1" x14ac:dyDescent="0.25">
      <c r="Y5984" s="501"/>
    </row>
    <row r="5985" spans="25:25" hidden="1" x14ac:dyDescent="0.25">
      <c r="Y5985" s="501"/>
    </row>
    <row r="5986" spans="25:25" hidden="1" x14ac:dyDescent="0.25">
      <c r="Y5986" s="501"/>
    </row>
    <row r="5987" spans="25:25" hidden="1" x14ac:dyDescent="0.25">
      <c r="Y5987" s="501"/>
    </row>
    <row r="5988" spans="25:25" hidden="1" x14ac:dyDescent="0.25">
      <c r="Y5988" s="501"/>
    </row>
    <row r="5989" spans="25:25" hidden="1" x14ac:dyDescent="0.25">
      <c r="Y5989" s="501"/>
    </row>
    <row r="5990" spans="25:25" hidden="1" x14ac:dyDescent="0.25">
      <c r="Y5990" s="501"/>
    </row>
    <row r="5991" spans="25:25" hidden="1" x14ac:dyDescent="0.25">
      <c r="Y5991" s="501"/>
    </row>
    <row r="5992" spans="25:25" hidden="1" x14ac:dyDescent="0.25">
      <c r="Y5992" s="501"/>
    </row>
    <row r="5993" spans="25:25" hidden="1" x14ac:dyDescent="0.25">
      <c r="Y5993" s="501"/>
    </row>
    <row r="5994" spans="25:25" hidden="1" x14ac:dyDescent="0.25">
      <c r="Y5994" s="501"/>
    </row>
    <row r="5995" spans="25:25" hidden="1" x14ac:dyDescent="0.25">
      <c r="Y5995" s="501"/>
    </row>
    <row r="5996" spans="25:25" hidden="1" x14ac:dyDescent="0.25">
      <c r="Y5996" s="501"/>
    </row>
    <row r="5997" spans="25:25" hidden="1" x14ac:dyDescent="0.25">
      <c r="Y5997" s="501"/>
    </row>
    <row r="5998" spans="25:25" hidden="1" x14ac:dyDescent="0.25">
      <c r="Y5998" s="501"/>
    </row>
    <row r="5999" spans="25:25" hidden="1" x14ac:dyDescent="0.25">
      <c r="Y5999" s="501"/>
    </row>
    <row r="6000" spans="25:25" hidden="1" x14ac:dyDescent="0.25">
      <c r="Y6000" s="501"/>
    </row>
    <row r="6001" spans="25:25" hidden="1" x14ac:dyDescent="0.25">
      <c r="Y6001" s="501"/>
    </row>
    <row r="6002" spans="25:25" hidden="1" x14ac:dyDescent="0.25">
      <c r="Y6002" s="501"/>
    </row>
    <row r="6003" spans="25:25" hidden="1" x14ac:dyDescent="0.25">
      <c r="Y6003" s="501"/>
    </row>
    <row r="6004" spans="25:25" hidden="1" x14ac:dyDescent="0.25">
      <c r="Y6004" s="501"/>
    </row>
    <row r="6005" spans="25:25" hidden="1" x14ac:dyDescent="0.25">
      <c r="Y6005" s="501"/>
    </row>
    <row r="6006" spans="25:25" hidden="1" x14ac:dyDescent="0.25">
      <c r="Y6006" s="501"/>
    </row>
    <row r="6007" spans="25:25" hidden="1" x14ac:dyDescent="0.25">
      <c r="Y6007" s="501"/>
    </row>
    <row r="6008" spans="25:25" hidden="1" x14ac:dyDescent="0.25">
      <c r="Y6008" s="501"/>
    </row>
    <row r="6009" spans="25:25" hidden="1" x14ac:dyDescent="0.25">
      <c r="Y6009" s="501"/>
    </row>
    <row r="6010" spans="25:25" hidden="1" x14ac:dyDescent="0.25">
      <c r="Y6010" s="501"/>
    </row>
    <row r="6011" spans="25:25" hidden="1" x14ac:dyDescent="0.25">
      <c r="Y6011" s="501"/>
    </row>
    <row r="6012" spans="25:25" hidden="1" x14ac:dyDescent="0.25">
      <c r="Y6012" s="501"/>
    </row>
    <row r="6013" spans="25:25" hidden="1" x14ac:dyDescent="0.25">
      <c r="Y6013" s="501"/>
    </row>
    <row r="6014" spans="25:25" hidden="1" x14ac:dyDescent="0.25">
      <c r="Y6014" s="501"/>
    </row>
    <row r="6015" spans="25:25" hidden="1" x14ac:dyDescent="0.25">
      <c r="Y6015" s="501"/>
    </row>
    <row r="6016" spans="25:25" hidden="1" x14ac:dyDescent="0.25">
      <c r="Y6016" s="501"/>
    </row>
    <row r="6017" spans="25:25" hidden="1" x14ac:dyDescent="0.25">
      <c r="Y6017" s="501"/>
    </row>
    <row r="6018" spans="25:25" hidden="1" x14ac:dyDescent="0.25">
      <c r="Y6018" s="501"/>
    </row>
    <row r="6019" spans="25:25" hidden="1" x14ac:dyDescent="0.25">
      <c r="Y6019" s="501"/>
    </row>
    <row r="6020" spans="25:25" hidden="1" x14ac:dyDescent="0.25">
      <c r="Y6020" s="501"/>
    </row>
    <row r="6021" spans="25:25" hidden="1" x14ac:dyDescent="0.25">
      <c r="Y6021" s="501"/>
    </row>
    <row r="6022" spans="25:25" hidden="1" x14ac:dyDescent="0.25">
      <c r="Y6022" s="501"/>
    </row>
    <row r="6023" spans="25:25" hidden="1" x14ac:dyDescent="0.25">
      <c r="Y6023" s="501"/>
    </row>
    <row r="6024" spans="25:25" hidden="1" x14ac:dyDescent="0.25">
      <c r="Y6024" s="501"/>
    </row>
    <row r="6025" spans="25:25" hidden="1" x14ac:dyDescent="0.25">
      <c r="Y6025" s="501"/>
    </row>
    <row r="6026" spans="25:25" hidden="1" x14ac:dyDescent="0.25">
      <c r="Y6026" s="501"/>
    </row>
    <row r="6027" spans="25:25" hidden="1" x14ac:dyDescent="0.25">
      <c r="Y6027" s="501"/>
    </row>
    <row r="6028" spans="25:25" hidden="1" x14ac:dyDescent="0.25">
      <c r="Y6028" s="501"/>
    </row>
    <row r="6029" spans="25:25" hidden="1" x14ac:dyDescent="0.25">
      <c r="Y6029" s="501"/>
    </row>
    <row r="6030" spans="25:25" hidden="1" x14ac:dyDescent="0.25">
      <c r="Y6030" s="501"/>
    </row>
    <row r="6031" spans="25:25" hidden="1" x14ac:dyDescent="0.25">
      <c r="Y6031" s="501"/>
    </row>
    <row r="6032" spans="25:25" hidden="1" x14ac:dyDescent="0.25">
      <c r="Y6032" s="501"/>
    </row>
    <row r="6033" spans="25:25" hidden="1" x14ac:dyDescent="0.25">
      <c r="Y6033" s="501"/>
    </row>
    <row r="6034" spans="25:25" hidden="1" x14ac:dyDescent="0.25">
      <c r="Y6034" s="501"/>
    </row>
    <row r="6035" spans="25:25" hidden="1" x14ac:dyDescent="0.25">
      <c r="Y6035" s="501"/>
    </row>
    <row r="6036" spans="25:25" hidden="1" x14ac:dyDescent="0.25">
      <c r="Y6036" s="501"/>
    </row>
    <row r="6037" spans="25:25" hidden="1" x14ac:dyDescent="0.25">
      <c r="Y6037" s="501"/>
    </row>
    <row r="6038" spans="25:25" hidden="1" x14ac:dyDescent="0.25">
      <c r="Y6038" s="501"/>
    </row>
    <row r="6039" spans="25:25" hidden="1" x14ac:dyDescent="0.25">
      <c r="Y6039" s="501"/>
    </row>
    <row r="6040" spans="25:25" hidden="1" x14ac:dyDescent="0.25">
      <c r="Y6040" s="501"/>
    </row>
    <row r="6041" spans="25:25" hidden="1" x14ac:dyDescent="0.25">
      <c r="Y6041" s="501"/>
    </row>
    <row r="6042" spans="25:25" hidden="1" x14ac:dyDescent="0.25">
      <c r="Y6042" s="501"/>
    </row>
    <row r="6043" spans="25:25" hidden="1" x14ac:dyDescent="0.25">
      <c r="Y6043" s="501"/>
    </row>
    <row r="6044" spans="25:25" hidden="1" x14ac:dyDescent="0.25">
      <c r="Y6044" s="501"/>
    </row>
    <row r="6045" spans="25:25" hidden="1" x14ac:dyDescent="0.25">
      <c r="Y6045" s="501"/>
    </row>
    <row r="6046" spans="25:25" hidden="1" x14ac:dyDescent="0.25">
      <c r="Y6046" s="501"/>
    </row>
    <row r="6047" spans="25:25" hidden="1" x14ac:dyDescent="0.25">
      <c r="Y6047" s="501"/>
    </row>
    <row r="6048" spans="25:25" hidden="1" x14ac:dyDescent="0.25">
      <c r="Y6048" s="501"/>
    </row>
    <row r="6049" spans="25:25" hidden="1" x14ac:dyDescent="0.25">
      <c r="Y6049" s="501"/>
    </row>
    <row r="6050" spans="25:25" hidden="1" x14ac:dyDescent="0.25">
      <c r="Y6050" s="501"/>
    </row>
    <row r="6051" spans="25:25" hidden="1" x14ac:dyDescent="0.25">
      <c r="Y6051" s="501"/>
    </row>
    <row r="6052" spans="25:25" hidden="1" x14ac:dyDescent="0.25">
      <c r="Y6052" s="501"/>
    </row>
    <row r="6053" spans="25:25" hidden="1" x14ac:dyDescent="0.25">
      <c r="Y6053" s="501"/>
    </row>
    <row r="6054" spans="25:25" hidden="1" x14ac:dyDescent="0.25">
      <c r="Y6054" s="501"/>
    </row>
    <row r="6055" spans="25:25" hidden="1" x14ac:dyDescent="0.25">
      <c r="Y6055" s="501"/>
    </row>
    <row r="6056" spans="25:25" hidden="1" x14ac:dyDescent="0.25">
      <c r="Y6056" s="501"/>
    </row>
    <row r="6057" spans="25:25" hidden="1" x14ac:dyDescent="0.25">
      <c r="Y6057" s="501"/>
    </row>
    <row r="6058" spans="25:25" hidden="1" x14ac:dyDescent="0.25">
      <c r="Y6058" s="501"/>
    </row>
    <row r="6059" spans="25:25" hidden="1" x14ac:dyDescent="0.25">
      <c r="Y6059" s="501"/>
    </row>
    <row r="6060" spans="25:25" hidden="1" x14ac:dyDescent="0.25">
      <c r="Y6060" s="501"/>
    </row>
    <row r="6061" spans="25:25" hidden="1" x14ac:dyDescent="0.25">
      <c r="Y6061" s="501"/>
    </row>
    <row r="6062" spans="25:25" hidden="1" x14ac:dyDescent="0.25">
      <c r="Y6062" s="501"/>
    </row>
    <row r="6063" spans="25:25" hidden="1" x14ac:dyDescent="0.25">
      <c r="Y6063" s="501"/>
    </row>
    <row r="6064" spans="25:25" hidden="1" x14ac:dyDescent="0.25">
      <c r="Y6064" s="501"/>
    </row>
    <row r="6065" spans="25:25" hidden="1" x14ac:dyDescent="0.25">
      <c r="Y6065" s="501"/>
    </row>
    <row r="6066" spans="25:25" hidden="1" x14ac:dyDescent="0.25">
      <c r="Y6066" s="501"/>
    </row>
    <row r="6067" spans="25:25" hidden="1" x14ac:dyDescent="0.25">
      <c r="Y6067" s="501"/>
    </row>
    <row r="6068" spans="25:25" hidden="1" x14ac:dyDescent="0.25">
      <c r="Y6068" s="501"/>
    </row>
    <row r="6069" spans="25:25" hidden="1" x14ac:dyDescent="0.25">
      <c r="Y6069" s="501"/>
    </row>
    <row r="6070" spans="25:25" hidden="1" x14ac:dyDescent="0.25">
      <c r="Y6070" s="501"/>
    </row>
    <row r="6071" spans="25:25" hidden="1" x14ac:dyDescent="0.25">
      <c r="Y6071" s="501"/>
    </row>
    <row r="6072" spans="25:25" hidden="1" x14ac:dyDescent="0.25">
      <c r="Y6072" s="501"/>
    </row>
    <row r="6073" spans="25:25" hidden="1" x14ac:dyDescent="0.25">
      <c r="Y6073" s="501"/>
    </row>
    <row r="6074" spans="25:25" hidden="1" x14ac:dyDescent="0.25">
      <c r="Y6074" s="501"/>
    </row>
    <row r="6075" spans="25:25" hidden="1" x14ac:dyDescent="0.25">
      <c r="Y6075" s="501"/>
    </row>
    <row r="6076" spans="25:25" hidden="1" x14ac:dyDescent="0.25">
      <c r="Y6076" s="501"/>
    </row>
    <row r="6077" spans="25:25" hidden="1" x14ac:dyDescent="0.25">
      <c r="Y6077" s="501"/>
    </row>
    <row r="6078" spans="25:25" hidden="1" x14ac:dyDescent="0.25">
      <c r="Y6078" s="501"/>
    </row>
    <row r="6079" spans="25:25" hidden="1" x14ac:dyDescent="0.25">
      <c r="Y6079" s="501"/>
    </row>
    <row r="6080" spans="25:25" hidden="1" x14ac:dyDescent="0.25">
      <c r="Y6080" s="501"/>
    </row>
    <row r="6081" spans="25:25" hidden="1" x14ac:dyDescent="0.25">
      <c r="Y6081" s="501"/>
    </row>
    <row r="6082" spans="25:25" hidden="1" x14ac:dyDescent="0.25">
      <c r="Y6082" s="501"/>
    </row>
    <row r="6083" spans="25:25" hidden="1" x14ac:dyDescent="0.25">
      <c r="Y6083" s="501"/>
    </row>
    <row r="6084" spans="25:25" hidden="1" x14ac:dyDescent="0.25">
      <c r="Y6084" s="501"/>
    </row>
    <row r="6085" spans="25:25" hidden="1" x14ac:dyDescent="0.25">
      <c r="Y6085" s="501"/>
    </row>
    <row r="6086" spans="25:25" hidden="1" x14ac:dyDescent="0.25">
      <c r="Y6086" s="501"/>
    </row>
    <row r="6087" spans="25:25" hidden="1" x14ac:dyDescent="0.25">
      <c r="Y6087" s="501"/>
    </row>
    <row r="6088" spans="25:25" hidden="1" x14ac:dyDescent="0.25">
      <c r="Y6088" s="501"/>
    </row>
    <row r="6089" spans="25:25" hidden="1" x14ac:dyDescent="0.25">
      <c r="Y6089" s="501"/>
    </row>
    <row r="6090" spans="25:25" hidden="1" x14ac:dyDescent="0.25">
      <c r="Y6090" s="501"/>
    </row>
    <row r="6091" spans="25:25" hidden="1" x14ac:dyDescent="0.25">
      <c r="Y6091" s="501"/>
    </row>
    <row r="6092" spans="25:25" hidden="1" x14ac:dyDescent="0.25">
      <c r="Y6092" s="501"/>
    </row>
    <row r="6093" spans="25:25" hidden="1" x14ac:dyDescent="0.25">
      <c r="Y6093" s="501"/>
    </row>
    <row r="6094" spans="25:25" hidden="1" x14ac:dyDescent="0.25">
      <c r="Y6094" s="501"/>
    </row>
    <row r="6095" spans="25:25" hidden="1" x14ac:dyDescent="0.25">
      <c r="Y6095" s="501"/>
    </row>
    <row r="6096" spans="25:25" hidden="1" x14ac:dyDescent="0.25">
      <c r="Y6096" s="501"/>
    </row>
    <row r="6097" spans="25:25" hidden="1" x14ac:dyDescent="0.25">
      <c r="Y6097" s="501"/>
    </row>
    <row r="6098" spans="25:25" hidden="1" x14ac:dyDescent="0.25">
      <c r="Y6098" s="501"/>
    </row>
    <row r="6099" spans="25:25" hidden="1" x14ac:dyDescent="0.25">
      <c r="Y6099" s="501"/>
    </row>
    <row r="6100" spans="25:25" hidden="1" x14ac:dyDescent="0.25">
      <c r="Y6100" s="501"/>
    </row>
    <row r="6101" spans="25:25" hidden="1" x14ac:dyDescent="0.25">
      <c r="Y6101" s="501"/>
    </row>
    <row r="6102" spans="25:25" hidden="1" x14ac:dyDescent="0.25">
      <c r="Y6102" s="501"/>
    </row>
    <row r="6103" spans="25:25" hidden="1" x14ac:dyDescent="0.25">
      <c r="Y6103" s="501"/>
    </row>
    <row r="6104" spans="25:25" hidden="1" x14ac:dyDescent="0.25">
      <c r="Y6104" s="501"/>
    </row>
    <row r="6105" spans="25:25" hidden="1" x14ac:dyDescent="0.25">
      <c r="Y6105" s="501"/>
    </row>
    <row r="6106" spans="25:25" hidden="1" x14ac:dyDescent="0.25">
      <c r="Y6106" s="501"/>
    </row>
    <row r="6107" spans="25:25" hidden="1" x14ac:dyDescent="0.25">
      <c r="Y6107" s="501"/>
    </row>
    <row r="6108" spans="25:25" hidden="1" x14ac:dyDescent="0.25">
      <c r="Y6108" s="501"/>
    </row>
    <row r="6109" spans="25:25" hidden="1" x14ac:dyDescent="0.25">
      <c r="Y6109" s="501"/>
    </row>
    <row r="6110" spans="25:25" hidden="1" x14ac:dyDescent="0.25">
      <c r="Y6110" s="501"/>
    </row>
    <row r="6111" spans="25:25" hidden="1" x14ac:dyDescent="0.25">
      <c r="Y6111" s="501"/>
    </row>
    <row r="6112" spans="25:25" hidden="1" x14ac:dyDescent="0.25">
      <c r="Y6112" s="501"/>
    </row>
    <row r="6113" spans="25:25" hidden="1" x14ac:dyDescent="0.25">
      <c r="Y6113" s="501"/>
    </row>
    <row r="6114" spans="25:25" hidden="1" x14ac:dyDescent="0.25">
      <c r="Y6114" s="501"/>
    </row>
    <row r="6115" spans="25:25" hidden="1" x14ac:dyDescent="0.25">
      <c r="Y6115" s="501"/>
    </row>
    <row r="6116" spans="25:25" hidden="1" x14ac:dyDescent="0.25">
      <c r="Y6116" s="501"/>
    </row>
    <row r="6117" spans="25:25" hidden="1" x14ac:dyDescent="0.25">
      <c r="Y6117" s="501"/>
    </row>
    <row r="6118" spans="25:25" hidden="1" x14ac:dyDescent="0.25">
      <c r="Y6118" s="501"/>
    </row>
    <row r="6119" spans="25:25" hidden="1" x14ac:dyDescent="0.25">
      <c r="Y6119" s="501"/>
    </row>
    <row r="6120" spans="25:25" hidden="1" x14ac:dyDescent="0.25">
      <c r="Y6120" s="501"/>
    </row>
    <row r="6121" spans="25:25" hidden="1" x14ac:dyDescent="0.25">
      <c r="Y6121" s="501"/>
    </row>
    <row r="6122" spans="25:25" hidden="1" x14ac:dyDescent="0.25">
      <c r="Y6122" s="501"/>
    </row>
    <row r="6123" spans="25:25" hidden="1" x14ac:dyDescent="0.25">
      <c r="Y6123" s="501"/>
    </row>
    <row r="6124" spans="25:25" hidden="1" x14ac:dyDescent="0.25">
      <c r="Y6124" s="501"/>
    </row>
    <row r="6125" spans="25:25" hidden="1" x14ac:dyDescent="0.25">
      <c r="Y6125" s="501"/>
    </row>
    <row r="6126" spans="25:25" hidden="1" x14ac:dyDescent="0.25">
      <c r="Y6126" s="501"/>
    </row>
    <row r="6127" spans="25:25" hidden="1" x14ac:dyDescent="0.25">
      <c r="Y6127" s="501"/>
    </row>
    <row r="6128" spans="25:25" hidden="1" x14ac:dyDescent="0.25">
      <c r="Y6128" s="501"/>
    </row>
    <row r="6129" spans="25:25" hidden="1" x14ac:dyDescent="0.25">
      <c r="Y6129" s="501"/>
    </row>
    <row r="6130" spans="25:25" hidden="1" x14ac:dyDescent="0.25">
      <c r="Y6130" s="501"/>
    </row>
    <row r="6131" spans="25:25" hidden="1" x14ac:dyDescent="0.25">
      <c r="Y6131" s="501"/>
    </row>
    <row r="6132" spans="25:25" hidden="1" x14ac:dyDescent="0.25">
      <c r="Y6132" s="501"/>
    </row>
    <row r="6133" spans="25:25" hidden="1" x14ac:dyDescent="0.25">
      <c r="Y6133" s="501"/>
    </row>
    <row r="6134" spans="25:25" hidden="1" x14ac:dyDescent="0.25">
      <c r="Y6134" s="501"/>
    </row>
    <row r="6135" spans="25:25" hidden="1" x14ac:dyDescent="0.25">
      <c r="Y6135" s="501"/>
    </row>
    <row r="6136" spans="25:25" hidden="1" x14ac:dyDescent="0.25">
      <c r="Y6136" s="501"/>
    </row>
    <row r="6137" spans="25:25" hidden="1" x14ac:dyDescent="0.25">
      <c r="Y6137" s="501"/>
    </row>
    <row r="6138" spans="25:25" hidden="1" x14ac:dyDescent="0.25">
      <c r="Y6138" s="501"/>
    </row>
    <row r="6139" spans="25:25" hidden="1" x14ac:dyDescent="0.25">
      <c r="Y6139" s="501"/>
    </row>
    <row r="6140" spans="25:25" hidden="1" x14ac:dyDescent="0.25">
      <c r="Y6140" s="501"/>
    </row>
    <row r="6141" spans="25:25" hidden="1" x14ac:dyDescent="0.25">
      <c r="Y6141" s="501"/>
    </row>
    <row r="6142" spans="25:25" hidden="1" x14ac:dyDescent="0.25">
      <c r="Y6142" s="501"/>
    </row>
    <row r="6143" spans="25:25" hidden="1" x14ac:dyDescent="0.25">
      <c r="Y6143" s="501"/>
    </row>
    <row r="6144" spans="25:25" hidden="1" x14ac:dyDescent="0.25">
      <c r="Y6144" s="501"/>
    </row>
    <row r="6145" spans="25:25" hidden="1" x14ac:dyDescent="0.25">
      <c r="Y6145" s="501"/>
    </row>
    <row r="6146" spans="25:25" hidden="1" x14ac:dyDescent="0.25">
      <c r="Y6146" s="501"/>
    </row>
    <row r="6147" spans="25:25" hidden="1" x14ac:dyDescent="0.25">
      <c r="Y6147" s="501"/>
    </row>
    <row r="6148" spans="25:25" hidden="1" x14ac:dyDescent="0.25">
      <c r="Y6148" s="501"/>
    </row>
    <row r="6149" spans="25:25" hidden="1" x14ac:dyDescent="0.25">
      <c r="Y6149" s="501"/>
    </row>
    <row r="6150" spans="25:25" hidden="1" x14ac:dyDescent="0.25">
      <c r="Y6150" s="501"/>
    </row>
    <row r="6151" spans="25:25" hidden="1" x14ac:dyDescent="0.25">
      <c r="Y6151" s="501"/>
    </row>
    <row r="6152" spans="25:25" hidden="1" x14ac:dyDescent="0.25">
      <c r="Y6152" s="501"/>
    </row>
    <row r="6153" spans="25:25" hidden="1" x14ac:dyDescent="0.25">
      <c r="Y6153" s="501"/>
    </row>
    <row r="6154" spans="25:25" hidden="1" x14ac:dyDescent="0.25">
      <c r="Y6154" s="501"/>
    </row>
    <row r="6155" spans="25:25" hidden="1" x14ac:dyDescent="0.25">
      <c r="Y6155" s="501"/>
    </row>
    <row r="6156" spans="25:25" hidden="1" x14ac:dyDescent="0.25">
      <c r="Y6156" s="501"/>
    </row>
    <row r="6157" spans="25:25" hidden="1" x14ac:dyDescent="0.25">
      <c r="Y6157" s="501"/>
    </row>
    <row r="6158" spans="25:25" hidden="1" x14ac:dyDescent="0.25">
      <c r="Y6158" s="501"/>
    </row>
    <row r="6159" spans="25:25" hidden="1" x14ac:dyDescent="0.25">
      <c r="Y6159" s="501"/>
    </row>
    <row r="6160" spans="25:25" hidden="1" x14ac:dyDescent="0.25">
      <c r="Y6160" s="501"/>
    </row>
    <row r="6161" spans="25:25" hidden="1" x14ac:dyDescent="0.25">
      <c r="Y6161" s="501"/>
    </row>
    <row r="6162" spans="25:25" hidden="1" x14ac:dyDescent="0.25">
      <c r="Y6162" s="501"/>
    </row>
    <row r="6163" spans="25:25" hidden="1" x14ac:dyDescent="0.25">
      <c r="Y6163" s="501"/>
    </row>
    <row r="6164" spans="25:25" hidden="1" x14ac:dyDescent="0.25">
      <c r="Y6164" s="501"/>
    </row>
    <row r="6165" spans="25:25" hidden="1" x14ac:dyDescent="0.25">
      <c r="Y6165" s="501"/>
    </row>
    <row r="6166" spans="25:25" hidden="1" x14ac:dyDescent="0.25">
      <c r="Y6166" s="501"/>
    </row>
    <row r="6167" spans="25:25" hidden="1" x14ac:dyDescent="0.25">
      <c r="Y6167" s="501"/>
    </row>
    <row r="6168" spans="25:25" hidden="1" x14ac:dyDescent="0.25">
      <c r="Y6168" s="501"/>
    </row>
    <row r="6169" spans="25:25" hidden="1" x14ac:dyDescent="0.25">
      <c r="Y6169" s="501"/>
    </row>
    <row r="6170" spans="25:25" hidden="1" x14ac:dyDescent="0.25">
      <c r="Y6170" s="501"/>
    </row>
    <row r="6171" spans="25:25" hidden="1" x14ac:dyDescent="0.25">
      <c r="Y6171" s="501"/>
    </row>
    <row r="6172" spans="25:25" hidden="1" x14ac:dyDescent="0.25">
      <c r="Y6172" s="501"/>
    </row>
    <row r="6173" spans="25:25" hidden="1" x14ac:dyDescent="0.25">
      <c r="Y6173" s="501"/>
    </row>
    <row r="6174" spans="25:25" hidden="1" x14ac:dyDescent="0.25">
      <c r="Y6174" s="501"/>
    </row>
    <row r="6175" spans="25:25" hidden="1" x14ac:dyDescent="0.25">
      <c r="Y6175" s="501"/>
    </row>
    <row r="6176" spans="25:25" hidden="1" x14ac:dyDescent="0.25">
      <c r="Y6176" s="501"/>
    </row>
    <row r="6177" spans="25:25" hidden="1" x14ac:dyDescent="0.25">
      <c r="Y6177" s="501"/>
    </row>
    <row r="6178" spans="25:25" hidden="1" x14ac:dyDescent="0.25">
      <c r="Y6178" s="501"/>
    </row>
    <row r="6179" spans="25:25" hidden="1" x14ac:dyDescent="0.25">
      <c r="Y6179" s="501"/>
    </row>
    <row r="6180" spans="25:25" hidden="1" x14ac:dyDescent="0.25">
      <c r="Y6180" s="501"/>
    </row>
    <row r="6181" spans="25:25" hidden="1" x14ac:dyDescent="0.25">
      <c r="Y6181" s="501"/>
    </row>
    <row r="6182" spans="25:25" hidden="1" x14ac:dyDescent="0.25">
      <c r="Y6182" s="501"/>
    </row>
    <row r="6183" spans="25:25" hidden="1" x14ac:dyDescent="0.25">
      <c r="Y6183" s="501"/>
    </row>
    <row r="6184" spans="25:25" hidden="1" x14ac:dyDescent="0.25">
      <c r="Y6184" s="501"/>
    </row>
    <row r="6185" spans="25:25" hidden="1" x14ac:dyDescent="0.25">
      <c r="Y6185" s="501"/>
    </row>
    <row r="6186" spans="25:25" hidden="1" x14ac:dyDescent="0.25">
      <c r="Y6186" s="501"/>
    </row>
    <row r="6187" spans="25:25" hidden="1" x14ac:dyDescent="0.25">
      <c r="Y6187" s="501"/>
    </row>
    <row r="6188" spans="25:25" hidden="1" x14ac:dyDescent="0.25">
      <c r="Y6188" s="501"/>
    </row>
    <row r="6189" spans="25:25" hidden="1" x14ac:dyDescent="0.25">
      <c r="Y6189" s="501"/>
    </row>
    <row r="6190" spans="25:25" hidden="1" x14ac:dyDescent="0.25">
      <c r="Y6190" s="501"/>
    </row>
    <row r="6191" spans="25:25" hidden="1" x14ac:dyDescent="0.25">
      <c r="Y6191" s="501"/>
    </row>
    <row r="6192" spans="25:25" hidden="1" x14ac:dyDescent="0.25">
      <c r="Y6192" s="501"/>
    </row>
    <row r="6193" spans="25:25" hidden="1" x14ac:dyDescent="0.25">
      <c r="Y6193" s="501"/>
    </row>
    <row r="6194" spans="25:25" hidden="1" x14ac:dyDescent="0.25">
      <c r="Y6194" s="501"/>
    </row>
    <row r="6195" spans="25:25" hidden="1" x14ac:dyDescent="0.25">
      <c r="Y6195" s="501"/>
    </row>
    <row r="6196" spans="25:25" hidden="1" x14ac:dyDescent="0.25">
      <c r="Y6196" s="501"/>
    </row>
    <row r="6197" spans="25:25" hidden="1" x14ac:dyDescent="0.25">
      <c r="Y6197" s="501"/>
    </row>
    <row r="6198" spans="25:25" hidden="1" x14ac:dyDescent="0.25">
      <c r="Y6198" s="501"/>
    </row>
    <row r="6199" spans="25:25" hidden="1" x14ac:dyDescent="0.25">
      <c r="Y6199" s="501"/>
    </row>
    <row r="6200" spans="25:25" hidden="1" x14ac:dyDescent="0.25">
      <c r="Y6200" s="501"/>
    </row>
    <row r="6201" spans="25:25" hidden="1" x14ac:dyDescent="0.25">
      <c r="Y6201" s="501"/>
    </row>
    <row r="6202" spans="25:25" hidden="1" x14ac:dyDescent="0.25">
      <c r="Y6202" s="501"/>
    </row>
    <row r="6203" spans="25:25" hidden="1" x14ac:dyDescent="0.25">
      <c r="Y6203" s="501"/>
    </row>
    <row r="6204" spans="25:25" hidden="1" x14ac:dyDescent="0.25">
      <c r="Y6204" s="501"/>
    </row>
    <row r="6205" spans="25:25" hidden="1" x14ac:dyDescent="0.25">
      <c r="Y6205" s="501"/>
    </row>
    <row r="6206" spans="25:25" hidden="1" x14ac:dyDescent="0.25">
      <c r="Y6206" s="501"/>
    </row>
    <row r="6207" spans="25:25" hidden="1" x14ac:dyDescent="0.25">
      <c r="Y6207" s="501"/>
    </row>
    <row r="6208" spans="25:25" hidden="1" x14ac:dyDescent="0.25">
      <c r="Y6208" s="501"/>
    </row>
    <row r="6209" spans="25:25" hidden="1" x14ac:dyDescent="0.25">
      <c r="Y6209" s="501"/>
    </row>
    <row r="6210" spans="25:25" hidden="1" x14ac:dyDescent="0.25">
      <c r="Y6210" s="501"/>
    </row>
    <row r="6211" spans="25:25" hidden="1" x14ac:dyDescent="0.25">
      <c r="Y6211" s="501"/>
    </row>
    <row r="6212" spans="25:25" hidden="1" x14ac:dyDescent="0.25">
      <c r="Y6212" s="501"/>
    </row>
    <row r="6213" spans="25:25" hidden="1" x14ac:dyDescent="0.25">
      <c r="Y6213" s="501"/>
    </row>
    <row r="6214" spans="25:25" hidden="1" x14ac:dyDescent="0.25">
      <c r="Y6214" s="501"/>
    </row>
    <row r="6215" spans="25:25" hidden="1" x14ac:dyDescent="0.25">
      <c r="Y6215" s="501"/>
    </row>
    <row r="6216" spans="25:25" hidden="1" x14ac:dyDescent="0.25">
      <c r="Y6216" s="501"/>
    </row>
    <row r="6217" spans="25:25" hidden="1" x14ac:dyDescent="0.25">
      <c r="Y6217" s="501"/>
    </row>
    <row r="6218" spans="25:25" hidden="1" x14ac:dyDescent="0.25">
      <c r="Y6218" s="501"/>
    </row>
    <row r="6219" spans="25:25" hidden="1" x14ac:dyDescent="0.25">
      <c r="Y6219" s="501"/>
    </row>
    <row r="6220" spans="25:25" hidden="1" x14ac:dyDescent="0.25">
      <c r="Y6220" s="501"/>
    </row>
    <row r="6221" spans="25:25" hidden="1" x14ac:dyDescent="0.25">
      <c r="Y6221" s="501"/>
    </row>
    <row r="6222" spans="25:25" hidden="1" x14ac:dyDescent="0.25">
      <c r="Y6222" s="501"/>
    </row>
    <row r="6223" spans="25:25" hidden="1" x14ac:dyDescent="0.25">
      <c r="Y6223" s="501"/>
    </row>
    <row r="6224" spans="25:25" hidden="1" x14ac:dyDescent="0.25">
      <c r="Y6224" s="501"/>
    </row>
    <row r="6225" spans="25:25" hidden="1" x14ac:dyDescent="0.25">
      <c r="Y6225" s="501"/>
    </row>
    <row r="6226" spans="25:25" hidden="1" x14ac:dyDescent="0.25">
      <c r="Y6226" s="501"/>
    </row>
    <row r="6227" spans="25:25" hidden="1" x14ac:dyDescent="0.25">
      <c r="Y6227" s="501"/>
    </row>
    <row r="6228" spans="25:25" hidden="1" x14ac:dyDescent="0.25">
      <c r="Y6228" s="501"/>
    </row>
    <row r="6229" spans="25:25" hidden="1" x14ac:dyDescent="0.25">
      <c r="Y6229" s="501"/>
    </row>
    <row r="6230" spans="25:25" hidden="1" x14ac:dyDescent="0.25">
      <c r="Y6230" s="501"/>
    </row>
    <row r="6231" spans="25:25" hidden="1" x14ac:dyDescent="0.25">
      <c r="Y6231" s="501"/>
    </row>
    <row r="6232" spans="25:25" hidden="1" x14ac:dyDescent="0.25">
      <c r="Y6232" s="501"/>
    </row>
    <row r="6233" spans="25:25" hidden="1" x14ac:dyDescent="0.25">
      <c r="Y6233" s="501"/>
    </row>
    <row r="6234" spans="25:25" hidden="1" x14ac:dyDescent="0.25">
      <c r="Y6234" s="501"/>
    </row>
    <row r="6235" spans="25:25" hidden="1" x14ac:dyDescent="0.25">
      <c r="Y6235" s="501"/>
    </row>
    <row r="6236" spans="25:25" hidden="1" x14ac:dyDescent="0.25">
      <c r="Y6236" s="501"/>
    </row>
    <row r="6237" spans="25:25" hidden="1" x14ac:dyDescent="0.25">
      <c r="Y6237" s="501"/>
    </row>
    <row r="6238" spans="25:25" hidden="1" x14ac:dyDescent="0.25">
      <c r="Y6238" s="501"/>
    </row>
    <row r="6239" spans="25:25" hidden="1" x14ac:dyDescent="0.25">
      <c r="Y6239" s="501"/>
    </row>
    <row r="6240" spans="25:25" hidden="1" x14ac:dyDescent="0.25">
      <c r="Y6240" s="501"/>
    </row>
    <row r="6241" spans="25:25" hidden="1" x14ac:dyDescent="0.25">
      <c r="Y6241" s="501"/>
    </row>
    <row r="6242" spans="25:25" hidden="1" x14ac:dyDescent="0.25">
      <c r="Y6242" s="501"/>
    </row>
    <row r="6243" spans="25:25" hidden="1" x14ac:dyDescent="0.25">
      <c r="Y6243" s="501"/>
    </row>
    <row r="6244" spans="25:25" hidden="1" x14ac:dyDescent="0.25">
      <c r="Y6244" s="501"/>
    </row>
    <row r="6245" spans="25:25" hidden="1" x14ac:dyDescent="0.25">
      <c r="Y6245" s="501"/>
    </row>
    <row r="6246" spans="25:25" hidden="1" x14ac:dyDescent="0.25">
      <c r="Y6246" s="501"/>
    </row>
    <row r="6247" spans="25:25" hidden="1" x14ac:dyDescent="0.25">
      <c r="Y6247" s="501"/>
    </row>
    <row r="6248" spans="25:25" hidden="1" x14ac:dyDescent="0.25">
      <c r="Y6248" s="501"/>
    </row>
    <row r="6249" spans="25:25" hidden="1" x14ac:dyDescent="0.25">
      <c r="Y6249" s="501"/>
    </row>
    <row r="6250" spans="25:25" hidden="1" x14ac:dyDescent="0.25">
      <c r="Y6250" s="501"/>
    </row>
    <row r="6251" spans="25:25" hidden="1" x14ac:dyDescent="0.25">
      <c r="Y6251" s="501"/>
    </row>
    <row r="6252" spans="25:25" hidden="1" x14ac:dyDescent="0.25">
      <c r="Y6252" s="501"/>
    </row>
    <row r="6253" spans="25:25" hidden="1" x14ac:dyDescent="0.25">
      <c r="Y6253" s="501"/>
    </row>
    <row r="6254" spans="25:25" hidden="1" x14ac:dyDescent="0.25">
      <c r="Y6254" s="501"/>
    </row>
    <row r="6255" spans="25:25" hidden="1" x14ac:dyDescent="0.25">
      <c r="Y6255" s="501"/>
    </row>
    <row r="6256" spans="25:25" hidden="1" x14ac:dyDescent="0.25">
      <c r="Y6256" s="501"/>
    </row>
    <row r="6257" spans="25:25" hidden="1" x14ac:dyDescent="0.25">
      <c r="Y6257" s="501"/>
    </row>
    <row r="6258" spans="25:25" hidden="1" x14ac:dyDescent="0.25">
      <c r="Y6258" s="501"/>
    </row>
    <row r="6259" spans="25:25" hidden="1" x14ac:dyDescent="0.25">
      <c r="Y6259" s="501"/>
    </row>
    <row r="6260" spans="25:25" hidden="1" x14ac:dyDescent="0.25">
      <c r="Y6260" s="501"/>
    </row>
    <row r="6261" spans="25:25" hidden="1" x14ac:dyDescent="0.25">
      <c r="Y6261" s="501"/>
    </row>
    <row r="6262" spans="25:25" hidden="1" x14ac:dyDescent="0.25">
      <c r="Y6262" s="501"/>
    </row>
    <row r="6263" spans="25:25" hidden="1" x14ac:dyDescent="0.25">
      <c r="Y6263" s="501"/>
    </row>
    <row r="6264" spans="25:25" hidden="1" x14ac:dyDescent="0.25">
      <c r="Y6264" s="501"/>
    </row>
    <row r="6265" spans="25:25" hidden="1" x14ac:dyDescent="0.25">
      <c r="Y6265" s="501"/>
    </row>
    <row r="6266" spans="25:25" hidden="1" x14ac:dyDescent="0.25">
      <c r="Y6266" s="501"/>
    </row>
    <row r="6267" spans="25:25" hidden="1" x14ac:dyDescent="0.25">
      <c r="Y6267" s="501"/>
    </row>
    <row r="6268" spans="25:25" hidden="1" x14ac:dyDescent="0.25">
      <c r="Y6268" s="501"/>
    </row>
    <row r="6269" spans="25:25" hidden="1" x14ac:dyDescent="0.25">
      <c r="Y6269" s="501"/>
    </row>
    <row r="6270" spans="25:25" hidden="1" x14ac:dyDescent="0.25">
      <c r="Y6270" s="501"/>
    </row>
    <row r="6271" spans="25:25" hidden="1" x14ac:dyDescent="0.25">
      <c r="Y6271" s="501"/>
    </row>
    <row r="6272" spans="25:25" hidden="1" x14ac:dyDescent="0.25">
      <c r="Y6272" s="501"/>
    </row>
    <row r="6273" spans="25:25" hidden="1" x14ac:dyDescent="0.25">
      <c r="Y6273" s="501"/>
    </row>
    <row r="6274" spans="25:25" hidden="1" x14ac:dyDescent="0.25">
      <c r="Y6274" s="501"/>
    </row>
    <row r="6275" spans="25:25" hidden="1" x14ac:dyDescent="0.25">
      <c r="Y6275" s="501"/>
    </row>
    <row r="6276" spans="25:25" hidden="1" x14ac:dyDescent="0.25">
      <c r="Y6276" s="501"/>
    </row>
    <row r="6277" spans="25:25" hidden="1" x14ac:dyDescent="0.25">
      <c r="Y6277" s="501"/>
    </row>
    <row r="6278" spans="25:25" hidden="1" x14ac:dyDescent="0.25">
      <c r="Y6278" s="501"/>
    </row>
    <row r="6279" spans="25:25" hidden="1" x14ac:dyDescent="0.25">
      <c r="Y6279" s="501"/>
    </row>
    <row r="6280" spans="25:25" hidden="1" x14ac:dyDescent="0.25">
      <c r="Y6280" s="501"/>
    </row>
    <row r="6281" spans="25:25" hidden="1" x14ac:dyDescent="0.25">
      <c r="Y6281" s="501"/>
    </row>
    <row r="6282" spans="25:25" hidden="1" x14ac:dyDescent="0.25">
      <c r="Y6282" s="501"/>
    </row>
    <row r="6283" spans="25:25" hidden="1" x14ac:dyDescent="0.25">
      <c r="Y6283" s="501"/>
    </row>
    <row r="6284" spans="25:25" hidden="1" x14ac:dyDescent="0.25">
      <c r="Y6284" s="501"/>
    </row>
    <row r="6285" spans="25:25" hidden="1" x14ac:dyDescent="0.25">
      <c r="Y6285" s="501"/>
    </row>
    <row r="6286" spans="25:25" hidden="1" x14ac:dyDescent="0.25">
      <c r="Y6286" s="501"/>
    </row>
    <row r="6287" spans="25:25" hidden="1" x14ac:dyDescent="0.25">
      <c r="Y6287" s="501"/>
    </row>
    <row r="6288" spans="25:25" hidden="1" x14ac:dyDescent="0.25">
      <c r="Y6288" s="501"/>
    </row>
    <row r="6289" spans="25:25" hidden="1" x14ac:dyDescent="0.25">
      <c r="Y6289" s="501"/>
    </row>
    <row r="6290" spans="25:25" hidden="1" x14ac:dyDescent="0.25">
      <c r="Y6290" s="501"/>
    </row>
    <row r="6291" spans="25:25" hidden="1" x14ac:dyDescent="0.25">
      <c r="Y6291" s="501"/>
    </row>
    <row r="6292" spans="25:25" hidden="1" x14ac:dyDescent="0.25">
      <c r="Y6292" s="501"/>
    </row>
    <row r="6293" spans="25:25" hidden="1" x14ac:dyDescent="0.25">
      <c r="Y6293" s="501"/>
    </row>
    <row r="6294" spans="25:25" hidden="1" x14ac:dyDescent="0.25">
      <c r="Y6294" s="501"/>
    </row>
    <row r="6295" spans="25:25" hidden="1" x14ac:dyDescent="0.25">
      <c r="Y6295" s="501"/>
    </row>
    <row r="6296" spans="25:25" hidden="1" x14ac:dyDescent="0.25">
      <c r="Y6296" s="501"/>
    </row>
    <row r="6297" spans="25:25" hidden="1" x14ac:dyDescent="0.25">
      <c r="Y6297" s="501"/>
    </row>
    <row r="6298" spans="25:25" hidden="1" x14ac:dyDescent="0.25">
      <c r="Y6298" s="501"/>
    </row>
    <row r="6299" spans="25:25" hidden="1" x14ac:dyDescent="0.25">
      <c r="Y6299" s="501"/>
    </row>
    <row r="6300" spans="25:25" hidden="1" x14ac:dyDescent="0.25">
      <c r="Y6300" s="501"/>
    </row>
    <row r="6301" spans="25:25" hidden="1" x14ac:dyDescent="0.25">
      <c r="Y6301" s="501"/>
    </row>
    <row r="6302" spans="25:25" hidden="1" x14ac:dyDescent="0.25">
      <c r="Y6302" s="501"/>
    </row>
    <row r="6303" spans="25:25" hidden="1" x14ac:dyDescent="0.25">
      <c r="Y6303" s="501"/>
    </row>
    <row r="6304" spans="25:25" hidden="1" x14ac:dyDescent="0.25">
      <c r="Y6304" s="501"/>
    </row>
    <row r="6305" spans="25:25" hidden="1" x14ac:dyDescent="0.25">
      <c r="Y6305" s="501"/>
    </row>
    <row r="6306" spans="25:25" hidden="1" x14ac:dyDescent="0.25">
      <c r="Y6306" s="501"/>
    </row>
    <row r="6307" spans="25:25" hidden="1" x14ac:dyDescent="0.25">
      <c r="Y6307" s="501"/>
    </row>
    <row r="6308" spans="25:25" hidden="1" x14ac:dyDescent="0.25">
      <c r="Y6308" s="501"/>
    </row>
    <row r="6309" spans="25:25" hidden="1" x14ac:dyDescent="0.25">
      <c r="Y6309" s="501"/>
    </row>
    <row r="6310" spans="25:25" hidden="1" x14ac:dyDescent="0.25">
      <c r="Y6310" s="501"/>
    </row>
    <row r="6311" spans="25:25" hidden="1" x14ac:dyDescent="0.25">
      <c r="Y6311" s="501"/>
    </row>
    <row r="6312" spans="25:25" hidden="1" x14ac:dyDescent="0.25">
      <c r="Y6312" s="501"/>
    </row>
    <row r="6313" spans="25:25" hidden="1" x14ac:dyDescent="0.25">
      <c r="Y6313" s="501"/>
    </row>
    <row r="6314" spans="25:25" hidden="1" x14ac:dyDescent="0.25">
      <c r="Y6314" s="501"/>
    </row>
    <row r="6315" spans="25:25" hidden="1" x14ac:dyDescent="0.25">
      <c r="Y6315" s="501"/>
    </row>
    <row r="6316" spans="25:25" hidden="1" x14ac:dyDescent="0.25">
      <c r="Y6316" s="501"/>
    </row>
    <row r="6317" spans="25:25" hidden="1" x14ac:dyDescent="0.25">
      <c r="Y6317" s="501"/>
    </row>
    <row r="6318" spans="25:25" hidden="1" x14ac:dyDescent="0.25">
      <c r="Y6318" s="501"/>
    </row>
    <row r="6319" spans="25:25" hidden="1" x14ac:dyDescent="0.25">
      <c r="Y6319" s="501"/>
    </row>
    <row r="6320" spans="25:25" hidden="1" x14ac:dyDescent="0.25">
      <c r="Y6320" s="501"/>
    </row>
    <row r="6321" spans="25:25" hidden="1" x14ac:dyDescent="0.25">
      <c r="Y6321" s="501"/>
    </row>
    <row r="6322" spans="25:25" hidden="1" x14ac:dyDescent="0.25">
      <c r="Y6322" s="501"/>
    </row>
    <row r="6323" spans="25:25" hidden="1" x14ac:dyDescent="0.25">
      <c r="Y6323" s="501"/>
    </row>
    <row r="6324" spans="25:25" hidden="1" x14ac:dyDescent="0.25">
      <c r="Y6324" s="501"/>
    </row>
    <row r="6325" spans="25:25" hidden="1" x14ac:dyDescent="0.25">
      <c r="Y6325" s="501"/>
    </row>
    <row r="6326" spans="25:25" hidden="1" x14ac:dyDescent="0.25">
      <c r="Y6326" s="501"/>
    </row>
    <row r="6327" spans="25:25" hidden="1" x14ac:dyDescent="0.25">
      <c r="Y6327" s="501"/>
    </row>
    <row r="6328" spans="25:25" hidden="1" x14ac:dyDescent="0.25">
      <c r="Y6328" s="501"/>
    </row>
    <row r="6329" spans="25:25" hidden="1" x14ac:dyDescent="0.25">
      <c r="Y6329" s="501"/>
    </row>
    <row r="6330" spans="25:25" hidden="1" x14ac:dyDescent="0.25">
      <c r="Y6330" s="501"/>
    </row>
    <row r="6331" spans="25:25" hidden="1" x14ac:dyDescent="0.25">
      <c r="Y6331" s="501"/>
    </row>
    <row r="6332" spans="25:25" hidden="1" x14ac:dyDescent="0.25">
      <c r="Y6332" s="501"/>
    </row>
    <row r="6333" spans="25:25" hidden="1" x14ac:dyDescent="0.25">
      <c r="Y6333" s="501"/>
    </row>
    <row r="6334" spans="25:25" hidden="1" x14ac:dyDescent="0.25">
      <c r="Y6334" s="501"/>
    </row>
    <row r="6335" spans="25:25" hidden="1" x14ac:dyDescent="0.25">
      <c r="Y6335" s="501"/>
    </row>
    <row r="6336" spans="25:25" hidden="1" x14ac:dyDescent="0.25">
      <c r="Y6336" s="501"/>
    </row>
    <row r="6337" spans="25:25" hidden="1" x14ac:dyDescent="0.25">
      <c r="Y6337" s="501"/>
    </row>
    <row r="6338" spans="25:25" hidden="1" x14ac:dyDescent="0.25">
      <c r="Y6338" s="501"/>
    </row>
    <row r="6339" spans="25:25" hidden="1" x14ac:dyDescent="0.25">
      <c r="Y6339" s="501"/>
    </row>
    <row r="6340" spans="25:25" hidden="1" x14ac:dyDescent="0.25">
      <c r="Y6340" s="501"/>
    </row>
    <row r="6341" spans="25:25" hidden="1" x14ac:dyDescent="0.25">
      <c r="Y6341" s="501"/>
    </row>
    <row r="6342" spans="25:25" hidden="1" x14ac:dyDescent="0.25">
      <c r="Y6342" s="501"/>
    </row>
    <row r="6343" spans="25:25" hidden="1" x14ac:dyDescent="0.25">
      <c r="Y6343" s="501"/>
    </row>
    <row r="6344" spans="25:25" hidden="1" x14ac:dyDescent="0.25">
      <c r="Y6344" s="501"/>
    </row>
    <row r="6345" spans="25:25" hidden="1" x14ac:dyDescent="0.25">
      <c r="Y6345" s="501"/>
    </row>
    <row r="6346" spans="25:25" hidden="1" x14ac:dyDescent="0.25">
      <c r="Y6346" s="501"/>
    </row>
    <row r="6347" spans="25:25" hidden="1" x14ac:dyDescent="0.25">
      <c r="Y6347" s="501"/>
    </row>
    <row r="6348" spans="25:25" hidden="1" x14ac:dyDescent="0.25">
      <c r="Y6348" s="501"/>
    </row>
    <row r="6349" spans="25:25" hidden="1" x14ac:dyDescent="0.25">
      <c r="Y6349" s="501"/>
    </row>
    <row r="6350" spans="25:25" hidden="1" x14ac:dyDescent="0.25">
      <c r="Y6350" s="501"/>
    </row>
    <row r="6351" spans="25:25" hidden="1" x14ac:dyDescent="0.25">
      <c r="Y6351" s="501"/>
    </row>
    <row r="6352" spans="25:25" hidden="1" x14ac:dyDescent="0.25">
      <c r="Y6352" s="501"/>
    </row>
    <row r="6353" spans="25:25" hidden="1" x14ac:dyDescent="0.25">
      <c r="Y6353" s="501"/>
    </row>
    <row r="6354" spans="25:25" hidden="1" x14ac:dyDescent="0.25">
      <c r="Y6354" s="501"/>
    </row>
    <row r="6355" spans="25:25" hidden="1" x14ac:dyDescent="0.25">
      <c r="Y6355" s="501"/>
    </row>
    <row r="6356" spans="25:25" hidden="1" x14ac:dyDescent="0.25">
      <c r="Y6356" s="501"/>
    </row>
    <row r="6357" spans="25:25" hidden="1" x14ac:dyDescent="0.25">
      <c r="Y6357" s="501"/>
    </row>
    <row r="6358" spans="25:25" hidden="1" x14ac:dyDescent="0.25">
      <c r="Y6358" s="501"/>
    </row>
    <row r="6359" spans="25:25" hidden="1" x14ac:dyDescent="0.25">
      <c r="Y6359" s="501"/>
    </row>
    <row r="6360" spans="25:25" hidden="1" x14ac:dyDescent="0.25">
      <c r="Y6360" s="501"/>
    </row>
    <row r="6361" spans="25:25" hidden="1" x14ac:dyDescent="0.25">
      <c r="Y6361" s="501"/>
    </row>
    <row r="6362" spans="25:25" hidden="1" x14ac:dyDescent="0.25">
      <c r="Y6362" s="501"/>
    </row>
    <row r="6363" spans="25:25" hidden="1" x14ac:dyDescent="0.25">
      <c r="Y6363" s="501"/>
    </row>
    <row r="6364" spans="25:25" hidden="1" x14ac:dyDescent="0.25">
      <c r="Y6364" s="501"/>
    </row>
    <row r="6365" spans="25:25" hidden="1" x14ac:dyDescent="0.25">
      <c r="Y6365" s="501"/>
    </row>
    <row r="6366" spans="25:25" hidden="1" x14ac:dyDescent="0.25">
      <c r="Y6366" s="501"/>
    </row>
    <row r="6367" spans="25:25" hidden="1" x14ac:dyDescent="0.25">
      <c r="Y6367" s="501"/>
    </row>
    <row r="6368" spans="25:25" hidden="1" x14ac:dyDescent="0.25">
      <c r="Y6368" s="501"/>
    </row>
    <row r="6369" spans="25:25" hidden="1" x14ac:dyDescent="0.25">
      <c r="Y6369" s="501"/>
    </row>
    <row r="6370" spans="25:25" hidden="1" x14ac:dyDescent="0.25">
      <c r="Y6370" s="501"/>
    </row>
    <row r="6371" spans="25:25" hidden="1" x14ac:dyDescent="0.25">
      <c r="Y6371" s="501"/>
    </row>
    <row r="6372" spans="25:25" hidden="1" x14ac:dyDescent="0.25">
      <c r="Y6372" s="501"/>
    </row>
    <row r="6373" spans="25:25" hidden="1" x14ac:dyDescent="0.25">
      <c r="Y6373" s="501"/>
    </row>
    <row r="6374" spans="25:25" hidden="1" x14ac:dyDescent="0.25">
      <c r="Y6374" s="501"/>
    </row>
    <row r="6375" spans="25:25" hidden="1" x14ac:dyDescent="0.25">
      <c r="Y6375" s="501"/>
    </row>
    <row r="6376" spans="25:25" hidden="1" x14ac:dyDescent="0.25">
      <c r="Y6376" s="501"/>
    </row>
    <row r="6377" spans="25:25" hidden="1" x14ac:dyDescent="0.25">
      <c r="Y6377" s="501"/>
    </row>
    <row r="6378" spans="25:25" hidden="1" x14ac:dyDescent="0.25">
      <c r="Y6378" s="501"/>
    </row>
    <row r="6379" spans="25:25" hidden="1" x14ac:dyDescent="0.25">
      <c r="Y6379" s="501"/>
    </row>
    <row r="6380" spans="25:25" hidden="1" x14ac:dyDescent="0.25">
      <c r="Y6380" s="501"/>
    </row>
    <row r="6381" spans="25:25" hidden="1" x14ac:dyDescent="0.25">
      <c r="Y6381" s="501"/>
    </row>
    <row r="6382" spans="25:25" hidden="1" x14ac:dyDescent="0.25">
      <c r="Y6382" s="501"/>
    </row>
    <row r="6383" spans="25:25" hidden="1" x14ac:dyDescent="0.25">
      <c r="Y6383" s="501"/>
    </row>
    <row r="6384" spans="25:25" hidden="1" x14ac:dyDescent="0.25">
      <c r="Y6384" s="501"/>
    </row>
    <row r="6385" spans="25:25" hidden="1" x14ac:dyDescent="0.25">
      <c r="Y6385" s="501"/>
    </row>
    <row r="6386" spans="25:25" hidden="1" x14ac:dyDescent="0.25">
      <c r="Y6386" s="501"/>
    </row>
    <row r="6387" spans="25:25" hidden="1" x14ac:dyDescent="0.25">
      <c r="Y6387" s="501"/>
    </row>
    <row r="6388" spans="25:25" hidden="1" x14ac:dyDescent="0.25">
      <c r="Y6388" s="501"/>
    </row>
    <row r="6389" spans="25:25" hidden="1" x14ac:dyDescent="0.25">
      <c r="Y6389" s="501"/>
    </row>
    <row r="6390" spans="25:25" hidden="1" x14ac:dyDescent="0.25">
      <c r="Y6390" s="501"/>
    </row>
    <row r="6391" spans="25:25" hidden="1" x14ac:dyDescent="0.25">
      <c r="Y6391" s="501"/>
    </row>
    <row r="6392" spans="25:25" hidden="1" x14ac:dyDescent="0.25">
      <c r="Y6392" s="501"/>
    </row>
    <row r="6393" spans="25:25" hidden="1" x14ac:dyDescent="0.25">
      <c r="Y6393" s="501"/>
    </row>
    <row r="6394" spans="25:25" hidden="1" x14ac:dyDescent="0.25">
      <c r="Y6394" s="501"/>
    </row>
    <row r="6395" spans="25:25" hidden="1" x14ac:dyDescent="0.25">
      <c r="Y6395" s="501"/>
    </row>
    <row r="6396" spans="25:25" hidden="1" x14ac:dyDescent="0.25">
      <c r="Y6396" s="501"/>
    </row>
    <row r="6397" spans="25:25" hidden="1" x14ac:dyDescent="0.25">
      <c r="Y6397" s="501"/>
    </row>
    <row r="6398" spans="25:25" hidden="1" x14ac:dyDescent="0.25">
      <c r="Y6398" s="501"/>
    </row>
    <row r="6399" spans="25:25" hidden="1" x14ac:dyDescent="0.25">
      <c r="Y6399" s="501"/>
    </row>
    <row r="6400" spans="25:25" hidden="1" x14ac:dyDescent="0.25">
      <c r="Y6400" s="501"/>
    </row>
    <row r="6401" spans="25:25" hidden="1" x14ac:dyDescent="0.25">
      <c r="Y6401" s="501"/>
    </row>
    <row r="6402" spans="25:25" hidden="1" x14ac:dyDescent="0.25">
      <c r="Y6402" s="501"/>
    </row>
    <row r="6403" spans="25:25" hidden="1" x14ac:dyDescent="0.25">
      <c r="Y6403" s="501"/>
    </row>
    <row r="6404" spans="25:25" hidden="1" x14ac:dyDescent="0.25">
      <c r="Y6404" s="501"/>
    </row>
    <row r="6405" spans="25:25" hidden="1" x14ac:dyDescent="0.25">
      <c r="Y6405" s="501"/>
    </row>
    <row r="6406" spans="25:25" hidden="1" x14ac:dyDescent="0.25">
      <c r="Y6406" s="501"/>
    </row>
    <row r="6407" spans="25:25" hidden="1" x14ac:dyDescent="0.25">
      <c r="Y6407" s="501"/>
    </row>
    <row r="6408" spans="25:25" hidden="1" x14ac:dyDescent="0.25">
      <c r="Y6408" s="501"/>
    </row>
    <row r="6409" spans="25:25" hidden="1" x14ac:dyDescent="0.25">
      <c r="Y6409" s="501"/>
    </row>
    <row r="6410" spans="25:25" hidden="1" x14ac:dyDescent="0.25">
      <c r="Y6410" s="501"/>
    </row>
    <row r="6411" spans="25:25" hidden="1" x14ac:dyDescent="0.25">
      <c r="Y6411" s="501"/>
    </row>
    <row r="6412" spans="25:25" hidden="1" x14ac:dyDescent="0.25">
      <c r="Y6412" s="501"/>
    </row>
    <row r="6413" spans="25:25" hidden="1" x14ac:dyDescent="0.25">
      <c r="Y6413" s="501"/>
    </row>
    <row r="6414" spans="25:25" hidden="1" x14ac:dyDescent="0.25">
      <c r="Y6414" s="501"/>
    </row>
    <row r="6415" spans="25:25" hidden="1" x14ac:dyDescent="0.25">
      <c r="Y6415" s="501"/>
    </row>
    <row r="6416" spans="25:25" hidden="1" x14ac:dyDescent="0.25">
      <c r="Y6416" s="501"/>
    </row>
    <row r="6417" spans="25:25" hidden="1" x14ac:dyDescent="0.25">
      <c r="Y6417" s="501"/>
    </row>
    <row r="6418" spans="25:25" hidden="1" x14ac:dyDescent="0.25">
      <c r="Y6418" s="501"/>
    </row>
    <row r="6419" spans="25:25" hidden="1" x14ac:dyDescent="0.25">
      <c r="Y6419" s="501"/>
    </row>
    <row r="6420" spans="25:25" hidden="1" x14ac:dyDescent="0.25">
      <c r="Y6420" s="501"/>
    </row>
    <row r="6421" spans="25:25" hidden="1" x14ac:dyDescent="0.25">
      <c r="Y6421" s="501"/>
    </row>
    <row r="6422" spans="25:25" hidden="1" x14ac:dyDescent="0.25">
      <c r="Y6422" s="501"/>
    </row>
    <row r="6423" spans="25:25" hidden="1" x14ac:dyDescent="0.25">
      <c r="Y6423" s="501"/>
    </row>
    <row r="6424" spans="25:25" hidden="1" x14ac:dyDescent="0.25">
      <c r="Y6424" s="501"/>
    </row>
    <row r="6425" spans="25:25" hidden="1" x14ac:dyDescent="0.25">
      <c r="Y6425" s="501"/>
    </row>
    <row r="6426" spans="25:25" hidden="1" x14ac:dyDescent="0.25">
      <c r="Y6426" s="501"/>
    </row>
    <row r="6427" spans="25:25" hidden="1" x14ac:dyDescent="0.25">
      <c r="Y6427" s="501"/>
    </row>
    <row r="6428" spans="25:25" hidden="1" x14ac:dyDescent="0.25">
      <c r="Y6428" s="501"/>
    </row>
    <row r="6429" spans="25:25" hidden="1" x14ac:dyDescent="0.25">
      <c r="Y6429" s="501"/>
    </row>
    <row r="6430" spans="25:25" hidden="1" x14ac:dyDescent="0.25">
      <c r="Y6430" s="501"/>
    </row>
    <row r="6431" spans="25:25" hidden="1" x14ac:dyDescent="0.25">
      <c r="Y6431" s="501"/>
    </row>
    <row r="6432" spans="25:25" hidden="1" x14ac:dyDescent="0.25">
      <c r="Y6432" s="501"/>
    </row>
    <row r="6433" spans="25:25" hidden="1" x14ac:dyDescent="0.25">
      <c r="Y6433" s="501"/>
    </row>
    <row r="6434" spans="25:25" hidden="1" x14ac:dyDescent="0.25">
      <c r="Y6434" s="501"/>
    </row>
    <row r="6435" spans="25:25" hidden="1" x14ac:dyDescent="0.25">
      <c r="Y6435" s="501"/>
    </row>
    <row r="6436" spans="25:25" hidden="1" x14ac:dyDescent="0.25">
      <c r="Y6436" s="501"/>
    </row>
    <row r="6437" spans="25:25" hidden="1" x14ac:dyDescent="0.25">
      <c r="Y6437" s="501"/>
    </row>
    <row r="6438" spans="25:25" hidden="1" x14ac:dyDescent="0.25">
      <c r="Y6438" s="501"/>
    </row>
    <row r="6439" spans="25:25" hidden="1" x14ac:dyDescent="0.25">
      <c r="Y6439" s="501"/>
    </row>
    <row r="6440" spans="25:25" hidden="1" x14ac:dyDescent="0.25">
      <c r="Y6440" s="501"/>
    </row>
    <row r="6441" spans="25:25" hidden="1" x14ac:dyDescent="0.25">
      <c r="Y6441" s="501"/>
    </row>
    <row r="6442" spans="25:25" hidden="1" x14ac:dyDescent="0.25">
      <c r="Y6442" s="501"/>
    </row>
    <row r="6443" spans="25:25" hidden="1" x14ac:dyDescent="0.25">
      <c r="Y6443" s="501"/>
    </row>
    <row r="6444" spans="25:25" hidden="1" x14ac:dyDescent="0.25">
      <c r="Y6444" s="501"/>
    </row>
    <row r="6445" spans="25:25" hidden="1" x14ac:dyDescent="0.25">
      <c r="Y6445" s="501"/>
    </row>
    <row r="6446" spans="25:25" hidden="1" x14ac:dyDescent="0.25">
      <c r="Y6446" s="501"/>
    </row>
    <row r="6447" spans="25:25" hidden="1" x14ac:dyDescent="0.25">
      <c r="Y6447" s="501"/>
    </row>
    <row r="6448" spans="25:25" hidden="1" x14ac:dyDescent="0.25">
      <c r="Y6448" s="501"/>
    </row>
    <row r="6449" spans="25:25" hidden="1" x14ac:dyDescent="0.25">
      <c r="Y6449" s="501"/>
    </row>
    <row r="6450" spans="25:25" hidden="1" x14ac:dyDescent="0.25">
      <c r="Y6450" s="501"/>
    </row>
    <row r="6451" spans="25:25" hidden="1" x14ac:dyDescent="0.25">
      <c r="Y6451" s="501"/>
    </row>
    <row r="6452" spans="25:25" hidden="1" x14ac:dyDescent="0.25">
      <c r="Y6452" s="501"/>
    </row>
    <row r="6453" spans="25:25" hidden="1" x14ac:dyDescent="0.25">
      <c r="Y6453" s="501"/>
    </row>
    <row r="6454" spans="25:25" hidden="1" x14ac:dyDescent="0.25">
      <c r="Y6454" s="501"/>
    </row>
    <row r="6455" spans="25:25" hidden="1" x14ac:dyDescent="0.25">
      <c r="Y6455" s="501"/>
    </row>
    <row r="6456" spans="25:25" hidden="1" x14ac:dyDescent="0.25">
      <c r="Y6456" s="501"/>
    </row>
    <row r="6457" spans="25:25" hidden="1" x14ac:dyDescent="0.25">
      <c r="Y6457" s="501"/>
    </row>
    <row r="6458" spans="25:25" hidden="1" x14ac:dyDescent="0.25">
      <c r="Y6458" s="501"/>
    </row>
    <row r="6459" spans="25:25" hidden="1" x14ac:dyDescent="0.25">
      <c r="Y6459" s="501"/>
    </row>
    <row r="6460" spans="25:25" hidden="1" x14ac:dyDescent="0.25">
      <c r="Y6460" s="501"/>
    </row>
    <row r="6461" spans="25:25" hidden="1" x14ac:dyDescent="0.25">
      <c r="Y6461" s="501"/>
    </row>
    <row r="6462" spans="25:25" hidden="1" x14ac:dyDescent="0.25">
      <c r="Y6462" s="501"/>
    </row>
    <row r="6463" spans="25:25" hidden="1" x14ac:dyDescent="0.25">
      <c r="Y6463" s="501"/>
    </row>
    <row r="6464" spans="25:25" hidden="1" x14ac:dyDescent="0.25">
      <c r="Y6464" s="501"/>
    </row>
    <row r="6465" spans="25:25" hidden="1" x14ac:dyDescent="0.25">
      <c r="Y6465" s="501"/>
    </row>
    <row r="6466" spans="25:25" hidden="1" x14ac:dyDescent="0.25">
      <c r="Y6466" s="501"/>
    </row>
    <row r="6467" spans="25:25" hidden="1" x14ac:dyDescent="0.25">
      <c r="Y6467" s="501"/>
    </row>
    <row r="6468" spans="25:25" hidden="1" x14ac:dyDescent="0.25">
      <c r="Y6468" s="501"/>
    </row>
    <row r="6469" spans="25:25" hidden="1" x14ac:dyDescent="0.25">
      <c r="Y6469" s="501"/>
    </row>
    <row r="6470" spans="25:25" hidden="1" x14ac:dyDescent="0.25">
      <c r="Y6470" s="501"/>
    </row>
    <row r="6471" spans="25:25" hidden="1" x14ac:dyDescent="0.25">
      <c r="Y6471" s="501"/>
    </row>
    <row r="6472" spans="25:25" hidden="1" x14ac:dyDescent="0.25">
      <c r="Y6472" s="501"/>
    </row>
    <row r="6473" spans="25:25" hidden="1" x14ac:dyDescent="0.25">
      <c r="Y6473" s="501"/>
    </row>
    <row r="6474" spans="25:25" hidden="1" x14ac:dyDescent="0.25">
      <c r="Y6474" s="501"/>
    </row>
    <row r="6475" spans="25:25" hidden="1" x14ac:dyDescent="0.25">
      <c r="Y6475" s="501"/>
    </row>
    <row r="6476" spans="25:25" hidden="1" x14ac:dyDescent="0.25">
      <c r="Y6476" s="501"/>
    </row>
    <row r="6477" spans="25:25" hidden="1" x14ac:dyDescent="0.25">
      <c r="Y6477" s="501"/>
    </row>
    <row r="6478" spans="25:25" hidden="1" x14ac:dyDescent="0.25">
      <c r="Y6478" s="501"/>
    </row>
    <row r="6479" spans="25:25" hidden="1" x14ac:dyDescent="0.25">
      <c r="Y6479" s="501"/>
    </row>
    <row r="6480" spans="25:25" hidden="1" x14ac:dyDescent="0.25">
      <c r="Y6480" s="501"/>
    </row>
    <row r="6481" spans="25:25" hidden="1" x14ac:dyDescent="0.25">
      <c r="Y6481" s="501"/>
    </row>
    <row r="6482" spans="25:25" hidden="1" x14ac:dyDescent="0.25">
      <c r="Y6482" s="501"/>
    </row>
    <row r="6483" spans="25:25" hidden="1" x14ac:dyDescent="0.25">
      <c r="Y6483" s="501"/>
    </row>
    <row r="6484" spans="25:25" hidden="1" x14ac:dyDescent="0.25">
      <c r="Y6484" s="501"/>
    </row>
    <row r="6485" spans="25:25" hidden="1" x14ac:dyDescent="0.25">
      <c r="Y6485" s="501"/>
    </row>
    <row r="6486" spans="25:25" hidden="1" x14ac:dyDescent="0.25">
      <c r="Y6486" s="501"/>
    </row>
    <row r="6487" spans="25:25" hidden="1" x14ac:dyDescent="0.25">
      <c r="Y6487" s="501"/>
    </row>
    <row r="6488" spans="25:25" hidden="1" x14ac:dyDescent="0.25">
      <c r="Y6488" s="501"/>
    </row>
    <row r="6489" spans="25:25" hidden="1" x14ac:dyDescent="0.25">
      <c r="Y6489" s="501"/>
    </row>
    <row r="6490" spans="25:25" hidden="1" x14ac:dyDescent="0.25">
      <c r="Y6490" s="501"/>
    </row>
    <row r="6491" spans="25:25" hidden="1" x14ac:dyDescent="0.25">
      <c r="Y6491" s="501"/>
    </row>
    <row r="6492" spans="25:25" hidden="1" x14ac:dyDescent="0.25">
      <c r="Y6492" s="501"/>
    </row>
    <row r="6493" spans="25:25" hidden="1" x14ac:dyDescent="0.25">
      <c r="Y6493" s="501"/>
    </row>
    <row r="6494" spans="25:25" hidden="1" x14ac:dyDescent="0.25">
      <c r="Y6494" s="501"/>
    </row>
    <row r="6495" spans="25:25" hidden="1" x14ac:dyDescent="0.25">
      <c r="Y6495" s="501"/>
    </row>
    <row r="6496" spans="25:25" hidden="1" x14ac:dyDescent="0.25">
      <c r="Y6496" s="501"/>
    </row>
    <row r="6497" spans="25:25" hidden="1" x14ac:dyDescent="0.25">
      <c r="Y6497" s="501"/>
    </row>
    <row r="6498" spans="25:25" hidden="1" x14ac:dyDescent="0.25">
      <c r="Y6498" s="501"/>
    </row>
    <row r="6499" spans="25:25" hidden="1" x14ac:dyDescent="0.25">
      <c r="Y6499" s="501"/>
    </row>
    <row r="6500" spans="25:25" hidden="1" x14ac:dyDescent="0.25">
      <c r="Y6500" s="501"/>
    </row>
    <row r="6501" spans="25:25" hidden="1" x14ac:dyDescent="0.25">
      <c r="Y6501" s="501"/>
    </row>
    <row r="6502" spans="25:25" hidden="1" x14ac:dyDescent="0.25">
      <c r="Y6502" s="501"/>
    </row>
    <row r="6503" spans="25:25" hidden="1" x14ac:dyDescent="0.25">
      <c r="Y6503" s="501"/>
    </row>
    <row r="6504" spans="25:25" hidden="1" x14ac:dyDescent="0.25">
      <c r="Y6504" s="501"/>
    </row>
    <row r="6505" spans="25:25" hidden="1" x14ac:dyDescent="0.25">
      <c r="Y6505" s="501"/>
    </row>
    <row r="6506" spans="25:25" hidden="1" x14ac:dyDescent="0.25">
      <c r="Y6506" s="501"/>
    </row>
    <row r="6507" spans="25:25" hidden="1" x14ac:dyDescent="0.25">
      <c r="Y6507" s="501"/>
    </row>
    <row r="6508" spans="25:25" hidden="1" x14ac:dyDescent="0.25">
      <c r="Y6508" s="501"/>
    </row>
    <row r="6509" spans="25:25" hidden="1" x14ac:dyDescent="0.25">
      <c r="Y6509" s="501"/>
    </row>
    <row r="6510" spans="25:25" hidden="1" x14ac:dyDescent="0.25">
      <c r="Y6510" s="501"/>
    </row>
    <row r="6511" spans="25:25" hidden="1" x14ac:dyDescent="0.25">
      <c r="Y6511" s="501"/>
    </row>
    <row r="6512" spans="25:25" hidden="1" x14ac:dyDescent="0.25">
      <c r="Y6512" s="501"/>
    </row>
    <row r="6513" spans="25:25" hidden="1" x14ac:dyDescent="0.25">
      <c r="Y6513" s="501"/>
    </row>
    <row r="6514" spans="25:25" hidden="1" x14ac:dyDescent="0.25">
      <c r="Y6514" s="501"/>
    </row>
    <row r="6515" spans="25:25" hidden="1" x14ac:dyDescent="0.25">
      <c r="Y6515" s="501"/>
    </row>
    <row r="6516" spans="25:25" hidden="1" x14ac:dyDescent="0.25">
      <c r="Y6516" s="501"/>
    </row>
    <row r="6517" spans="25:25" hidden="1" x14ac:dyDescent="0.25">
      <c r="Y6517" s="501"/>
    </row>
    <row r="6518" spans="25:25" hidden="1" x14ac:dyDescent="0.25">
      <c r="Y6518" s="501"/>
    </row>
    <row r="6519" spans="25:25" hidden="1" x14ac:dyDescent="0.25">
      <c r="Y6519" s="501"/>
    </row>
    <row r="6520" spans="25:25" hidden="1" x14ac:dyDescent="0.25">
      <c r="Y6520" s="501"/>
    </row>
    <row r="6521" spans="25:25" hidden="1" x14ac:dyDescent="0.25">
      <c r="Y6521" s="501"/>
    </row>
    <row r="6522" spans="25:25" hidden="1" x14ac:dyDescent="0.25">
      <c r="Y6522" s="501"/>
    </row>
    <row r="6523" spans="25:25" hidden="1" x14ac:dyDescent="0.25">
      <c r="Y6523" s="501"/>
    </row>
    <row r="6524" spans="25:25" hidden="1" x14ac:dyDescent="0.25">
      <c r="Y6524" s="501"/>
    </row>
    <row r="6525" spans="25:25" hidden="1" x14ac:dyDescent="0.25">
      <c r="Y6525" s="501"/>
    </row>
    <row r="6526" spans="25:25" hidden="1" x14ac:dyDescent="0.25">
      <c r="Y6526" s="501"/>
    </row>
    <row r="6527" spans="25:25" hidden="1" x14ac:dyDescent="0.25">
      <c r="Y6527" s="501"/>
    </row>
    <row r="6528" spans="25:25" hidden="1" x14ac:dyDescent="0.25">
      <c r="Y6528" s="501"/>
    </row>
    <row r="6529" spans="25:25" hidden="1" x14ac:dyDescent="0.25">
      <c r="Y6529" s="501"/>
    </row>
    <row r="6530" spans="25:25" hidden="1" x14ac:dyDescent="0.25">
      <c r="Y6530" s="501"/>
    </row>
    <row r="6531" spans="25:25" hidden="1" x14ac:dyDescent="0.25">
      <c r="Y6531" s="501"/>
    </row>
    <row r="6532" spans="25:25" hidden="1" x14ac:dyDescent="0.25">
      <c r="Y6532" s="501"/>
    </row>
    <row r="6533" spans="25:25" hidden="1" x14ac:dyDescent="0.25">
      <c r="Y6533" s="501"/>
    </row>
    <row r="6534" spans="25:25" hidden="1" x14ac:dyDescent="0.25">
      <c r="Y6534" s="501"/>
    </row>
    <row r="6535" spans="25:25" hidden="1" x14ac:dyDescent="0.25">
      <c r="Y6535" s="501"/>
    </row>
    <row r="6536" spans="25:25" hidden="1" x14ac:dyDescent="0.25">
      <c r="Y6536" s="501"/>
    </row>
    <row r="6537" spans="25:25" hidden="1" x14ac:dyDescent="0.25">
      <c r="Y6537" s="501"/>
    </row>
    <row r="6538" spans="25:25" hidden="1" x14ac:dyDescent="0.25">
      <c r="Y6538" s="501"/>
    </row>
    <row r="6539" spans="25:25" hidden="1" x14ac:dyDescent="0.25">
      <c r="Y6539" s="501"/>
    </row>
    <row r="6540" spans="25:25" hidden="1" x14ac:dyDescent="0.25">
      <c r="Y6540" s="501"/>
    </row>
    <row r="6541" spans="25:25" hidden="1" x14ac:dyDescent="0.25">
      <c r="Y6541" s="501"/>
    </row>
    <row r="6542" spans="25:25" hidden="1" x14ac:dyDescent="0.25">
      <c r="Y6542" s="501"/>
    </row>
    <row r="6543" spans="25:25" hidden="1" x14ac:dyDescent="0.25">
      <c r="Y6543" s="501"/>
    </row>
    <row r="6544" spans="25:25" hidden="1" x14ac:dyDescent="0.25">
      <c r="Y6544" s="501"/>
    </row>
    <row r="6545" spans="25:25" hidden="1" x14ac:dyDescent="0.25">
      <c r="Y6545" s="501"/>
    </row>
    <row r="6546" spans="25:25" hidden="1" x14ac:dyDescent="0.25">
      <c r="Y6546" s="501"/>
    </row>
    <row r="6547" spans="25:25" hidden="1" x14ac:dyDescent="0.25">
      <c r="Y6547" s="501"/>
    </row>
    <row r="6548" spans="25:25" hidden="1" x14ac:dyDescent="0.25">
      <c r="Y6548" s="501"/>
    </row>
    <row r="6549" spans="25:25" hidden="1" x14ac:dyDescent="0.25">
      <c r="Y6549" s="501"/>
    </row>
    <row r="6550" spans="25:25" hidden="1" x14ac:dyDescent="0.25">
      <c r="Y6550" s="501"/>
    </row>
    <row r="6551" spans="25:25" hidden="1" x14ac:dyDescent="0.25">
      <c r="Y6551" s="501"/>
    </row>
    <row r="6552" spans="25:25" hidden="1" x14ac:dyDescent="0.25">
      <c r="Y6552" s="501"/>
    </row>
    <row r="6553" spans="25:25" hidden="1" x14ac:dyDescent="0.25">
      <c r="Y6553" s="501"/>
    </row>
    <row r="6554" spans="25:25" hidden="1" x14ac:dyDescent="0.25">
      <c r="Y6554" s="501"/>
    </row>
    <row r="6555" spans="25:25" hidden="1" x14ac:dyDescent="0.25">
      <c r="Y6555" s="501"/>
    </row>
    <row r="6556" spans="25:25" hidden="1" x14ac:dyDescent="0.25">
      <c r="Y6556" s="501"/>
    </row>
    <row r="6557" spans="25:25" hidden="1" x14ac:dyDescent="0.25">
      <c r="Y6557" s="501"/>
    </row>
    <row r="6558" spans="25:25" hidden="1" x14ac:dyDescent="0.25">
      <c r="Y6558" s="501"/>
    </row>
    <row r="6559" spans="25:25" hidden="1" x14ac:dyDescent="0.25">
      <c r="Y6559" s="501"/>
    </row>
    <row r="6560" spans="25:25" hidden="1" x14ac:dyDescent="0.25">
      <c r="Y6560" s="501"/>
    </row>
    <row r="6561" spans="25:25" hidden="1" x14ac:dyDescent="0.25">
      <c r="Y6561" s="501"/>
    </row>
    <row r="6562" spans="25:25" hidden="1" x14ac:dyDescent="0.25">
      <c r="Y6562" s="501"/>
    </row>
    <row r="6563" spans="25:25" hidden="1" x14ac:dyDescent="0.25">
      <c r="Y6563" s="501"/>
    </row>
    <row r="6564" spans="25:25" hidden="1" x14ac:dyDescent="0.25">
      <c r="Y6564" s="501"/>
    </row>
    <row r="6565" spans="25:25" hidden="1" x14ac:dyDescent="0.25">
      <c r="Y6565" s="501"/>
    </row>
    <row r="6566" spans="25:25" hidden="1" x14ac:dyDescent="0.25">
      <c r="Y6566" s="501"/>
    </row>
    <row r="6567" spans="25:25" hidden="1" x14ac:dyDescent="0.25">
      <c r="Y6567" s="501"/>
    </row>
    <row r="6568" spans="25:25" hidden="1" x14ac:dyDescent="0.25">
      <c r="Y6568" s="501"/>
    </row>
    <row r="6569" spans="25:25" hidden="1" x14ac:dyDescent="0.25">
      <c r="Y6569" s="501"/>
    </row>
    <row r="6570" spans="25:25" hidden="1" x14ac:dyDescent="0.25">
      <c r="Y6570" s="501"/>
    </row>
    <row r="6571" spans="25:25" hidden="1" x14ac:dyDescent="0.25">
      <c r="Y6571" s="501"/>
    </row>
    <row r="6572" spans="25:25" hidden="1" x14ac:dyDescent="0.25">
      <c r="Y6572" s="501"/>
    </row>
    <row r="6573" spans="25:25" hidden="1" x14ac:dyDescent="0.25">
      <c r="Y6573" s="501"/>
    </row>
    <row r="6574" spans="25:25" hidden="1" x14ac:dyDescent="0.25">
      <c r="Y6574" s="501"/>
    </row>
    <row r="6575" spans="25:25" hidden="1" x14ac:dyDescent="0.25">
      <c r="Y6575" s="501"/>
    </row>
    <row r="6576" spans="25:25" hidden="1" x14ac:dyDescent="0.25">
      <c r="Y6576" s="501"/>
    </row>
    <row r="6577" spans="25:25" hidden="1" x14ac:dyDescent="0.25">
      <c r="Y6577" s="501"/>
    </row>
    <row r="6578" spans="25:25" hidden="1" x14ac:dyDescent="0.25">
      <c r="Y6578" s="501"/>
    </row>
    <row r="6579" spans="25:25" hidden="1" x14ac:dyDescent="0.25">
      <c r="Y6579" s="501"/>
    </row>
    <row r="6580" spans="25:25" hidden="1" x14ac:dyDescent="0.25">
      <c r="Y6580" s="501"/>
    </row>
    <row r="6581" spans="25:25" hidden="1" x14ac:dyDescent="0.25">
      <c r="Y6581" s="501"/>
    </row>
    <row r="6582" spans="25:25" hidden="1" x14ac:dyDescent="0.25">
      <c r="Y6582" s="501"/>
    </row>
    <row r="6583" spans="25:25" hidden="1" x14ac:dyDescent="0.25">
      <c r="Y6583" s="501"/>
    </row>
    <row r="6584" spans="25:25" hidden="1" x14ac:dyDescent="0.25">
      <c r="Y6584" s="501"/>
    </row>
    <row r="6585" spans="25:25" hidden="1" x14ac:dyDescent="0.25">
      <c r="Y6585" s="501"/>
    </row>
    <row r="6586" spans="25:25" hidden="1" x14ac:dyDescent="0.25">
      <c r="Y6586" s="501"/>
    </row>
    <row r="6587" spans="25:25" hidden="1" x14ac:dyDescent="0.25">
      <c r="Y6587" s="501"/>
    </row>
    <row r="6588" spans="25:25" hidden="1" x14ac:dyDescent="0.25">
      <c r="Y6588" s="501"/>
    </row>
    <row r="6589" spans="25:25" hidden="1" x14ac:dyDescent="0.25">
      <c r="Y6589" s="501"/>
    </row>
    <row r="6590" spans="25:25" hidden="1" x14ac:dyDescent="0.25">
      <c r="Y6590" s="501"/>
    </row>
    <row r="6591" spans="25:25" hidden="1" x14ac:dyDescent="0.25">
      <c r="Y6591" s="501"/>
    </row>
    <row r="6592" spans="25:25" hidden="1" x14ac:dyDescent="0.25">
      <c r="Y6592" s="501"/>
    </row>
    <row r="6593" spans="25:25" hidden="1" x14ac:dyDescent="0.25">
      <c r="Y6593" s="501"/>
    </row>
    <row r="6594" spans="25:25" hidden="1" x14ac:dyDescent="0.25">
      <c r="Y6594" s="501"/>
    </row>
    <row r="6595" spans="25:25" hidden="1" x14ac:dyDescent="0.25">
      <c r="Y6595" s="501"/>
    </row>
    <row r="6596" spans="25:25" hidden="1" x14ac:dyDescent="0.25">
      <c r="Y6596" s="501"/>
    </row>
    <row r="6597" spans="25:25" hidden="1" x14ac:dyDescent="0.25">
      <c r="Y6597" s="501"/>
    </row>
    <row r="6598" spans="25:25" hidden="1" x14ac:dyDescent="0.25">
      <c r="Y6598" s="501"/>
    </row>
    <row r="6599" spans="25:25" hidden="1" x14ac:dyDescent="0.25">
      <c r="Y6599" s="501"/>
    </row>
    <row r="6600" spans="25:25" hidden="1" x14ac:dyDescent="0.25">
      <c r="Y6600" s="501"/>
    </row>
    <row r="6601" spans="25:25" hidden="1" x14ac:dyDescent="0.25">
      <c r="Y6601" s="501"/>
    </row>
    <row r="6602" spans="25:25" hidden="1" x14ac:dyDescent="0.25">
      <c r="Y6602" s="501"/>
    </row>
    <row r="6603" spans="25:25" hidden="1" x14ac:dyDescent="0.25">
      <c r="Y6603" s="501"/>
    </row>
    <row r="6604" spans="25:25" hidden="1" x14ac:dyDescent="0.25">
      <c r="Y6604" s="501"/>
    </row>
    <row r="6605" spans="25:25" hidden="1" x14ac:dyDescent="0.25">
      <c r="Y6605" s="501"/>
    </row>
    <row r="6606" spans="25:25" hidden="1" x14ac:dyDescent="0.25">
      <c r="Y6606" s="501"/>
    </row>
    <row r="6607" spans="25:25" hidden="1" x14ac:dyDescent="0.25">
      <c r="Y6607" s="501"/>
    </row>
    <row r="6608" spans="25:25" hidden="1" x14ac:dyDescent="0.25">
      <c r="Y6608" s="501"/>
    </row>
    <row r="6609" spans="25:25" hidden="1" x14ac:dyDescent="0.25">
      <c r="Y6609" s="501"/>
    </row>
    <row r="6610" spans="25:25" hidden="1" x14ac:dyDescent="0.25">
      <c r="Y6610" s="501"/>
    </row>
    <row r="6611" spans="25:25" hidden="1" x14ac:dyDescent="0.25">
      <c r="Y6611" s="501"/>
    </row>
    <row r="6612" spans="25:25" hidden="1" x14ac:dyDescent="0.25">
      <c r="Y6612" s="501"/>
    </row>
    <row r="6613" spans="25:25" hidden="1" x14ac:dyDescent="0.25">
      <c r="Y6613" s="501"/>
    </row>
    <row r="6614" spans="25:25" hidden="1" x14ac:dyDescent="0.25">
      <c r="Y6614" s="501"/>
    </row>
    <row r="6615" spans="25:25" hidden="1" x14ac:dyDescent="0.25">
      <c r="Y6615" s="501"/>
    </row>
    <row r="6616" spans="25:25" hidden="1" x14ac:dyDescent="0.25">
      <c r="Y6616" s="501"/>
    </row>
    <row r="6617" spans="25:25" hidden="1" x14ac:dyDescent="0.25">
      <c r="Y6617" s="501"/>
    </row>
    <row r="6618" spans="25:25" hidden="1" x14ac:dyDescent="0.25">
      <c r="Y6618" s="501"/>
    </row>
    <row r="6619" spans="25:25" hidden="1" x14ac:dyDescent="0.25">
      <c r="Y6619" s="501"/>
    </row>
    <row r="6620" spans="25:25" hidden="1" x14ac:dyDescent="0.25">
      <c r="Y6620" s="501"/>
    </row>
    <row r="6621" spans="25:25" hidden="1" x14ac:dyDescent="0.25">
      <c r="Y6621" s="501"/>
    </row>
    <row r="6622" spans="25:25" hidden="1" x14ac:dyDescent="0.25">
      <c r="Y6622" s="501"/>
    </row>
    <row r="6623" spans="25:25" hidden="1" x14ac:dyDescent="0.25">
      <c r="Y6623" s="501"/>
    </row>
    <row r="6624" spans="25:25" hidden="1" x14ac:dyDescent="0.25">
      <c r="Y6624" s="501"/>
    </row>
    <row r="6625" spans="25:25" hidden="1" x14ac:dyDescent="0.25">
      <c r="Y6625" s="501"/>
    </row>
    <row r="6626" spans="25:25" hidden="1" x14ac:dyDescent="0.25">
      <c r="Y6626" s="501"/>
    </row>
    <row r="6627" spans="25:25" hidden="1" x14ac:dyDescent="0.25">
      <c r="Y6627" s="501"/>
    </row>
    <row r="6628" spans="25:25" hidden="1" x14ac:dyDescent="0.25">
      <c r="Y6628" s="501"/>
    </row>
    <row r="6629" spans="25:25" hidden="1" x14ac:dyDescent="0.25">
      <c r="Y6629" s="501"/>
    </row>
    <row r="6630" spans="25:25" hidden="1" x14ac:dyDescent="0.25">
      <c r="Y6630" s="501"/>
    </row>
    <row r="6631" spans="25:25" hidden="1" x14ac:dyDescent="0.25">
      <c r="Y6631" s="501"/>
    </row>
    <row r="6632" spans="25:25" hidden="1" x14ac:dyDescent="0.25">
      <c r="Y6632" s="501"/>
    </row>
    <row r="6633" spans="25:25" hidden="1" x14ac:dyDescent="0.25">
      <c r="Y6633" s="501"/>
    </row>
    <row r="6634" spans="25:25" hidden="1" x14ac:dyDescent="0.25">
      <c r="Y6634" s="501"/>
    </row>
    <row r="6635" spans="25:25" hidden="1" x14ac:dyDescent="0.25">
      <c r="Y6635" s="501"/>
    </row>
    <row r="6636" spans="25:25" hidden="1" x14ac:dyDescent="0.25">
      <c r="Y6636" s="501"/>
    </row>
    <row r="6637" spans="25:25" hidden="1" x14ac:dyDescent="0.25">
      <c r="Y6637" s="501"/>
    </row>
    <row r="6638" spans="25:25" hidden="1" x14ac:dyDescent="0.25">
      <c r="Y6638" s="501"/>
    </row>
    <row r="6639" spans="25:25" hidden="1" x14ac:dyDescent="0.25">
      <c r="Y6639" s="501"/>
    </row>
    <row r="6640" spans="25:25" hidden="1" x14ac:dyDescent="0.25">
      <c r="Y6640" s="501"/>
    </row>
    <row r="6641" spans="25:25" hidden="1" x14ac:dyDescent="0.25">
      <c r="Y6641" s="501"/>
    </row>
    <row r="6642" spans="25:25" hidden="1" x14ac:dyDescent="0.25">
      <c r="Y6642" s="501"/>
    </row>
    <row r="6643" spans="25:25" hidden="1" x14ac:dyDescent="0.25">
      <c r="Y6643" s="501"/>
    </row>
    <row r="6644" spans="25:25" hidden="1" x14ac:dyDescent="0.25">
      <c r="Y6644" s="501"/>
    </row>
    <row r="6645" spans="25:25" hidden="1" x14ac:dyDescent="0.25">
      <c r="Y6645" s="501"/>
    </row>
    <row r="6646" spans="25:25" hidden="1" x14ac:dyDescent="0.25">
      <c r="Y6646" s="501"/>
    </row>
    <row r="6647" spans="25:25" hidden="1" x14ac:dyDescent="0.25">
      <c r="Y6647" s="501"/>
    </row>
    <row r="6648" spans="25:25" hidden="1" x14ac:dyDescent="0.25">
      <c r="Y6648" s="501"/>
    </row>
    <row r="6649" spans="25:25" hidden="1" x14ac:dyDescent="0.25">
      <c r="Y6649" s="501"/>
    </row>
    <row r="6650" spans="25:25" hidden="1" x14ac:dyDescent="0.25">
      <c r="Y6650" s="501"/>
    </row>
    <row r="6651" spans="25:25" hidden="1" x14ac:dyDescent="0.25">
      <c r="Y6651" s="501"/>
    </row>
    <row r="6652" spans="25:25" hidden="1" x14ac:dyDescent="0.25">
      <c r="Y6652" s="501"/>
    </row>
    <row r="6653" spans="25:25" hidden="1" x14ac:dyDescent="0.25">
      <c r="Y6653" s="501"/>
    </row>
    <row r="6654" spans="25:25" hidden="1" x14ac:dyDescent="0.25">
      <c r="Y6654" s="501"/>
    </row>
    <row r="6655" spans="25:25" hidden="1" x14ac:dyDescent="0.25">
      <c r="Y6655" s="501"/>
    </row>
    <row r="6656" spans="25:25" hidden="1" x14ac:dyDescent="0.25">
      <c r="Y6656" s="501"/>
    </row>
    <row r="6657" spans="25:25" hidden="1" x14ac:dyDescent="0.25">
      <c r="Y6657" s="501"/>
    </row>
    <row r="6658" spans="25:25" hidden="1" x14ac:dyDescent="0.25">
      <c r="Y6658" s="501"/>
    </row>
    <row r="6659" spans="25:25" hidden="1" x14ac:dyDescent="0.25">
      <c r="Y6659" s="501"/>
    </row>
    <row r="6660" spans="25:25" hidden="1" x14ac:dyDescent="0.25">
      <c r="Y6660" s="501"/>
    </row>
    <row r="6661" spans="25:25" hidden="1" x14ac:dyDescent="0.25">
      <c r="Y6661" s="501"/>
    </row>
    <row r="6662" spans="25:25" hidden="1" x14ac:dyDescent="0.25">
      <c r="Y6662" s="501"/>
    </row>
    <row r="6663" spans="25:25" hidden="1" x14ac:dyDescent="0.25">
      <c r="Y6663" s="501"/>
    </row>
    <row r="6664" spans="25:25" hidden="1" x14ac:dyDescent="0.25">
      <c r="Y6664" s="501"/>
    </row>
    <row r="6665" spans="25:25" hidden="1" x14ac:dyDescent="0.25">
      <c r="Y6665" s="501"/>
    </row>
    <row r="6666" spans="25:25" hidden="1" x14ac:dyDescent="0.25">
      <c r="Y6666" s="501"/>
    </row>
    <row r="6667" spans="25:25" hidden="1" x14ac:dyDescent="0.25">
      <c r="Y6667" s="501"/>
    </row>
    <row r="6668" spans="25:25" hidden="1" x14ac:dyDescent="0.25">
      <c r="Y6668" s="501"/>
    </row>
    <row r="6669" spans="25:25" hidden="1" x14ac:dyDescent="0.25">
      <c r="Y6669" s="501"/>
    </row>
    <row r="6670" spans="25:25" hidden="1" x14ac:dyDescent="0.25">
      <c r="Y6670" s="501"/>
    </row>
    <row r="6671" spans="25:25" hidden="1" x14ac:dyDescent="0.25">
      <c r="Y6671" s="501"/>
    </row>
    <row r="6672" spans="25:25" hidden="1" x14ac:dyDescent="0.25">
      <c r="Y6672" s="501"/>
    </row>
    <row r="6673" spans="25:25" hidden="1" x14ac:dyDescent="0.25">
      <c r="Y6673" s="501"/>
    </row>
    <row r="6674" spans="25:25" hidden="1" x14ac:dyDescent="0.25">
      <c r="Y6674" s="501"/>
    </row>
    <row r="6675" spans="25:25" hidden="1" x14ac:dyDescent="0.25">
      <c r="Y6675" s="501"/>
    </row>
    <row r="6676" spans="25:25" hidden="1" x14ac:dyDescent="0.25">
      <c r="Y6676" s="501"/>
    </row>
    <row r="6677" spans="25:25" hidden="1" x14ac:dyDescent="0.25">
      <c r="Y6677" s="501"/>
    </row>
    <row r="6678" spans="25:25" hidden="1" x14ac:dyDescent="0.25">
      <c r="Y6678" s="501"/>
    </row>
    <row r="6679" spans="25:25" hidden="1" x14ac:dyDescent="0.25">
      <c r="Y6679" s="501"/>
    </row>
    <row r="6680" spans="25:25" hidden="1" x14ac:dyDescent="0.25">
      <c r="Y6680" s="501"/>
    </row>
    <row r="6681" spans="25:25" hidden="1" x14ac:dyDescent="0.25">
      <c r="Y6681" s="501"/>
    </row>
    <row r="6682" spans="25:25" hidden="1" x14ac:dyDescent="0.25">
      <c r="Y6682" s="501"/>
    </row>
    <row r="6683" spans="25:25" hidden="1" x14ac:dyDescent="0.25">
      <c r="Y6683" s="501"/>
    </row>
    <row r="6684" spans="25:25" hidden="1" x14ac:dyDescent="0.25">
      <c r="Y6684" s="501"/>
    </row>
    <row r="6685" spans="25:25" hidden="1" x14ac:dyDescent="0.25">
      <c r="Y6685" s="501"/>
    </row>
    <row r="6686" spans="25:25" hidden="1" x14ac:dyDescent="0.25">
      <c r="Y6686" s="501"/>
    </row>
    <row r="6687" spans="25:25" hidden="1" x14ac:dyDescent="0.25">
      <c r="Y6687" s="501"/>
    </row>
    <row r="6688" spans="25:25" hidden="1" x14ac:dyDescent="0.25">
      <c r="Y6688" s="501"/>
    </row>
    <row r="6689" spans="25:25" hidden="1" x14ac:dyDescent="0.25">
      <c r="Y6689" s="501"/>
    </row>
    <row r="6690" spans="25:25" hidden="1" x14ac:dyDescent="0.25">
      <c r="Y6690" s="501"/>
    </row>
    <row r="6691" spans="25:25" hidden="1" x14ac:dyDescent="0.25">
      <c r="Y6691" s="501"/>
    </row>
    <row r="6692" spans="25:25" hidden="1" x14ac:dyDescent="0.25">
      <c r="Y6692" s="501"/>
    </row>
    <row r="6693" spans="25:25" hidden="1" x14ac:dyDescent="0.25">
      <c r="Y6693" s="501"/>
    </row>
    <row r="6694" spans="25:25" hidden="1" x14ac:dyDescent="0.25">
      <c r="Y6694" s="501"/>
    </row>
    <row r="6695" spans="25:25" hidden="1" x14ac:dyDescent="0.25">
      <c r="Y6695" s="501"/>
    </row>
    <row r="6696" spans="25:25" hidden="1" x14ac:dyDescent="0.25">
      <c r="Y6696" s="501"/>
    </row>
    <row r="6697" spans="25:25" hidden="1" x14ac:dyDescent="0.25">
      <c r="Y6697" s="501"/>
    </row>
    <row r="6698" spans="25:25" hidden="1" x14ac:dyDescent="0.25">
      <c r="Y6698" s="501"/>
    </row>
    <row r="6699" spans="25:25" hidden="1" x14ac:dyDescent="0.25">
      <c r="Y6699" s="501"/>
    </row>
    <row r="6700" spans="25:25" hidden="1" x14ac:dyDescent="0.25">
      <c r="Y6700" s="501"/>
    </row>
    <row r="6701" spans="25:25" hidden="1" x14ac:dyDescent="0.25">
      <c r="Y6701" s="501"/>
    </row>
    <row r="6702" spans="25:25" hidden="1" x14ac:dyDescent="0.25">
      <c r="Y6702" s="501"/>
    </row>
    <row r="6703" spans="25:25" hidden="1" x14ac:dyDescent="0.25">
      <c r="Y6703" s="501"/>
    </row>
    <row r="6704" spans="25:25" hidden="1" x14ac:dyDescent="0.25">
      <c r="Y6704" s="501"/>
    </row>
    <row r="6705" spans="25:25" hidden="1" x14ac:dyDescent="0.25">
      <c r="Y6705" s="501"/>
    </row>
    <row r="6706" spans="25:25" hidden="1" x14ac:dyDescent="0.25">
      <c r="Y6706" s="501"/>
    </row>
    <row r="6707" spans="25:25" hidden="1" x14ac:dyDescent="0.25">
      <c r="Y6707" s="501"/>
    </row>
    <row r="6708" spans="25:25" hidden="1" x14ac:dyDescent="0.25">
      <c r="Y6708" s="501"/>
    </row>
    <row r="6709" spans="25:25" hidden="1" x14ac:dyDescent="0.25">
      <c r="Y6709" s="501"/>
    </row>
    <row r="6710" spans="25:25" hidden="1" x14ac:dyDescent="0.25">
      <c r="Y6710" s="501"/>
    </row>
    <row r="6711" spans="25:25" hidden="1" x14ac:dyDescent="0.25">
      <c r="Y6711" s="501"/>
    </row>
    <row r="6712" spans="25:25" hidden="1" x14ac:dyDescent="0.25">
      <c r="Y6712" s="501"/>
    </row>
    <row r="6713" spans="25:25" hidden="1" x14ac:dyDescent="0.25">
      <c r="Y6713" s="501"/>
    </row>
    <row r="6714" spans="25:25" hidden="1" x14ac:dyDescent="0.25">
      <c r="Y6714" s="501"/>
    </row>
    <row r="6715" spans="25:25" hidden="1" x14ac:dyDescent="0.25">
      <c r="Y6715" s="501"/>
    </row>
    <row r="6716" spans="25:25" hidden="1" x14ac:dyDescent="0.25">
      <c r="Y6716" s="501"/>
    </row>
    <row r="6717" spans="25:25" hidden="1" x14ac:dyDescent="0.25">
      <c r="Y6717" s="501"/>
    </row>
    <row r="6718" spans="25:25" hidden="1" x14ac:dyDescent="0.25">
      <c r="Y6718" s="501"/>
    </row>
    <row r="6719" spans="25:25" hidden="1" x14ac:dyDescent="0.25">
      <c r="Y6719" s="501"/>
    </row>
    <row r="6720" spans="25:25" hidden="1" x14ac:dyDescent="0.25">
      <c r="Y6720" s="501"/>
    </row>
    <row r="6721" spans="25:25" hidden="1" x14ac:dyDescent="0.25">
      <c r="Y6721" s="501"/>
    </row>
    <row r="6722" spans="25:25" hidden="1" x14ac:dyDescent="0.25">
      <c r="Y6722" s="501"/>
    </row>
    <row r="6723" spans="25:25" hidden="1" x14ac:dyDescent="0.25">
      <c r="Y6723" s="501"/>
    </row>
    <row r="6724" spans="25:25" hidden="1" x14ac:dyDescent="0.25">
      <c r="Y6724" s="501"/>
    </row>
    <row r="6725" spans="25:25" hidden="1" x14ac:dyDescent="0.25">
      <c r="Y6725" s="501"/>
    </row>
    <row r="6726" spans="25:25" hidden="1" x14ac:dyDescent="0.25">
      <c r="Y6726" s="501"/>
    </row>
    <row r="6727" spans="25:25" hidden="1" x14ac:dyDescent="0.25">
      <c r="Y6727" s="501"/>
    </row>
    <row r="6728" spans="25:25" hidden="1" x14ac:dyDescent="0.25">
      <c r="Y6728" s="501"/>
    </row>
    <row r="6729" spans="25:25" hidden="1" x14ac:dyDescent="0.25">
      <c r="Y6729" s="501"/>
    </row>
    <row r="6730" spans="25:25" hidden="1" x14ac:dyDescent="0.25">
      <c r="Y6730" s="501"/>
    </row>
    <row r="6731" spans="25:25" hidden="1" x14ac:dyDescent="0.25">
      <c r="Y6731" s="501"/>
    </row>
    <row r="6732" spans="25:25" hidden="1" x14ac:dyDescent="0.25">
      <c r="Y6732" s="501"/>
    </row>
    <row r="6733" spans="25:25" hidden="1" x14ac:dyDescent="0.25">
      <c r="Y6733" s="501"/>
    </row>
    <row r="6734" spans="25:25" hidden="1" x14ac:dyDescent="0.25">
      <c r="Y6734" s="501"/>
    </row>
    <row r="6735" spans="25:25" hidden="1" x14ac:dyDescent="0.25">
      <c r="Y6735" s="501"/>
    </row>
    <row r="6736" spans="25:25" hidden="1" x14ac:dyDescent="0.25">
      <c r="Y6736" s="501"/>
    </row>
    <row r="6737" spans="25:25" hidden="1" x14ac:dyDescent="0.25">
      <c r="Y6737" s="501"/>
    </row>
    <row r="6738" spans="25:25" hidden="1" x14ac:dyDescent="0.25">
      <c r="Y6738" s="501"/>
    </row>
    <row r="6739" spans="25:25" hidden="1" x14ac:dyDescent="0.25">
      <c r="Y6739" s="501"/>
    </row>
    <row r="6740" spans="25:25" hidden="1" x14ac:dyDescent="0.25">
      <c r="Y6740" s="501"/>
    </row>
    <row r="6741" spans="25:25" hidden="1" x14ac:dyDescent="0.25">
      <c r="Y6741" s="501"/>
    </row>
    <row r="6742" spans="25:25" hidden="1" x14ac:dyDescent="0.25">
      <c r="Y6742" s="501"/>
    </row>
    <row r="6743" spans="25:25" hidden="1" x14ac:dyDescent="0.25">
      <c r="Y6743" s="501"/>
    </row>
    <row r="6744" spans="25:25" hidden="1" x14ac:dyDescent="0.25">
      <c r="Y6744" s="501"/>
    </row>
    <row r="6745" spans="25:25" hidden="1" x14ac:dyDescent="0.25">
      <c r="Y6745" s="501"/>
    </row>
    <row r="6746" spans="25:25" hidden="1" x14ac:dyDescent="0.25">
      <c r="Y6746" s="501"/>
    </row>
    <row r="6747" spans="25:25" hidden="1" x14ac:dyDescent="0.25">
      <c r="Y6747" s="501"/>
    </row>
    <row r="6748" spans="25:25" hidden="1" x14ac:dyDescent="0.25">
      <c r="Y6748" s="501"/>
    </row>
    <row r="6749" spans="25:25" hidden="1" x14ac:dyDescent="0.25">
      <c r="Y6749" s="501"/>
    </row>
    <row r="6750" spans="25:25" hidden="1" x14ac:dyDescent="0.25">
      <c r="Y6750" s="501"/>
    </row>
    <row r="6751" spans="25:25" hidden="1" x14ac:dyDescent="0.25">
      <c r="Y6751" s="501"/>
    </row>
    <row r="6752" spans="25:25" hidden="1" x14ac:dyDescent="0.25">
      <c r="Y6752" s="501"/>
    </row>
    <row r="6753" spans="25:25" hidden="1" x14ac:dyDescent="0.25">
      <c r="Y6753" s="501"/>
    </row>
    <row r="6754" spans="25:25" hidden="1" x14ac:dyDescent="0.25">
      <c r="Y6754" s="501"/>
    </row>
    <row r="6755" spans="25:25" hidden="1" x14ac:dyDescent="0.25">
      <c r="Y6755" s="501"/>
    </row>
    <row r="6756" spans="25:25" hidden="1" x14ac:dyDescent="0.25">
      <c r="Y6756" s="501"/>
    </row>
    <row r="6757" spans="25:25" hidden="1" x14ac:dyDescent="0.25">
      <c r="Y6757" s="501"/>
    </row>
    <row r="6758" spans="25:25" hidden="1" x14ac:dyDescent="0.25">
      <c r="Y6758" s="501"/>
    </row>
    <row r="6759" spans="25:25" hidden="1" x14ac:dyDescent="0.25">
      <c r="Y6759" s="501"/>
    </row>
    <row r="6760" spans="25:25" hidden="1" x14ac:dyDescent="0.25">
      <c r="Y6760" s="501"/>
    </row>
    <row r="6761" spans="25:25" hidden="1" x14ac:dyDescent="0.25">
      <c r="Y6761" s="501"/>
    </row>
    <row r="6762" spans="25:25" hidden="1" x14ac:dyDescent="0.25">
      <c r="Y6762" s="501"/>
    </row>
    <row r="6763" spans="25:25" hidden="1" x14ac:dyDescent="0.25">
      <c r="Y6763" s="501"/>
    </row>
    <row r="6764" spans="25:25" hidden="1" x14ac:dyDescent="0.25">
      <c r="Y6764" s="501"/>
    </row>
    <row r="6765" spans="25:25" hidden="1" x14ac:dyDescent="0.25">
      <c r="Y6765" s="501"/>
    </row>
    <row r="6766" spans="25:25" hidden="1" x14ac:dyDescent="0.25">
      <c r="Y6766" s="501"/>
    </row>
    <row r="6767" spans="25:25" hidden="1" x14ac:dyDescent="0.25">
      <c r="Y6767" s="501"/>
    </row>
    <row r="6768" spans="25:25" hidden="1" x14ac:dyDescent="0.25">
      <c r="Y6768" s="501"/>
    </row>
    <row r="6769" spans="25:25" hidden="1" x14ac:dyDescent="0.25">
      <c r="Y6769" s="501"/>
    </row>
    <row r="6770" spans="25:25" hidden="1" x14ac:dyDescent="0.25">
      <c r="Y6770" s="501"/>
    </row>
    <row r="6771" spans="25:25" hidden="1" x14ac:dyDescent="0.25">
      <c r="Y6771" s="501"/>
    </row>
    <row r="6772" spans="25:25" hidden="1" x14ac:dyDescent="0.25">
      <c r="Y6772" s="501"/>
    </row>
    <row r="6773" spans="25:25" hidden="1" x14ac:dyDescent="0.25">
      <c r="Y6773" s="501"/>
    </row>
    <row r="6774" spans="25:25" hidden="1" x14ac:dyDescent="0.25">
      <c r="Y6774" s="501"/>
    </row>
    <row r="6775" spans="25:25" hidden="1" x14ac:dyDescent="0.25">
      <c r="Y6775" s="501"/>
    </row>
    <row r="6776" spans="25:25" hidden="1" x14ac:dyDescent="0.25">
      <c r="Y6776" s="501"/>
    </row>
    <row r="6777" spans="25:25" hidden="1" x14ac:dyDescent="0.25">
      <c r="Y6777" s="501"/>
    </row>
    <row r="6778" spans="25:25" hidden="1" x14ac:dyDescent="0.25">
      <c r="Y6778" s="501"/>
    </row>
    <row r="6779" spans="25:25" hidden="1" x14ac:dyDescent="0.25">
      <c r="Y6779" s="501"/>
    </row>
    <row r="6780" spans="25:25" hidden="1" x14ac:dyDescent="0.25">
      <c r="Y6780" s="501"/>
    </row>
    <row r="6781" spans="25:25" hidden="1" x14ac:dyDescent="0.25">
      <c r="Y6781" s="501"/>
    </row>
    <row r="6782" spans="25:25" hidden="1" x14ac:dyDescent="0.25">
      <c r="Y6782" s="501"/>
    </row>
    <row r="6783" spans="25:25" hidden="1" x14ac:dyDescent="0.25">
      <c r="Y6783" s="501"/>
    </row>
    <row r="6784" spans="25:25" hidden="1" x14ac:dyDescent="0.25">
      <c r="Y6784" s="501"/>
    </row>
    <row r="6785" spans="25:25" hidden="1" x14ac:dyDescent="0.25">
      <c r="Y6785" s="501"/>
    </row>
    <row r="6786" spans="25:25" hidden="1" x14ac:dyDescent="0.25">
      <c r="Y6786" s="501"/>
    </row>
    <row r="6787" spans="25:25" hidden="1" x14ac:dyDescent="0.25">
      <c r="Y6787" s="501"/>
    </row>
    <row r="6788" spans="25:25" hidden="1" x14ac:dyDescent="0.25">
      <c r="Y6788" s="501"/>
    </row>
    <row r="6789" spans="25:25" hidden="1" x14ac:dyDescent="0.25">
      <c r="Y6789" s="501"/>
    </row>
    <row r="6790" spans="25:25" hidden="1" x14ac:dyDescent="0.25">
      <c r="Y6790" s="501"/>
    </row>
    <row r="6791" spans="25:25" hidden="1" x14ac:dyDescent="0.25">
      <c r="Y6791" s="501"/>
    </row>
    <row r="6792" spans="25:25" hidden="1" x14ac:dyDescent="0.25">
      <c r="Y6792" s="501"/>
    </row>
    <row r="6793" spans="25:25" hidden="1" x14ac:dyDescent="0.25">
      <c r="Y6793" s="501"/>
    </row>
    <row r="6794" spans="25:25" hidden="1" x14ac:dyDescent="0.25">
      <c r="Y6794" s="501"/>
    </row>
    <row r="6795" spans="25:25" hidden="1" x14ac:dyDescent="0.25">
      <c r="Y6795" s="501"/>
    </row>
    <row r="6796" spans="25:25" hidden="1" x14ac:dyDescent="0.25">
      <c r="Y6796" s="501"/>
    </row>
    <row r="6797" spans="25:25" hidden="1" x14ac:dyDescent="0.25">
      <c r="Y6797" s="501"/>
    </row>
    <row r="6798" spans="25:25" hidden="1" x14ac:dyDescent="0.25">
      <c r="Y6798" s="501"/>
    </row>
    <row r="6799" spans="25:25" hidden="1" x14ac:dyDescent="0.25">
      <c r="Y6799" s="501"/>
    </row>
    <row r="6800" spans="25:25" hidden="1" x14ac:dyDescent="0.25">
      <c r="Y6800" s="501"/>
    </row>
    <row r="6801" spans="25:25" hidden="1" x14ac:dyDescent="0.25">
      <c r="Y6801" s="501"/>
    </row>
    <row r="6802" spans="25:25" hidden="1" x14ac:dyDescent="0.25">
      <c r="Y6802" s="501"/>
    </row>
    <row r="6803" spans="25:25" hidden="1" x14ac:dyDescent="0.25">
      <c r="Y6803" s="501"/>
    </row>
    <row r="6804" spans="25:25" hidden="1" x14ac:dyDescent="0.25">
      <c r="Y6804" s="501"/>
    </row>
    <row r="6805" spans="25:25" hidden="1" x14ac:dyDescent="0.25">
      <c r="Y6805" s="501"/>
    </row>
    <row r="6806" spans="25:25" hidden="1" x14ac:dyDescent="0.25">
      <c r="Y6806" s="501"/>
    </row>
    <row r="6807" spans="25:25" hidden="1" x14ac:dyDescent="0.25">
      <c r="Y6807" s="501"/>
    </row>
    <row r="6808" spans="25:25" hidden="1" x14ac:dyDescent="0.25">
      <c r="Y6808" s="501"/>
    </row>
    <row r="6809" spans="25:25" hidden="1" x14ac:dyDescent="0.25">
      <c r="Y6809" s="501"/>
    </row>
    <row r="6810" spans="25:25" hidden="1" x14ac:dyDescent="0.25">
      <c r="Y6810" s="501"/>
    </row>
    <row r="6811" spans="25:25" hidden="1" x14ac:dyDescent="0.25">
      <c r="Y6811" s="501"/>
    </row>
    <row r="6812" spans="25:25" hidden="1" x14ac:dyDescent="0.25">
      <c r="Y6812" s="501"/>
    </row>
    <row r="6813" spans="25:25" hidden="1" x14ac:dyDescent="0.25">
      <c r="Y6813" s="501"/>
    </row>
    <row r="6814" spans="25:25" hidden="1" x14ac:dyDescent="0.25">
      <c r="Y6814" s="501"/>
    </row>
    <row r="6815" spans="25:25" hidden="1" x14ac:dyDescent="0.25">
      <c r="Y6815" s="501"/>
    </row>
    <row r="6816" spans="25:25" hidden="1" x14ac:dyDescent="0.25">
      <c r="Y6816" s="501"/>
    </row>
    <row r="6817" spans="25:25" hidden="1" x14ac:dyDescent="0.25">
      <c r="Y6817" s="501"/>
    </row>
    <row r="6818" spans="25:25" hidden="1" x14ac:dyDescent="0.25">
      <c r="Y6818" s="501"/>
    </row>
    <row r="6819" spans="25:25" hidden="1" x14ac:dyDescent="0.25">
      <c r="Y6819" s="501"/>
    </row>
    <row r="6820" spans="25:25" hidden="1" x14ac:dyDescent="0.25">
      <c r="Y6820" s="501"/>
    </row>
    <row r="6821" spans="25:25" hidden="1" x14ac:dyDescent="0.25">
      <c r="Y6821" s="501"/>
    </row>
    <row r="6822" spans="25:25" hidden="1" x14ac:dyDescent="0.25">
      <c r="Y6822" s="501"/>
    </row>
    <row r="6823" spans="25:25" hidden="1" x14ac:dyDescent="0.25">
      <c r="Y6823" s="501"/>
    </row>
    <row r="6824" spans="25:25" hidden="1" x14ac:dyDescent="0.25">
      <c r="Y6824" s="501"/>
    </row>
    <row r="6825" spans="25:25" hidden="1" x14ac:dyDescent="0.25">
      <c r="Y6825" s="501"/>
    </row>
    <row r="6826" spans="25:25" hidden="1" x14ac:dyDescent="0.25">
      <c r="Y6826" s="501"/>
    </row>
    <row r="6827" spans="25:25" hidden="1" x14ac:dyDescent="0.25">
      <c r="Y6827" s="501"/>
    </row>
    <row r="6828" spans="25:25" hidden="1" x14ac:dyDescent="0.25">
      <c r="Y6828" s="501"/>
    </row>
    <row r="6829" spans="25:25" hidden="1" x14ac:dyDescent="0.25">
      <c r="Y6829" s="501"/>
    </row>
    <row r="6830" spans="25:25" hidden="1" x14ac:dyDescent="0.25">
      <c r="Y6830" s="501"/>
    </row>
    <row r="6831" spans="25:25" hidden="1" x14ac:dyDescent="0.25">
      <c r="Y6831" s="501"/>
    </row>
    <row r="6832" spans="25:25" hidden="1" x14ac:dyDescent="0.25">
      <c r="Y6832" s="501"/>
    </row>
    <row r="6833" spans="25:25" hidden="1" x14ac:dyDescent="0.25">
      <c r="Y6833" s="501"/>
    </row>
    <row r="6834" spans="25:25" hidden="1" x14ac:dyDescent="0.25">
      <c r="Y6834" s="501"/>
    </row>
    <row r="6835" spans="25:25" hidden="1" x14ac:dyDescent="0.25">
      <c r="Y6835" s="501"/>
    </row>
    <row r="6836" spans="25:25" hidden="1" x14ac:dyDescent="0.25">
      <c r="Y6836" s="501"/>
    </row>
    <row r="6837" spans="25:25" hidden="1" x14ac:dyDescent="0.25">
      <c r="Y6837" s="501"/>
    </row>
    <row r="6838" spans="25:25" hidden="1" x14ac:dyDescent="0.25">
      <c r="Y6838" s="501"/>
    </row>
    <row r="6839" spans="25:25" hidden="1" x14ac:dyDescent="0.25">
      <c r="Y6839" s="501"/>
    </row>
    <row r="6840" spans="25:25" hidden="1" x14ac:dyDescent="0.25">
      <c r="Y6840" s="501"/>
    </row>
    <row r="6841" spans="25:25" hidden="1" x14ac:dyDescent="0.25">
      <c r="Y6841" s="501"/>
    </row>
    <row r="6842" spans="25:25" hidden="1" x14ac:dyDescent="0.25">
      <c r="Y6842" s="501"/>
    </row>
    <row r="6843" spans="25:25" hidden="1" x14ac:dyDescent="0.25">
      <c r="Y6843" s="501"/>
    </row>
    <row r="6844" spans="25:25" hidden="1" x14ac:dyDescent="0.25">
      <c r="Y6844" s="501"/>
    </row>
    <row r="6845" spans="25:25" hidden="1" x14ac:dyDescent="0.25">
      <c r="Y6845" s="501"/>
    </row>
    <row r="6846" spans="25:25" hidden="1" x14ac:dyDescent="0.25">
      <c r="Y6846" s="501"/>
    </row>
    <row r="6847" spans="25:25" hidden="1" x14ac:dyDescent="0.25">
      <c r="Y6847" s="501"/>
    </row>
    <row r="6848" spans="25:25" hidden="1" x14ac:dyDescent="0.25">
      <c r="Y6848" s="501"/>
    </row>
    <row r="6849" spans="25:25" hidden="1" x14ac:dyDescent="0.25">
      <c r="Y6849" s="501"/>
    </row>
    <row r="6850" spans="25:25" hidden="1" x14ac:dyDescent="0.25">
      <c r="Y6850" s="501"/>
    </row>
    <row r="6851" spans="25:25" hidden="1" x14ac:dyDescent="0.25">
      <c r="Y6851" s="501"/>
    </row>
    <row r="6852" spans="25:25" hidden="1" x14ac:dyDescent="0.25">
      <c r="Y6852" s="501"/>
    </row>
    <row r="6853" spans="25:25" hidden="1" x14ac:dyDescent="0.25">
      <c r="Y6853" s="501"/>
    </row>
    <row r="6854" spans="25:25" hidden="1" x14ac:dyDescent="0.25">
      <c r="Y6854" s="501"/>
    </row>
    <row r="6855" spans="25:25" hidden="1" x14ac:dyDescent="0.25">
      <c r="Y6855" s="501"/>
    </row>
    <row r="6856" spans="25:25" hidden="1" x14ac:dyDescent="0.25">
      <c r="Y6856" s="501"/>
    </row>
    <row r="6857" spans="25:25" hidden="1" x14ac:dyDescent="0.25">
      <c r="Y6857" s="501"/>
    </row>
    <row r="6858" spans="25:25" hidden="1" x14ac:dyDescent="0.25">
      <c r="Y6858" s="501"/>
    </row>
    <row r="6859" spans="25:25" hidden="1" x14ac:dyDescent="0.25">
      <c r="Y6859" s="501"/>
    </row>
    <row r="6860" spans="25:25" hidden="1" x14ac:dyDescent="0.25">
      <c r="Y6860" s="501"/>
    </row>
    <row r="6861" spans="25:25" hidden="1" x14ac:dyDescent="0.25">
      <c r="Y6861" s="501"/>
    </row>
    <row r="6862" spans="25:25" hidden="1" x14ac:dyDescent="0.25">
      <c r="Y6862" s="501"/>
    </row>
    <row r="6863" spans="25:25" hidden="1" x14ac:dyDescent="0.25">
      <c r="Y6863" s="501"/>
    </row>
    <row r="6864" spans="25:25" hidden="1" x14ac:dyDescent="0.25">
      <c r="Y6864" s="501"/>
    </row>
    <row r="6865" spans="25:25" hidden="1" x14ac:dyDescent="0.25">
      <c r="Y6865" s="501"/>
    </row>
    <row r="6866" spans="25:25" hidden="1" x14ac:dyDescent="0.25">
      <c r="Y6866" s="501"/>
    </row>
    <row r="6867" spans="25:25" hidden="1" x14ac:dyDescent="0.25">
      <c r="Y6867" s="501"/>
    </row>
    <row r="6868" spans="25:25" hidden="1" x14ac:dyDescent="0.25">
      <c r="Y6868" s="501"/>
    </row>
    <row r="6869" spans="25:25" hidden="1" x14ac:dyDescent="0.25">
      <c r="Y6869" s="501"/>
    </row>
    <row r="6870" spans="25:25" hidden="1" x14ac:dyDescent="0.25">
      <c r="Y6870" s="501"/>
    </row>
    <row r="6871" spans="25:25" hidden="1" x14ac:dyDescent="0.25">
      <c r="Y6871" s="501"/>
    </row>
    <row r="6872" spans="25:25" hidden="1" x14ac:dyDescent="0.25">
      <c r="Y6872" s="501"/>
    </row>
    <row r="6873" spans="25:25" hidden="1" x14ac:dyDescent="0.25">
      <c r="Y6873" s="501"/>
    </row>
    <row r="6874" spans="25:25" hidden="1" x14ac:dyDescent="0.25">
      <c r="Y6874" s="501"/>
    </row>
    <row r="6875" spans="25:25" hidden="1" x14ac:dyDescent="0.25">
      <c r="Y6875" s="501"/>
    </row>
    <row r="6876" spans="25:25" hidden="1" x14ac:dyDescent="0.25">
      <c r="Y6876" s="501"/>
    </row>
    <row r="6877" spans="25:25" hidden="1" x14ac:dyDescent="0.25">
      <c r="Y6877" s="501"/>
    </row>
    <row r="6878" spans="25:25" hidden="1" x14ac:dyDescent="0.25">
      <c r="Y6878" s="501"/>
    </row>
    <row r="6879" spans="25:25" hidden="1" x14ac:dyDescent="0.25">
      <c r="Y6879" s="501"/>
    </row>
    <row r="6880" spans="25:25" hidden="1" x14ac:dyDescent="0.25">
      <c r="Y6880" s="501"/>
    </row>
    <row r="6881" spans="25:25" hidden="1" x14ac:dyDescent="0.25">
      <c r="Y6881" s="501"/>
    </row>
    <row r="6882" spans="25:25" hidden="1" x14ac:dyDescent="0.25">
      <c r="Y6882" s="501"/>
    </row>
    <row r="6883" spans="25:25" hidden="1" x14ac:dyDescent="0.25">
      <c r="Y6883" s="501"/>
    </row>
    <row r="6884" spans="25:25" hidden="1" x14ac:dyDescent="0.25">
      <c r="Y6884" s="501"/>
    </row>
    <row r="6885" spans="25:25" hidden="1" x14ac:dyDescent="0.25">
      <c r="Y6885" s="501"/>
    </row>
    <row r="6886" spans="25:25" hidden="1" x14ac:dyDescent="0.25">
      <c r="Y6886" s="501"/>
    </row>
    <row r="6887" spans="25:25" hidden="1" x14ac:dyDescent="0.25">
      <c r="Y6887" s="501"/>
    </row>
    <row r="6888" spans="25:25" hidden="1" x14ac:dyDescent="0.25">
      <c r="Y6888" s="501"/>
    </row>
    <row r="6889" spans="25:25" hidden="1" x14ac:dyDescent="0.25">
      <c r="Y6889" s="501"/>
    </row>
    <row r="6890" spans="25:25" hidden="1" x14ac:dyDescent="0.25">
      <c r="Y6890" s="501"/>
    </row>
    <row r="6891" spans="25:25" hidden="1" x14ac:dyDescent="0.25">
      <c r="Y6891" s="501"/>
    </row>
    <row r="6892" spans="25:25" hidden="1" x14ac:dyDescent="0.25">
      <c r="Y6892" s="501"/>
    </row>
    <row r="6893" spans="25:25" hidden="1" x14ac:dyDescent="0.25">
      <c r="Y6893" s="501"/>
    </row>
    <row r="6894" spans="25:25" hidden="1" x14ac:dyDescent="0.25">
      <c r="Y6894" s="501"/>
    </row>
    <row r="6895" spans="25:25" hidden="1" x14ac:dyDescent="0.25">
      <c r="Y6895" s="501"/>
    </row>
    <row r="6896" spans="25:25" hidden="1" x14ac:dyDescent="0.25">
      <c r="Y6896" s="501"/>
    </row>
    <row r="6897" spans="25:25" hidden="1" x14ac:dyDescent="0.25">
      <c r="Y6897" s="501"/>
    </row>
    <row r="6898" spans="25:25" hidden="1" x14ac:dyDescent="0.25">
      <c r="Y6898" s="501"/>
    </row>
    <row r="6899" spans="25:25" hidden="1" x14ac:dyDescent="0.25">
      <c r="Y6899" s="501"/>
    </row>
    <row r="6900" spans="25:25" hidden="1" x14ac:dyDescent="0.25">
      <c r="Y6900" s="501"/>
    </row>
    <row r="6901" spans="25:25" hidden="1" x14ac:dyDescent="0.25">
      <c r="Y6901" s="501"/>
    </row>
    <row r="6902" spans="25:25" hidden="1" x14ac:dyDescent="0.25">
      <c r="Y6902" s="501"/>
    </row>
    <row r="6903" spans="25:25" hidden="1" x14ac:dyDescent="0.25">
      <c r="Y6903" s="501"/>
    </row>
    <row r="6904" spans="25:25" hidden="1" x14ac:dyDescent="0.25">
      <c r="Y6904" s="501"/>
    </row>
    <row r="6905" spans="25:25" hidden="1" x14ac:dyDescent="0.25">
      <c r="Y6905" s="501"/>
    </row>
    <row r="6906" spans="25:25" hidden="1" x14ac:dyDescent="0.25">
      <c r="Y6906" s="501"/>
    </row>
    <row r="6907" spans="25:25" hidden="1" x14ac:dyDescent="0.25">
      <c r="Y6907" s="501"/>
    </row>
    <row r="6908" spans="25:25" hidden="1" x14ac:dyDescent="0.25">
      <c r="Y6908" s="501"/>
    </row>
    <row r="6909" spans="25:25" hidden="1" x14ac:dyDescent="0.25">
      <c r="Y6909" s="501"/>
    </row>
    <row r="6910" spans="25:25" hidden="1" x14ac:dyDescent="0.25">
      <c r="Y6910" s="501"/>
    </row>
    <row r="6911" spans="25:25" hidden="1" x14ac:dyDescent="0.25">
      <c r="Y6911" s="501"/>
    </row>
    <row r="6912" spans="25:25" hidden="1" x14ac:dyDescent="0.25">
      <c r="Y6912" s="501"/>
    </row>
    <row r="6913" spans="25:25" hidden="1" x14ac:dyDescent="0.25">
      <c r="Y6913" s="501"/>
    </row>
    <row r="6914" spans="25:25" hidden="1" x14ac:dyDescent="0.25">
      <c r="Y6914" s="501"/>
    </row>
    <row r="6915" spans="25:25" hidden="1" x14ac:dyDescent="0.25">
      <c r="Y6915" s="501"/>
    </row>
    <row r="6916" spans="25:25" hidden="1" x14ac:dyDescent="0.25">
      <c r="Y6916" s="501"/>
    </row>
    <row r="6917" spans="25:25" hidden="1" x14ac:dyDescent="0.25">
      <c r="Y6917" s="501"/>
    </row>
    <row r="6918" spans="25:25" hidden="1" x14ac:dyDescent="0.25">
      <c r="Y6918" s="501"/>
    </row>
    <row r="6919" spans="25:25" hidden="1" x14ac:dyDescent="0.25">
      <c r="Y6919" s="501"/>
    </row>
    <row r="6920" spans="25:25" hidden="1" x14ac:dyDescent="0.25">
      <c r="Y6920" s="501"/>
    </row>
    <row r="6921" spans="25:25" hidden="1" x14ac:dyDescent="0.25">
      <c r="Y6921" s="501"/>
    </row>
    <row r="6922" spans="25:25" hidden="1" x14ac:dyDescent="0.25">
      <c r="Y6922" s="501"/>
    </row>
    <row r="6923" spans="25:25" hidden="1" x14ac:dyDescent="0.25">
      <c r="Y6923" s="501"/>
    </row>
    <row r="6924" spans="25:25" hidden="1" x14ac:dyDescent="0.25">
      <c r="Y6924" s="501"/>
    </row>
    <row r="6925" spans="25:25" hidden="1" x14ac:dyDescent="0.25">
      <c r="Y6925" s="501"/>
    </row>
    <row r="6926" spans="25:25" hidden="1" x14ac:dyDescent="0.25">
      <c r="Y6926" s="501"/>
    </row>
    <row r="6927" spans="25:25" hidden="1" x14ac:dyDescent="0.25">
      <c r="Y6927" s="501"/>
    </row>
    <row r="6928" spans="25:25" hidden="1" x14ac:dyDescent="0.25">
      <c r="Y6928" s="501"/>
    </row>
    <row r="6929" spans="25:25" hidden="1" x14ac:dyDescent="0.25">
      <c r="Y6929" s="501"/>
    </row>
    <row r="6930" spans="25:25" hidden="1" x14ac:dyDescent="0.25">
      <c r="Y6930" s="501"/>
    </row>
    <row r="6931" spans="25:25" hidden="1" x14ac:dyDescent="0.25">
      <c r="Y6931" s="501"/>
    </row>
    <row r="6932" spans="25:25" hidden="1" x14ac:dyDescent="0.25">
      <c r="Y6932" s="501"/>
    </row>
    <row r="6933" spans="25:25" hidden="1" x14ac:dyDescent="0.25">
      <c r="Y6933" s="501"/>
    </row>
    <row r="6934" spans="25:25" hidden="1" x14ac:dyDescent="0.25">
      <c r="Y6934" s="501"/>
    </row>
    <row r="6935" spans="25:25" hidden="1" x14ac:dyDescent="0.25">
      <c r="Y6935" s="501"/>
    </row>
    <row r="6936" spans="25:25" hidden="1" x14ac:dyDescent="0.25">
      <c r="Y6936" s="501"/>
    </row>
    <row r="6937" spans="25:25" hidden="1" x14ac:dyDescent="0.25">
      <c r="Y6937" s="501"/>
    </row>
    <row r="6938" spans="25:25" hidden="1" x14ac:dyDescent="0.25">
      <c r="Y6938" s="501"/>
    </row>
    <row r="6939" spans="25:25" hidden="1" x14ac:dyDescent="0.25">
      <c r="Y6939" s="501"/>
    </row>
    <row r="6940" spans="25:25" hidden="1" x14ac:dyDescent="0.25">
      <c r="Y6940" s="501"/>
    </row>
    <row r="6941" spans="25:25" hidden="1" x14ac:dyDescent="0.25">
      <c r="Y6941" s="501"/>
    </row>
    <row r="6942" spans="25:25" hidden="1" x14ac:dyDescent="0.25">
      <c r="Y6942" s="501"/>
    </row>
    <row r="6943" spans="25:25" hidden="1" x14ac:dyDescent="0.25">
      <c r="Y6943" s="501"/>
    </row>
    <row r="6944" spans="25:25" hidden="1" x14ac:dyDescent="0.25">
      <c r="Y6944" s="501"/>
    </row>
    <row r="6945" spans="25:25" hidden="1" x14ac:dyDescent="0.25">
      <c r="Y6945" s="501"/>
    </row>
    <row r="6946" spans="25:25" hidden="1" x14ac:dyDescent="0.25">
      <c r="Y6946" s="501"/>
    </row>
    <row r="6947" spans="25:25" hidden="1" x14ac:dyDescent="0.25">
      <c r="Y6947" s="501"/>
    </row>
    <row r="6948" spans="25:25" hidden="1" x14ac:dyDescent="0.25">
      <c r="Y6948" s="501"/>
    </row>
    <row r="6949" spans="25:25" hidden="1" x14ac:dyDescent="0.25">
      <c r="Y6949" s="501"/>
    </row>
    <row r="6950" spans="25:25" hidden="1" x14ac:dyDescent="0.25">
      <c r="Y6950" s="501"/>
    </row>
    <row r="6951" spans="25:25" hidden="1" x14ac:dyDescent="0.25">
      <c r="Y6951" s="501"/>
    </row>
    <row r="6952" spans="25:25" hidden="1" x14ac:dyDescent="0.25">
      <c r="Y6952" s="501"/>
    </row>
    <row r="6953" spans="25:25" hidden="1" x14ac:dyDescent="0.25">
      <c r="Y6953" s="501"/>
    </row>
    <row r="6954" spans="25:25" hidden="1" x14ac:dyDescent="0.25">
      <c r="Y6954" s="501"/>
    </row>
    <row r="6955" spans="25:25" hidden="1" x14ac:dyDescent="0.25">
      <c r="Y6955" s="501"/>
    </row>
    <row r="6956" spans="25:25" hidden="1" x14ac:dyDescent="0.25">
      <c r="Y6956" s="501"/>
    </row>
    <row r="6957" spans="25:25" hidden="1" x14ac:dyDescent="0.25">
      <c r="Y6957" s="501"/>
    </row>
    <row r="6958" spans="25:25" hidden="1" x14ac:dyDescent="0.25">
      <c r="Y6958" s="501"/>
    </row>
    <row r="6959" spans="25:25" hidden="1" x14ac:dyDescent="0.25">
      <c r="Y6959" s="501"/>
    </row>
    <row r="6960" spans="25:25" hidden="1" x14ac:dyDescent="0.25">
      <c r="Y6960" s="501"/>
    </row>
    <row r="6961" spans="25:25" hidden="1" x14ac:dyDescent="0.25">
      <c r="Y6961" s="501"/>
    </row>
    <row r="6962" spans="25:25" hidden="1" x14ac:dyDescent="0.25">
      <c r="Y6962" s="501"/>
    </row>
    <row r="6963" spans="25:25" hidden="1" x14ac:dyDescent="0.25">
      <c r="Y6963" s="501"/>
    </row>
    <row r="6964" spans="25:25" hidden="1" x14ac:dyDescent="0.25">
      <c r="Y6964" s="501"/>
    </row>
    <row r="6965" spans="25:25" hidden="1" x14ac:dyDescent="0.25">
      <c r="Y6965" s="501"/>
    </row>
    <row r="6966" spans="25:25" hidden="1" x14ac:dyDescent="0.25">
      <c r="Y6966" s="501"/>
    </row>
    <row r="6967" spans="25:25" hidden="1" x14ac:dyDescent="0.25">
      <c r="Y6967" s="501"/>
    </row>
    <row r="6968" spans="25:25" hidden="1" x14ac:dyDescent="0.25">
      <c r="Y6968" s="501"/>
    </row>
    <row r="6969" spans="25:25" hidden="1" x14ac:dyDescent="0.25">
      <c r="Y6969" s="501"/>
    </row>
    <row r="6970" spans="25:25" hidden="1" x14ac:dyDescent="0.25">
      <c r="Y6970" s="501"/>
    </row>
    <row r="6971" spans="25:25" hidden="1" x14ac:dyDescent="0.25">
      <c r="Y6971" s="501"/>
    </row>
    <row r="6972" spans="25:25" hidden="1" x14ac:dyDescent="0.25">
      <c r="Y6972" s="501"/>
    </row>
    <row r="6973" spans="25:25" hidden="1" x14ac:dyDescent="0.25">
      <c r="Y6973" s="501"/>
    </row>
    <row r="6974" spans="25:25" hidden="1" x14ac:dyDescent="0.25">
      <c r="Y6974" s="501"/>
    </row>
    <row r="6975" spans="25:25" hidden="1" x14ac:dyDescent="0.25">
      <c r="Y6975" s="501"/>
    </row>
    <row r="6976" spans="25:25" hidden="1" x14ac:dyDescent="0.25">
      <c r="Y6976" s="501"/>
    </row>
    <row r="6977" spans="25:25" hidden="1" x14ac:dyDescent="0.25">
      <c r="Y6977" s="501"/>
    </row>
    <row r="6978" spans="25:25" hidden="1" x14ac:dyDescent="0.25">
      <c r="Y6978" s="501"/>
    </row>
    <row r="6979" spans="25:25" hidden="1" x14ac:dyDescent="0.25">
      <c r="Y6979" s="501"/>
    </row>
    <row r="6980" spans="25:25" hidden="1" x14ac:dyDescent="0.25">
      <c r="Y6980" s="501"/>
    </row>
    <row r="6981" spans="25:25" hidden="1" x14ac:dyDescent="0.25">
      <c r="Y6981" s="501"/>
    </row>
    <row r="6982" spans="25:25" hidden="1" x14ac:dyDescent="0.25">
      <c r="Y6982" s="501"/>
    </row>
    <row r="6983" spans="25:25" hidden="1" x14ac:dyDescent="0.25">
      <c r="Y6983" s="501"/>
    </row>
    <row r="6984" spans="25:25" hidden="1" x14ac:dyDescent="0.25">
      <c r="Y6984" s="501"/>
    </row>
    <row r="6985" spans="25:25" hidden="1" x14ac:dyDescent="0.25">
      <c r="Y6985" s="501"/>
    </row>
    <row r="6986" spans="25:25" hidden="1" x14ac:dyDescent="0.25">
      <c r="Y6986" s="501"/>
    </row>
    <row r="6987" spans="25:25" hidden="1" x14ac:dyDescent="0.25">
      <c r="Y6987" s="501"/>
    </row>
    <row r="6988" spans="25:25" hidden="1" x14ac:dyDescent="0.25">
      <c r="Y6988" s="501"/>
    </row>
    <row r="6989" spans="25:25" hidden="1" x14ac:dyDescent="0.25">
      <c r="Y6989" s="501"/>
    </row>
    <row r="6990" spans="25:25" hidden="1" x14ac:dyDescent="0.25">
      <c r="Y6990" s="501"/>
    </row>
    <row r="6991" spans="25:25" hidden="1" x14ac:dyDescent="0.25">
      <c r="Y6991" s="501"/>
    </row>
    <row r="6992" spans="25:25" hidden="1" x14ac:dyDescent="0.25">
      <c r="Y6992" s="501"/>
    </row>
    <row r="6993" spans="25:25" hidden="1" x14ac:dyDescent="0.25">
      <c r="Y6993" s="501"/>
    </row>
    <row r="6994" spans="25:25" hidden="1" x14ac:dyDescent="0.25">
      <c r="Y6994" s="501"/>
    </row>
    <row r="6995" spans="25:25" hidden="1" x14ac:dyDescent="0.25">
      <c r="Y6995" s="501"/>
    </row>
    <row r="6996" spans="25:25" hidden="1" x14ac:dyDescent="0.25">
      <c r="Y6996" s="501"/>
    </row>
    <row r="6997" spans="25:25" hidden="1" x14ac:dyDescent="0.25">
      <c r="Y6997" s="501"/>
    </row>
    <row r="6998" spans="25:25" hidden="1" x14ac:dyDescent="0.25">
      <c r="Y6998" s="501"/>
    </row>
    <row r="6999" spans="25:25" hidden="1" x14ac:dyDescent="0.25">
      <c r="Y6999" s="501"/>
    </row>
    <row r="7000" spans="25:25" hidden="1" x14ac:dyDescent="0.25">
      <c r="Y7000" s="501"/>
    </row>
    <row r="7001" spans="25:25" hidden="1" x14ac:dyDescent="0.25">
      <c r="Y7001" s="501"/>
    </row>
    <row r="7002" spans="25:25" hidden="1" x14ac:dyDescent="0.25">
      <c r="Y7002" s="501"/>
    </row>
    <row r="7003" spans="25:25" hidden="1" x14ac:dyDescent="0.25">
      <c r="Y7003" s="501"/>
    </row>
    <row r="7004" spans="25:25" hidden="1" x14ac:dyDescent="0.25">
      <c r="Y7004" s="501"/>
    </row>
    <row r="7005" spans="25:25" hidden="1" x14ac:dyDescent="0.25">
      <c r="Y7005" s="501"/>
    </row>
    <row r="7006" spans="25:25" hidden="1" x14ac:dyDescent="0.25">
      <c r="Y7006" s="501"/>
    </row>
    <row r="7007" spans="25:25" hidden="1" x14ac:dyDescent="0.25">
      <c r="Y7007" s="501"/>
    </row>
    <row r="7008" spans="25:25" hidden="1" x14ac:dyDescent="0.25">
      <c r="Y7008" s="501"/>
    </row>
    <row r="7009" spans="25:25" hidden="1" x14ac:dyDescent="0.25">
      <c r="Y7009" s="501"/>
    </row>
    <row r="7010" spans="25:25" hidden="1" x14ac:dyDescent="0.25">
      <c r="Y7010" s="501"/>
    </row>
    <row r="7011" spans="25:25" hidden="1" x14ac:dyDescent="0.25">
      <c r="Y7011" s="501"/>
    </row>
    <row r="7012" spans="25:25" hidden="1" x14ac:dyDescent="0.25">
      <c r="Y7012" s="501"/>
    </row>
    <row r="7013" spans="25:25" hidden="1" x14ac:dyDescent="0.25">
      <c r="Y7013" s="501"/>
    </row>
    <row r="7014" spans="25:25" hidden="1" x14ac:dyDescent="0.25">
      <c r="Y7014" s="501"/>
    </row>
    <row r="7015" spans="25:25" hidden="1" x14ac:dyDescent="0.25">
      <c r="Y7015" s="501"/>
    </row>
    <row r="7016" spans="25:25" hidden="1" x14ac:dyDescent="0.25">
      <c r="Y7016" s="501"/>
    </row>
    <row r="7017" spans="25:25" hidden="1" x14ac:dyDescent="0.25">
      <c r="Y7017" s="501"/>
    </row>
    <row r="7018" spans="25:25" hidden="1" x14ac:dyDescent="0.25">
      <c r="Y7018" s="501"/>
    </row>
    <row r="7019" spans="25:25" hidden="1" x14ac:dyDescent="0.25">
      <c r="Y7019" s="501"/>
    </row>
    <row r="7020" spans="25:25" hidden="1" x14ac:dyDescent="0.25">
      <c r="Y7020" s="501"/>
    </row>
    <row r="7021" spans="25:25" hidden="1" x14ac:dyDescent="0.25">
      <c r="Y7021" s="501"/>
    </row>
    <row r="7022" spans="25:25" hidden="1" x14ac:dyDescent="0.25">
      <c r="Y7022" s="501"/>
    </row>
    <row r="7023" spans="25:25" hidden="1" x14ac:dyDescent="0.25">
      <c r="Y7023" s="501"/>
    </row>
    <row r="7024" spans="25:25" hidden="1" x14ac:dyDescent="0.25">
      <c r="Y7024" s="501"/>
    </row>
    <row r="7025" spans="25:25" hidden="1" x14ac:dyDescent="0.25">
      <c r="Y7025" s="501"/>
    </row>
    <row r="7026" spans="25:25" hidden="1" x14ac:dyDescent="0.25">
      <c r="Y7026" s="501"/>
    </row>
    <row r="7027" spans="25:25" hidden="1" x14ac:dyDescent="0.25">
      <c r="Y7027" s="501"/>
    </row>
    <row r="7028" spans="25:25" hidden="1" x14ac:dyDescent="0.25">
      <c r="Y7028" s="501"/>
    </row>
    <row r="7029" spans="25:25" hidden="1" x14ac:dyDescent="0.25">
      <c r="Y7029" s="501"/>
    </row>
    <row r="7030" spans="25:25" hidden="1" x14ac:dyDescent="0.25">
      <c r="Y7030" s="501"/>
    </row>
    <row r="7031" spans="25:25" hidden="1" x14ac:dyDescent="0.25">
      <c r="Y7031" s="501"/>
    </row>
    <row r="7032" spans="25:25" hidden="1" x14ac:dyDescent="0.25">
      <c r="Y7032" s="501"/>
    </row>
    <row r="7033" spans="25:25" hidden="1" x14ac:dyDescent="0.25">
      <c r="Y7033" s="501"/>
    </row>
    <row r="7034" spans="25:25" hidden="1" x14ac:dyDescent="0.25">
      <c r="Y7034" s="501"/>
    </row>
    <row r="7035" spans="25:25" hidden="1" x14ac:dyDescent="0.25">
      <c r="Y7035" s="501"/>
    </row>
    <row r="7036" spans="25:25" hidden="1" x14ac:dyDescent="0.25">
      <c r="Y7036" s="501"/>
    </row>
    <row r="7037" spans="25:25" hidden="1" x14ac:dyDescent="0.25">
      <c r="Y7037" s="501"/>
    </row>
    <row r="7038" spans="25:25" hidden="1" x14ac:dyDescent="0.25">
      <c r="Y7038" s="501"/>
    </row>
    <row r="7039" spans="25:25" hidden="1" x14ac:dyDescent="0.25">
      <c r="Y7039" s="501"/>
    </row>
    <row r="7040" spans="25:25" hidden="1" x14ac:dyDescent="0.25">
      <c r="Y7040" s="501"/>
    </row>
    <row r="7041" spans="25:25" hidden="1" x14ac:dyDescent="0.25">
      <c r="Y7041" s="501"/>
    </row>
    <row r="7042" spans="25:25" hidden="1" x14ac:dyDescent="0.25">
      <c r="Y7042" s="501"/>
    </row>
    <row r="7043" spans="25:25" hidden="1" x14ac:dyDescent="0.25">
      <c r="Y7043" s="501"/>
    </row>
    <row r="7044" spans="25:25" hidden="1" x14ac:dyDescent="0.25">
      <c r="Y7044" s="501"/>
    </row>
    <row r="7045" spans="25:25" hidden="1" x14ac:dyDescent="0.25">
      <c r="Y7045" s="501"/>
    </row>
    <row r="7046" spans="25:25" hidden="1" x14ac:dyDescent="0.25">
      <c r="Y7046" s="501"/>
    </row>
    <row r="7047" spans="25:25" hidden="1" x14ac:dyDescent="0.25">
      <c r="Y7047" s="501"/>
    </row>
    <row r="7048" spans="25:25" hidden="1" x14ac:dyDescent="0.25">
      <c r="Y7048" s="501"/>
    </row>
    <row r="7049" spans="25:25" hidden="1" x14ac:dyDescent="0.25">
      <c r="Y7049" s="501"/>
    </row>
    <row r="7050" spans="25:25" hidden="1" x14ac:dyDescent="0.25">
      <c r="Y7050" s="501"/>
    </row>
    <row r="7051" spans="25:25" hidden="1" x14ac:dyDescent="0.25">
      <c r="Y7051" s="501"/>
    </row>
    <row r="7052" spans="25:25" hidden="1" x14ac:dyDescent="0.25">
      <c r="Y7052" s="501"/>
    </row>
    <row r="7053" spans="25:25" hidden="1" x14ac:dyDescent="0.25">
      <c r="Y7053" s="501"/>
    </row>
    <row r="7054" spans="25:25" hidden="1" x14ac:dyDescent="0.25">
      <c r="Y7054" s="501"/>
    </row>
    <row r="7055" spans="25:25" hidden="1" x14ac:dyDescent="0.25">
      <c r="Y7055" s="501"/>
    </row>
    <row r="7056" spans="25:25" hidden="1" x14ac:dyDescent="0.25">
      <c r="Y7056" s="501"/>
    </row>
    <row r="7057" spans="25:25" hidden="1" x14ac:dyDescent="0.25">
      <c r="Y7057" s="501"/>
    </row>
    <row r="7058" spans="25:25" hidden="1" x14ac:dyDescent="0.25">
      <c r="Y7058" s="501"/>
    </row>
    <row r="7059" spans="25:25" hidden="1" x14ac:dyDescent="0.25">
      <c r="Y7059" s="501"/>
    </row>
    <row r="7060" spans="25:25" hidden="1" x14ac:dyDescent="0.25">
      <c r="Y7060" s="501"/>
    </row>
    <row r="7061" spans="25:25" hidden="1" x14ac:dyDescent="0.25">
      <c r="Y7061" s="501"/>
    </row>
    <row r="7062" spans="25:25" hidden="1" x14ac:dyDescent="0.25">
      <c r="Y7062" s="501"/>
    </row>
    <row r="7063" spans="25:25" hidden="1" x14ac:dyDescent="0.25">
      <c r="Y7063" s="501"/>
    </row>
    <row r="7064" spans="25:25" hidden="1" x14ac:dyDescent="0.25">
      <c r="Y7064" s="501"/>
    </row>
    <row r="7065" spans="25:25" hidden="1" x14ac:dyDescent="0.25">
      <c r="Y7065" s="501"/>
    </row>
    <row r="7066" spans="25:25" hidden="1" x14ac:dyDescent="0.25">
      <c r="Y7066" s="501"/>
    </row>
    <row r="7067" spans="25:25" hidden="1" x14ac:dyDescent="0.25">
      <c r="Y7067" s="501"/>
    </row>
    <row r="7068" spans="25:25" hidden="1" x14ac:dyDescent="0.25">
      <c r="Y7068" s="501"/>
    </row>
    <row r="7069" spans="25:25" hidden="1" x14ac:dyDescent="0.25">
      <c r="Y7069" s="501"/>
    </row>
    <row r="7070" spans="25:25" hidden="1" x14ac:dyDescent="0.25">
      <c r="Y7070" s="501"/>
    </row>
    <row r="7071" spans="25:25" hidden="1" x14ac:dyDescent="0.25">
      <c r="Y7071" s="501"/>
    </row>
    <row r="7072" spans="25:25" hidden="1" x14ac:dyDescent="0.25">
      <c r="Y7072" s="501"/>
    </row>
    <row r="7073" spans="25:25" hidden="1" x14ac:dyDescent="0.25">
      <c r="Y7073" s="501"/>
    </row>
    <row r="7074" spans="25:25" hidden="1" x14ac:dyDescent="0.25">
      <c r="Y7074" s="501"/>
    </row>
    <row r="7075" spans="25:25" hidden="1" x14ac:dyDescent="0.25">
      <c r="Y7075" s="501"/>
    </row>
    <row r="7076" spans="25:25" hidden="1" x14ac:dyDescent="0.25">
      <c r="Y7076" s="501"/>
    </row>
    <row r="7077" spans="25:25" hidden="1" x14ac:dyDescent="0.25">
      <c r="Y7077" s="501"/>
    </row>
    <row r="7078" spans="25:25" hidden="1" x14ac:dyDescent="0.25">
      <c r="Y7078" s="501"/>
    </row>
    <row r="7079" spans="25:25" hidden="1" x14ac:dyDescent="0.25">
      <c r="Y7079" s="501"/>
    </row>
    <row r="7080" spans="25:25" hidden="1" x14ac:dyDescent="0.25">
      <c r="Y7080" s="501"/>
    </row>
    <row r="7081" spans="25:25" hidden="1" x14ac:dyDescent="0.25">
      <c r="Y7081" s="501"/>
    </row>
    <row r="7082" spans="25:25" hidden="1" x14ac:dyDescent="0.25">
      <c r="Y7082" s="501"/>
    </row>
    <row r="7083" spans="25:25" hidden="1" x14ac:dyDescent="0.25">
      <c r="Y7083" s="501"/>
    </row>
    <row r="7084" spans="25:25" hidden="1" x14ac:dyDescent="0.25">
      <c r="Y7084" s="501"/>
    </row>
    <row r="7085" spans="25:25" hidden="1" x14ac:dyDescent="0.25">
      <c r="Y7085" s="501"/>
    </row>
    <row r="7086" spans="25:25" hidden="1" x14ac:dyDescent="0.25">
      <c r="Y7086" s="501"/>
    </row>
    <row r="7087" spans="25:25" hidden="1" x14ac:dyDescent="0.25">
      <c r="Y7087" s="501"/>
    </row>
    <row r="7088" spans="25:25" hidden="1" x14ac:dyDescent="0.25">
      <c r="Y7088" s="501"/>
    </row>
    <row r="7089" spans="25:25" hidden="1" x14ac:dyDescent="0.25">
      <c r="Y7089" s="501"/>
    </row>
    <row r="7090" spans="25:25" hidden="1" x14ac:dyDescent="0.25">
      <c r="Y7090" s="501"/>
    </row>
    <row r="7091" spans="25:25" hidden="1" x14ac:dyDescent="0.25">
      <c r="Y7091" s="501"/>
    </row>
    <row r="7092" spans="25:25" hidden="1" x14ac:dyDescent="0.25">
      <c r="Y7092" s="501"/>
    </row>
    <row r="7093" spans="25:25" hidden="1" x14ac:dyDescent="0.25">
      <c r="Y7093" s="501"/>
    </row>
    <row r="7094" spans="25:25" hidden="1" x14ac:dyDescent="0.25">
      <c r="Y7094" s="501"/>
    </row>
    <row r="7095" spans="25:25" hidden="1" x14ac:dyDescent="0.25">
      <c r="Y7095" s="501"/>
    </row>
    <row r="7096" spans="25:25" hidden="1" x14ac:dyDescent="0.25">
      <c r="Y7096" s="501"/>
    </row>
    <row r="7097" spans="25:25" hidden="1" x14ac:dyDescent="0.25">
      <c r="Y7097" s="501"/>
    </row>
    <row r="7098" spans="25:25" hidden="1" x14ac:dyDescent="0.25">
      <c r="Y7098" s="501"/>
    </row>
    <row r="7099" spans="25:25" hidden="1" x14ac:dyDescent="0.25">
      <c r="Y7099" s="501"/>
    </row>
    <row r="7100" spans="25:25" hidden="1" x14ac:dyDescent="0.25">
      <c r="Y7100" s="501"/>
    </row>
    <row r="7101" spans="25:25" hidden="1" x14ac:dyDescent="0.25">
      <c r="Y7101" s="501"/>
    </row>
    <row r="7102" spans="25:25" hidden="1" x14ac:dyDescent="0.25">
      <c r="Y7102" s="501"/>
    </row>
    <row r="7103" spans="25:25" hidden="1" x14ac:dyDescent="0.25">
      <c r="Y7103" s="501"/>
    </row>
    <row r="7104" spans="25:25" hidden="1" x14ac:dyDescent="0.25">
      <c r="Y7104" s="501"/>
    </row>
    <row r="7105" spans="25:25" hidden="1" x14ac:dyDescent="0.25">
      <c r="Y7105" s="501"/>
    </row>
    <row r="7106" spans="25:25" hidden="1" x14ac:dyDescent="0.25">
      <c r="Y7106" s="501"/>
    </row>
    <row r="7107" spans="25:25" hidden="1" x14ac:dyDescent="0.25">
      <c r="Y7107" s="501"/>
    </row>
    <row r="7108" spans="25:25" hidden="1" x14ac:dyDescent="0.25">
      <c r="Y7108" s="501"/>
    </row>
    <row r="7109" spans="25:25" hidden="1" x14ac:dyDescent="0.25">
      <c r="Y7109" s="501"/>
    </row>
    <row r="7110" spans="25:25" hidden="1" x14ac:dyDescent="0.25">
      <c r="Y7110" s="501"/>
    </row>
    <row r="7111" spans="25:25" hidden="1" x14ac:dyDescent="0.25">
      <c r="Y7111" s="501"/>
    </row>
    <row r="7112" spans="25:25" hidden="1" x14ac:dyDescent="0.25">
      <c r="Y7112" s="501"/>
    </row>
    <row r="7113" spans="25:25" hidden="1" x14ac:dyDescent="0.25">
      <c r="Y7113" s="501"/>
    </row>
    <row r="7114" spans="25:25" hidden="1" x14ac:dyDescent="0.25">
      <c r="Y7114" s="501"/>
    </row>
    <row r="7115" spans="25:25" hidden="1" x14ac:dyDescent="0.25">
      <c r="Y7115" s="501"/>
    </row>
    <row r="7116" spans="25:25" hidden="1" x14ac:dyDescent="0.25">
      <c r="Y7116" s="501"/>
    </row>
    <row r="7117" spans="25:25" hidden="1" x14ac:dyDescent="0.25">
      <c r="Y7117" s="501"/>
    </row>
    <row r="7118" spans="25:25" hidden="1" x14ac:dyDescent="0.25">
      <c r="Y7118" s="501"/>
    </row>
    <row r="7119" spans="25:25" hidden="1" x14ac:dyDescent="0.25">
      <c r="Y7119" s="501"/>
    </row>
    <row r="7120" spans="25:25" hidden="1" x14ac:dyDescent="0.25">
      <c r="Y7120" s="501"/>
    </row>
    <row r="7121" spans="25:25" hidden="1" x14ac:dyDescent="0.25">
      <c r="Y7121" s="501"/>
    </row>
    <row r="7122" spans="25:25" hidden="1" x14ac:dyDescent="0.25">
      <c r="Y7122" s="501"/>
    </row>
    <row r="7123" spans="25:25" hidden="1" x14ac:dyDescent="0.25">
      <c r="Y7123" s="501"/>
    </row>
    <row r="7124" spans="25:25" hidden="1" x14ac:dyDescent="0.25">
      <c r="Y7124" s="501"/>
    </row>
    <row r="7125" spans="25:25" hidden="1" x14ac:dyDescent="0.25">
      <c r="Y7125" s="501"/>
    </row>
    <row r="7126" spans="25:25" hidden="1" x14ac:dyDescent="0.25">
      <c r="Y7126" s="501"/>
    </row>
    <row r="7127" spans="25:25" hidden="1" x14ac:dyDescent="0.25">
      <c r="Y7127" s="501"/>
    </row>
    <row r="7128" spans="25:25" hidden="1" x14ac:dyDescent="0.25">
      <c r="Y7128" s="501"/>
    </row>
    <row r="7129" spans="25:25" hidden="1" x14ac:dyDescent="0.25">
      <c r="Y7129" s="501"/>
    </row>
    <row r="7130" spans="25:25" hidden="1" x14ac:dyDescent="0.25">
      <c r="Y7130" s="501"/>
    </row>
    <row r="7131" spans="25:25" hidden="1" x14ac:dyDescent="0.25">
      <c r="Y7131" s="501"/>
    </row>
    <row r="7132" spans="25:25" hidden="1" x14ac:dyDescent="0.25">
      <c r="Y7132" s="501"/>
    </row>
    <row r="7133" spans="25:25" hidden="1" x14ac:dyDescent="0.25">
      <c r="Y7133" s="501"/>
    </row>
    <row r="7134" spans="25:25" hidden="1" x14ac:dyDescent="0.25">
      <c r="Y7134" s="501"/>
    </row>
    <row r="7135" spans="25:25" hidden="1" x14ac:dyDescent="0.25">
      <c r="Y7135" s="501"/>
    </row>
    <row r="7136" spans="25:25" hidden="1" x14ac:dyDescent="0.25">
      <c r="Y7136" s="501"/>
    </row>
    <row r="7137" spans="25:25" hidden="1" x14ac:dyDescent="0.25">
      <c r="Y7137" s="501"/>
    </row>
    <row r="7138" spans="25:25" hidden="1" x14ac:dyDescent="0.25">
      <c r="Y7138" s="501"/>
    </row>
    <row r="7139" spans="25:25" hidden="1" x14ac:dyDescent="0.25">
      <c r="Y7139" s="501"/>
    </row>
    <row r="7140" spans="25:25" hidden="1" x14ac:dyDescent="0.25">
      <c r="Y7140" s="501"/>
    </row>
    <row r="7141" spans="25:25" hidden="1" x14ac:dyDescent="0.25">
      <c r="Y7141" s="501"/>
    </row>
    <row r="7142" spans="25:25" hidden="1" x14ac:dyDescent="0.25">
      <c r="Y7142" s="501"/>
    </row>
    <row r="7143" spans="25:25" hidden="1" x14ac:dyDescent="0.25">
      <c r="Y7143" s="501"/>
    </row>
    <row r="7144" spans="25:25" hidden="1" x14ac:dyDescent="0.25">
      <c r="Y7144" s="501"/>
    </row>
    <row r="7145" spans="25:25" hidden="1" x14ac:dyDescent="0.25">
      <c r="Y7145" s="501"/>
    </row>
    <row r="7146" spans="25:25" hidden="1" x14ac:dyDescent="0.25">
      <c r="Y7146" s="501"/>
    </row>
    <row r="7147" spans="25:25" hidden="1" x14ac:dyDescent="0.25">
      <c r="Y7147" s="501"/>
    </row>
    <row r="7148" spans="25:25" hidden="1" x14ac:dyDescent="0.25">
      <c r="Y7148" s="501"/>
    </row>
    <row r="7149" spans="25:25" hidden="1" x14ac:dyDescent="0.25">
      <c r="Y7149" s="501"/>
    </row>
    <row r="7150" spans="25:25" hidden="1" x14ac:dyDescent="0.25">
      <c r="Y7150" s="501"/>
    </row>
    <row r="7151" spans="25:25" hidden="1" x14ac:dyDescent="0.25">
      <c r="Y7151" s="501"/>
    </row>
    <row r="7152" spans="25:25" hidden="1" x14ac:dyDescent="0.25">
      <c r="Y7152" s="501"/>
    </row>
    <row r="7153" spans="25:25" hidden="1" x14ac:dyDescent="0.25">
      <c r="Y7153" s="501"/>
    </row>
    <row r="7154" spans="25:25" hidden="1" x14ac:dyDescent="0.25">
      <c r="Y7154" s="501"/>
    </row>
    <row r="7155" spans="25:25" hidden="1" x14ac:dyDescent="0.25">
      <c r="Y7155" s="501"/>
    </row>
    <row r="7156" spans="25:25" hidden="1" x14ac:dyDescent="0.25">
      <c r="Y7156" s="501"/>
    </row>
    <row r="7157" spans="25:25" hidden="1" x14ac:dyDescent="0.25">
      <c r="Y7157" s="501"/>
    </row>
    <row r="7158" spans="25:25" hidden="1" x14ac:dyDescent="0.25">
      <c r="Y7158" s="501"/>
    </row>
    <row r="7159" spans="25:25" hidden="1" x14ac:dyDescent="0.25">
      <c r="Y7159" s="501"/>
    </row>
    <row r="7160" spans="25:25" hidden="1" x14ac:dyDescent="0.25">
      <c r="Y7160" s="501"/>
    </row>
    <row r="7161" spans="25:25" hidden="1" x14ac:dyDescent="0.25">
      <c r="Y7161" s="501"/>
    </row>
    <row r="7162" spans="25:25" hidden="1" x14ac:dyDescent="0.25">
      <c r="Y7162" s="501"/>
    </row>
    <row r="7163" spans="25:25" hidden="1" x14ac:dyDescent="0.25">
      <c r="Y7163" s="501"/>
    </row>
    <row r="7164" spans="25:25" hidden="1" x14ac:dyDescent="0.25">
      <c r="Y7164" s="501"/>
    </row>
    <row r="7165" spans="25:25" hidden="1" x14ac:dyDescent="0.25">
      <c r="Y7165" s="501"/>
    </row>
    <row r="7166" spans="25:25" hidden="1" x14ac:dyDescent="0.25">
      <c r="Y7166" s="501"/>
    </row>
    <row r="7167" spans="25:25" hidden="1" x14ac:dyDescent="0.25">
      <c r="Y7167" s="501"/>
    </row>
    <row r="7168" spans="25:25" hidden="1" x14ac:dyDescent="0.25">
      <c r="Y7168" s="501"/>
    </row>
    <row r="7169" spans="25:25" hidden="1" x14ac:dyDescent="0.25">
      <c r="Y7169" s="501"/>
    </row>
    <row r="7170" spans="25:25" hidden="1" x14ac:dyDescent="0.25">
      <c r="Y7170" s="501"/>
    </row>
    <row r="7171" spans="25:25" hidden="1" x14ac:dyDescent="0.25">
      <c r="Y7171" s="501"/>
    </row>
    <row r="7172" spans="25:25" hidden="1" x14ac:dyDescent="0.25">
      <c r="Y7172" s="501"/>
    </row>
    <row r="7173" spans="25:25" hidden="1" x14ac:dyDescent="0.25">
      <c r="Y7173" s="501"/>
    </row>
    <row r="7174" spans="25:25" hidden="1" x14ac:dyDescent="0.25">
      <c r="Y7174" s="501"/>
    </row>
    <row r="7175" spans="25:25" hidden="1" x14ac:dyDescent="0.25">
      <c r="Y7175" s="501"/>
    </row>
    <row r="7176" spans="25:25" hidden="1" x14ac:dyDescent="0.25">
      <c r="Y7176" s="501"/>
    </row>
    <row r="7177" spans="25:25" hidden="1" x14ac:dyDescent="0.25">
      <c r="Y7177" s="501"/>
    </row>
    <row r="7178" spans="25:25" hidden="1" x14ac:dyDescent="0.25">
      <c r="Y7178" s="501"/>
    </row>
    <row r="7179" spans="25:25" hidden="1" x14ac:dyDescent="0.25">
      <c r="Y7179" s="501"/>
    </row>
    <row r="7180" spans="25:25" hidden="1" x14ac:dyDescent="0.25">
      <c r="Y7180" s="501"/>
    </row>
    <row r="7181" spans="25:25" hidden="1" x14ac:dyDescent="0.25">
      <c r="Y7181" s="501"/>
    </row>
    <row r="7182" spans="25:25" hidden="1" x14ac:dyDescent="0.25">
      <c r="Y7182" s="501"/>
    </row>
    <row r="7183" spans="25:25" hidden="1" x14ac:dyDescent="0.25">
      <c r="Y7183" s="501"/>
    </row>
    <row r="7184" spans="25:25" hidden="1" x14ac:dyDescent="0.25">
      <c r="Y7184" s="501"/>
    </row>
    <row r="7185" spans="25:25" hidden="1" x14ac:dyDescent="0.25">
      <c r="Y7185" s="501"/>
    </row>
    <row r="7186" spans="25:25" hidden="1" x14ac:dyDescent="0.25">
      <c r="Y7186" s="501"/>
    </row>
    <row r="7187" spans="25:25" hidden="1" x14ac:dyDescent="0.25">
      <c r="Y7187" s="501"/>
    </row>
    <row r="7188" spans="25:25" hidden="1" x14ac:dyDescent="0.25">
      <c r="Y7188" s="501"/>
    </row>
    <row r="7189" spans="25:25" hidden="1" x14ac:dyDescent="0.25">
      <c r="Y7189" s="501"/>
    </row>
    <row r="7190" spans="25:25" hidden="1" x14ac:dyDescent="0.25">
      <c r="Y7190" s="501"/>
    </row>
    <row r="7191" spans="25:25" hidden="1" x14ac:dyDescent="0.25">
      <c r="Y7191" s="501"/>
    </row>
    <row r="7192" spans="25:25" hidden="1" x14ac:dyDescent="0.25">
      <c r="Y7192" s="501"/>
    </row>
    <row r="7193" spans="25:25" hidden="1" x14ac:dyDescent="0.25">
      <c r="Y7193" s="501"/>
    </row>
    <row r="7194" spans="25:25" hidden="1" x14ac:dyDescent="0.25">
      <c r="Y7194" s="501"/>
    </row>
    <row r="7195" spans="25:25" hidden="1" x14ac:dyDescent="0.25">
      <c r="Y7195" s="501"/>
    </row>
    <row r="7196" spans="25:25" hidden="1" x14ac:dyDescent="0.25">
      <c r="Y7196" s="501"/>
    </row>
    <row r="7197" spans="25:25" hidden="1" x14ac:dyDescent="0.25">
      <c r="Y7197" s="501"/>
    </row>
    <row r="7198" spans="25:25" hidden="1" x14ac:dyDescent="0.25">
      <c r="Y7198" s="501"/>
    </row>
    <row r="7199" spans="25:25" hidden="1" x14ac:dyDescent="0.25">
      <c r="Y7199" s="501"/>
    </row>
    <row r="7200" spans="25:25" hidden="1" x14ac:dyDescent="0.25">
      <c r="Y7200" s="501"/>
    </row>
    <row r="7201" spans="25:25" hidden="1" x14ac:dyDescent="0.25">
      <c r="Y7201" s="501"/>
    </row>
    <row r="7202" spans="25:25" hidden="1" x14ac:dyDescent="0.25">
      <c r="Y7202" s="501"/>
    </row>
    <row r="7203" spans="25:25" hidden="1" x14ac:dyDescent="0.25">
      <c r="Y7203" s="501"/>
    </row>
    <row r="7204" spans="25:25" hidden="1" x14ac:dyDescent="0.25">
      <c r="Y7204" s="501"/>
    </row>
    <row r="7205" spans="25:25" hidden="1" x14ac:dyDescent="0.25">
      <c r="Y7205" s="501"/>
    </row>
    <row r="7206" spans="25:25" hidden="1" x14ac:dyDescent="0.25">
      <c r="Y7206" s="501"/>
    </row>
    <row r="7207" spans="25:25" hidden="1" x14ac:dyDescent="0.25">
      <c r="Y7207" s="501"/>
    </row>
    <row r="7208" spans="25:25" hidden="1" x14ac:dyDescent="0.25">
      <c r="Y7208" s="501"/>
    </row>
    <row r="7209" spans="25:25" hidden="1" x14ac:dyDescent="0.25">
      <c r="Y7209" s="501"/>
    </row>
    <row r="7210" spans="25:25" hidden="1" x14ac:dyDescent="0.25">
      <c r="Y7210" s="501"/>
    </row>
    <row r="7211" spans="25:25" hidden="1" x14ac:dyDescent="0.25">
      <c r="Y7211" s="501"/>
    </row>
    <row r="7212" spans="25:25" hidden="1" x14ac:dyDescent="0.25">
      <c r="Y7212" s="501"/>
    </row>
    <row r="7213" spans="25:25" hidden="1" x14ac:dyDescent="0.25">
      <c r="Y7213" s="501"/>
    </row>
    <row r="7214" spans="25:25" hidden="1" x14ac:dyDescent="0.25">
      <c r="Y7214" s="501"/>
    </row>
    <row r="7215" spans="25:25" hidden="1" x14ac:dyDescent="0.25">
      <c r="Y7215" s="501"/>
    </row>
    <row r="7216" spans="25:25" hidden="1" x14ac:dyDescent="0.25">
      <c r="Y7216" s="501"/>
    </row>
    <row r="7217" spans="25:25" hidden="1" x14ac:dyDescent="0.25">
      <c r="Y7217" s="501"/>
    </row>
    <row r="7218" spans="25:25" hidden="1" x14ac:dyDescent="0.25">
      <c r="Y7218" s="501"/>
    </row>
    <row r="7219" spans="25:25" hidden="1" x14ac:dyDescent="0.25">
      <c r="Y7219" s="501"/>
    </row>
    <row r="7220" spans="25:25" hidden="1" x14ac:dyDescent="0.25">
      <c r="Y7220" s="501"/>
    </row>
    <row r="7221" spans="25:25" hidden="1" x14ac:dyDescent="0.25">
      <c r="Y7221" s="501"/>
    </row>
    <row r="7222" spans="25:25" hidden="1" x14ac:dyDescent="0.25">
      <c r="Y7222" s="501"/>
    </row>
    <row r="7223" spans="25:25" hidden="1" x14ac:dyDescent="0.25">
      <c r="Y7223" s="501"/>
    </row>
    <row r="7224" spans="25:25" hidden="1" x14ac:dyDescent="0.25">
      <c r="Y7224" s="501"/>
    </row>
    <row r="7225" spans="25:25" hidden="1" x14ac:dyDescent="0.25">
      <c r="Y7225" s="501"/>
    </row>
    <row r="7226" spans="25:25" hidden="1" x14ac:dyDescent="0.25">
      <c r="Y7226" s="501"/>
    </row>
    <row r="7227" spans="25:25" hidden="1" x14ac:dyDescent="0.25">
      <c r="Y7227" s="501"/>
    </row>
    <row r="7228" spans="25:25" hidden="1" x14ac:dyDescent="0.25">
      <c r="Y7228" s="501"/>
    </row>
    <row r="7229" spans="25:25" hidden="1" x14ac:dyDescent="0.25">
      <c r="Y7229" s="501"/>
    </row>
    <row r="7230" spans="25:25" hidden="1" x14ac:dyDescent="0.25">
      <c r="Y7230" s="501"/>
    </row>
    <row r="7231" spans="25:25" hidden="1" x14ac:dyDescent="0.25">
      <c r="Y7231" s="501"/>
    </row>
    <row r="7232" spans="25:25" hidden="1" x14ac:dyDescent="0.25">
      <c r="Y7232" s="501"/>
    </row>
    <row r="7233" spans="25:25" hidden="1" x14ac:dyDescent="0.25">
      <c r="Y7233" s="501"/>
    </row>
    <row r="7234" spans="25:25" hidden="1" x14ac:dyDescent="0.25">
      <c r="Y7234" s="501"/>
    </row>
    <row r="7235" spans="25:25" hidden="1" x14ac:dyDescent="0.25">
      <c r="Y7235" s="501"/>
    </row>
    <row r="7236" spans="25:25" hidden="1" x14ac:dyDescent="0.25">
      <c r="Y7236" s="501"/>
    </row>
    <row r="7237" spans="25:25" hidden="1" x14ac:dyDescent="0.25">
      <c r="Y7237" s="501"/>
    </row>
    <row r="7238" spans="25:25" hidden="1" x14ac:dyDescent="0.25">
      <c r="Y7238" s="501"/>
    </row>
    <row r="7239" spans="25:25" hidden="1" x14ac:dyDescent="0.25">
      <c r="Y7239" s="501"/>
    </row>
    <row r="7240" spans="25:25" hidden="1" x14ac:dyDescent="0.25">
      <c r="Y7240" s="501"/>
    </row>
    <row r="7241" spans="25:25" hidden="1" x14ac:dyDescent="0.25">
      <c r="Y7241" s="501"/>
    </row>
    <row r="7242" spans="25:25" hidden="1" x14ac:dyDescent="0.25">
      <c r="Y7242" s="501"/>
    </row>
    <row r="7243" spans="25:25" hidden="1" x14ac:dyDescent="0.25">
      <c r="Y7243" s="501"/>
    </row>
    <row r="7244" spans="25:25" hidden="1" x14ac:dyDescent="0.25">
      <c r="Y7244" s="501"/>
    </row>
    <row r="7245" spans="25:25" hidden="1" x14ac:dyDescent="0.25">
      <c r="Y7245" s="501"/>
    </row>
    <row r="7246" spans="25:25" hidden="1" x14ac:dyDescent="0.25">
      <c r="Y7246" s="501"/>
    </row>
    <row r="7247" spans="25:25" hidden="1" x14ac:dyDescent="0.25">
      <c r="Y7247" s="501"/>
    </row>
    <row r="7248" spans="25:25" hidden="1" x14ac:dyDescent="0.25">
      <c r="Y7248" s="501"/>
    </row>
    <row r="7249" spans="25:25" hidden="1" x14ac:dyDescent="0.25">
      <c r="Y7249" s="501"/>
    </row>
    <row r="7250" spans="25:25" hidden="1" x14ac:dyDescent="0.25">
      <c r="Y7250" s="501"/>
    </row>
    <row r="7251" spans="25:25" hidden="1" x14ac:dyDescent="0.25">
      <c r="Y7251" s="501"/>
    </row>
    <row r="7252" spans="25:25" hidden="1" x14ac:dyDescent="0.25">
      <c r="Y7252" s="501"/>
    </row>
    <row r="7253" spans="25:25" hidden="1" x14ac:dyDescent="0.25">
      <c r="Y7253" s="501"/>
    </row>
    <row r="7254" spans="25:25" hidden="1" x14ac:dyDescent="0.25">
      <c r="Y7254" s="501"/>
    </row>
    <row r="7255" spans="25:25" hidden="1" x14ac:dyDescent="0.25">
      <c r="Y7255" s="501"/>
    </row>
    <row r="7256" spans="25:25" hidden="1" x14ac:dyDescent="0.25">
      <c r="Y7256" s="501"/>
    </row>
    <row r="7257" spans="25:25" hidden="1" x14ac:dyDescent="0.25">
      <c r="Y7257" s="501"/>
    </row>
    <row r="7258" spans="25:25" hidden="1" x14ac:dyDescent="0.25">
      <c r="Y7258" s="501"/>
    </row>
    <row r="7259" spans="25:25" hidden="1" x14ac:dyDescent="0.25">
      <c r="Y7259" s="501"/>
    </row>
    <row r="7260" spans="25:25" hidden="1" x14ac:dyDescent="0.25">
      <c r="Y7260" s="501"/>
    </row>
    <row r="7261" spans="25:25" hidden="1" x14ac:dyDescent="0.25">
      <c r="Y7261" s="501"/>
    </row>
    <row r="7262" spans="25:25" hidden="1" x14ac:dyDescent="0.25">
      <c r="Y7262" s="501"/>
    </row>
    <row r="7263" spans="25:25" hidden="1" x14ac:dyDescent="0.25">
      <c r="Y7263" s="501"/>
    </row>
    <row r="7264" spans="25:25" hidden="1" x14ac:dyDescent="0.25">
      <c r="Y7264" s="501"/>
    </row>
    <row r="7265" spans="25:25" hidden="1" x14ac:dyDescent="0.25">
      <c r="Y7265" s="501"/>
    </row>
    <row r="7266" spans="25:25" hidden="1" x14ac:dyDescent="0.25">
      <c r="Y7266" s="501"/>
    </row>
    <row r="7267" spans="25:25" hidden="1" x14ac:dyDescent="0.25">
      <c r="Y7267" s="501"/>
    </row>
    <row r="7268" spans="25:25" hidden="1" x14ac:dyDescent="0.25">
      <c r="Y7268" s="501"/>
    </row>
    <row r="7269" spans="25:25" hidden="1" x14ac:dyDescent="0.25">
      <c r="Y7269" s="501"/>
    </row>
    <row r="7270" spans="25:25" hidden="1" x14ac:dyDescent="0.25">
      <c r="Y7270" s="501"/>
    </row>
    <row r="7271" spans="25:25" hidden="1" x14ac:dyDescent="0.25">
      <c r="Y7271" s="501"/>
    </row>
    <row r="7272" spans="25:25" hidden="1" x14ac:dyDescent="0.25">
      <c r="Y7272" s="501"/>
    </row>
    <row r="7273" spans="25:25" hidden="1" x14ac:dyDescent="0.25">
      <c r="Y7273" s="501"/>
    </row>
    <row r="7274" spans="25:25" hidden="1" x14ac:dyDescent="0.25">
      <c r="Y7274" s="501"/>
    </row>
    <row r="7275" spans="25:25" hidden="1" x14ac:dyDescent="0.25">
      <c r="Y7275" s="501"/>
    </row>
    <row r="7276" spans="25:25" hidden="1" x14ac:dyDescent="0.25">
      <c r="Y7276" s="501"/>
    </row>
    <row r="7277" spans="25:25" hidden="1" x14ac:dyDescent="0.25">
      <c r="Y7277" s="501"/>
    </row>
    <row r="7278" spans="25:25" hidden="1" x14ac:dyDescent="0.25">
      <c r="Y7278" s="501"/>
    </row>
    <row r="7279" spans="25:25" hidden="1" x14ac:dyDescent="0.25">
      <c r="Y7279" s="501"/>
    </row>
    <row r="7280" spans="25:25" hidden="1" x14ac:dyDescent="0.25">
      <c r="Y7280" s="501"/>
    </row>
    <row r="7281" spans="25:25" hidden="1" x14ac:dyDescent="0.25">
      <c r="Y7281" s="501"/>
    </row>
    <row r="7282" spans="25:25" hidden="1" x14ac:dyDescent="0.25">
      <c r="Y7282" s="501"/>
    </row>
    <row r="7283" spans="25:25" hidden="1" x14ac:dyDescent="0.25">
      <c r="Y7283" s="501"/>
    </row>
    <row r="7284" spans="25:25" hidden="1" x14ac:dyDescent="0.25">
      <c r="Y7284" s="501"/>
    </row>
    <row r="7285" spans="25:25" hidden="1" x14ac:dyDescent="0.25">
      <c r="Y7285" s="501"/>
    </row>
    <row r="7286" spans="25:25" hidden="1" x14ac:dyDescent="0.25">
      <c r="Y7286" s="501"/>
    </row>
    <row r="7287" spans="25:25" hidden="1" x14ac:dyDescent="0.25">
      <c r="Y7287" s="501"/>
    </row>
    <row r="7288" spans="25:25" hidden="1" x14ac:dyDescent="0.25">
      <c r="Y7288" s="501"/>
    </row>
    <row r="7289" spans="25:25" hidden="1" x14ac:dyDescent="0.25">
      <c r="Y7289" s="501"/>
    </row>
    <row r="7290" spans="25:25" hidden="1" x14ac:dyDescent="0.25">
      <c r="Y7290" s="501"/>
    </row>
    <row r="7291" spans="25:25" hidden="1" x14ac:dyDescent="0.25">
      <c r="Y7291" s="501"/>
    </row>
    <row r="7292" spans="25:25" hidden="1" x14ac:dyDescent="0.25">
      <c r="Y7292" s="501"/>
    </row>
    <row r="7293" spans="25:25" hidden="1" x14ac:dyDescent="0.25">
      <c r="Y7293" s="501"/>
    </row>
    <row r="7294" spans="25:25" hidden="1" x14ac:dyDescent="0.25">
      <c r="Y7294" s="501"/>
    </row>
    <row r="7295" spans="25:25" hidden="1" x14ac:dyDescent="0.25">
      <c r="Y7295" s="501"/>
    </row>
    <row r="7296" spans="25:25" hidden="1" x14ac:dyDescent="0.25">
      <c r="Y7296" s="501"/>
    </row>
    <row r="7297" spans="25:25" hidden="1" x14ac:dyDescent="0.25">
      <c r="Y7297" s="501"/>
    </row>
    <row r="7298" spans="25:25" hidden="1" x14ac:dyDescent="0.25">
      <c r="Y7298" s="501"/>
    </row>
    <row r="7299" spans="25:25" hidden="1" x14ac:dyDescent="0.25">
      <c r="Y7299" s="501"/>
    </row>
    <row r="7300" spans="25:25" hidden="1" x14ac:dyDescent="0.25">
      <c r="Y7300" s="501"/>
    </row>
    <row r="7301" spans="25:25" hidden="1" x14ac:dyDescent="0.25">
      <c r="Y7301" s="501"/>
    </row>
    <row r="7302" spans="25:25" hidden="1" x14ac:dyDescent="0.25">
      <c r="Y7302" s="501"/>
    </row>
    <row r="7303" spans="25:25" hidden="1" x14ac:dyDescent="0.25">
      <c r="Y7303" s="501"/>
    </row>
    <row r="7304" spans="25:25" hidden="1" x14ac:dyDescent="0.25">
      <c r="Y7304" s="501"/>
    </row>
    <row r="7305" spans="25:25" hidden="1" x14ac:dyDescent="0.25">
      <c r="Y7305" s="501"/>
    </row>
    <row r="7306" spans="25:25" hidden="1" x14ac:dyDescent="0.25">
      <c r="Y7306" s="501"/>
    </row>
    <row r="7307" spans="25:25" hidden="1" x14ac:dyDescent="0.25">
      <c r="Y7307" s="501"/>
    </row>
    <row r="7308" spans="25:25" hidden="1" x14ac:dyDescent="0.25">
      <c r="Y7308" s="501"/>
    </row>
    <row r="7309" spans="25:25" hidden="1" x14ac:dyDescent="0.25">
      <c r="Y7309" s="501"/>
    </row>
    <row r="7310" spans="25:25" hidden="1" x14ac:dyDescent="0.25">
      <c r="Y7310" s="501"/>
    </row>
    <row r="7311" spans="25:25" hidden="1" x14ac:dyDescent="0.25">
      <c r="Y7311" s="501"/>
    </row>
    <row r="7312" spans="25:25" hidden="1" x14ac:dyDescent="0.25">
      <c r="Y7312" s="501"/>
    </row>
    <row r="7313" spans="25:25" hidden="1" x14ac:dyDescent="0.25">
      <c r="Y7313" s="501"/>
    </row>
    <row r="7314" spans="25:25" hidden="1" x14ac:dyDescent="0.25">
      <c r="Y7314" s="501"/>
    </row>
    <row r="7315" spans="25:25" hidden="1" x14ac:dyDescent="0.25">
      <c r="Y7315" s="501"/>
    </row>
    <row r="7316" spans="25:25" hidden="1" x14ac:dyDescent="0.25">
      <c r="Y7316" s="501"/>
    </row>
    <row r="7317" spans="25:25" hidden="1" x14ac:dyDescent="0.25">
      <c r="Y7317" s="501"/>
    </row>
    <row r="7318" spans="25:25" hidden="1" x14ac:dyDescent="0.25">
      <c r="Y7318" s="501"/>
    </row>
    <row r="7319" spans="25:25" hidden="1" x14ac:dyDescent="0.25">
      <c r="Y7319" s="501"/>
    </row>
    <row r="7320" spans="25:25" hidden="1" x14ac:dyDescent="0.25">
      <c r="Y7320" s="501"/>
    </row>
    <row r="7321" spans="25:25" hidden="1" x14ac:dyDescent="0.25">
      <c r="Y7321" s="501"/>
    </row>
    <row r="7322" spans="25:25" hidden="1" x14ac:dyDescent="0.25">
      <c r="Y7322" s="501"/>
    </row>
    <row r="7323" spans="25:25" hidden="1" x14ac:dyDescent="0.25">
      <c r="Y7323" s="501"/>
    </row>
    <row r="7324" spans="25:25" hidden="1" x14ac:dyDescent="0.25">
      <c r="Y7324" s="501"/>
    </row>
    <row r="7325" spans="25:25" hidden="1" x14ac:dyDescent="0.25">
      <c r="Y7325" s="501"/>
    </row>
    <row r="7326" spans="25:25" hidden="1" x14ac:dyDescent="0.25">
      <c r="Y7326" s="501"/>
    </row>
    <row r="7327" spans="25:25" hidden="1" x14ac:dyDescent="0.25">
      <c r="Y7327" s="501"/>
    </row>
    <row r="7328" spans="25:25" hidden="1" x14ac:dyDescent="0.25">
      <c r="Y7328" s="501"/>
    </row>
    <row r="7329" spans="25:25" hidden="1" x14ac:dyDescent="0.25">
      <c r="Y7329" s="501"/>
    </row>
    <row r="7330" spans="25:25" hidden="1" x14ac:dyDescent="0.25">
      <c r="Y7330" s="501"/>
    </row>
    <row r="7331" spans="25:25" hidden="1" x14ac:dyDescent="0.25">
      <c r="Y7331" s="501"/>
    </row>
    <row r="7332" spans="25:25" hidden="1" x14ac:dyDescent="0.25">
      <c r="Y7332" s="501"/>
    </row>
    <row r="7333" spans="25:25" hidden="1" x14ac:dyDescent="0.25">
      <c r="Y7333" s="501"/>
    </row>
    <row r="7334" spans="25:25" hidden="1" x14ac:dyDescent="0.25">
      <c r="Y7334" s="501"/>
    </row>
    <row r="7335" spans="25:25" hidden="1" x14ac:dyDescent="0.25">
      <c r="Y7335" s="501"/>
    </row>
    <row r="7336" spans="25:25" hidden="1" x14ac:dyDescent="0.25">
      <c r="Y7336" s="501"/>
    </row>
    <row r="7337" spans="25:25" hidden="1" x14ac:dyDescent="0.25">
      <c r="Y7337" s="501"/>
    </row>
    <row r="7338" spans="25:25" hidden="1" x14ac:dyDescent="0.25">
      <c r="Y7338" s="501"/>
    </row>
    <row r="7339" spans="25:25" hidden="1" x14ac:dyDescent="0.25">
      <c r="Y7339" s="501"/>
    </row>
    <row r="7340" spans="25:25" hidden="1" x14ac:dyDescent="0.25">
      <c r="Y7340" s="501"/>
    </row>
    <row r="7341" spans="25:25" hidden="1" x14ac:dyDescent="0.25">
      <c r="Y7341" s="501"/>
    </row>
    <row r="7342" spans="25:25" hidden="1" x14ac:dyDescent="0.25">
      <c r="Y7342" s="501"/>
    </row>
    <row r="7343" spans="25:25" hidden="1" x14ac:dyDescent="0.25">
      <c r="Y7343" s="501"/>
    </row>
    <row r="7344" spans="25:25" hidden="1" x14ac:dyDescent="0.25">
      <c r="Y7344" s="501"/>
    </row>
    <row r="7345" spans="25:25" hidden="1" x14ac:dyDescent="0.25">
      <c r="Y7345" s="501"/>
    </row>
    <row r="7346" spans="25:25" hidden="1" x14ac:dyDescent="0.25">
      <c r="Y7346" s="501"/>
    </row>
    <row r="7347" spans="25:25" hidden="1" x14ac:dyDescent="0.25">
      <c r="Y7347" s="501"/>
    </row>
    <row r="7348" spans="25:25" hidden="1" x14ac:dyDescent="0.25">
      <c r="Y7348" s="501"/>
    </row>
    <row r="7349" spans="25:25" hidden="1" x14ac:dyDescent="0.25">
      <c r="Y7349" s="501"/>
    </row>
    <row r="7350" spans="25:25" hidden="1" x14ac:dyDescent="0.25">
      <c r="Y7350" s="501"/>
    </row>
    <row r="7351" spans="25:25" hidden="1" x14ac:dyDescent="0.25">
      <c r="Y7351" s="501"/>
    </row>
    <row r="7352" spans="25:25" hidden="1" x14ac:dyDescent="0.25">
      <c r="Y7352" s="501"/>
    </row>
    <row r="7353" spans="25:25" hidden="1" x14ac:dyDescent="0.25">
      <c r="Y7353" s="501"/>
    </row>
    <row r="7354" spans="25:25" hidden="1" x14ac:dyDescent="0.25">
      <c r="Y7354" s="501"/>
    </row>
    <row r="7355" spans="25:25" hidden="1" x14ac:dyDescent="0.25">
      <c r="Y7355" s="501"/>
    </row>
    <row r="7356" spans="25:25" hidden="1" x14ac:dyDescent="0.25">
      <c r="Y7356" s="501"/>
    </row>
    <row r="7357" spans="25:25" hidden="1" x14ac:dyDescent="0.25">
      <c r="Y7357" s="501"/>
    </row>
    <row r="7358" spans="25:25" hidden="1" x14ac:dyDescent="0.25">
      <c r="Y7358" s="501"/>
    </row>
    <row r="7359" spans="25:25" hidden="1" x14ac:dyDescent="0.25">
      <c r="Y7359" s="501"/>
    </row>
    <row r="7360" spans="25:25" hidden="1" x14ac:dyDescent="0.25">
      <c r="Y7360" s="501"/>
    </row>
    <row r="7361" spans="25:25" hidden="1" x14ac:dyDescent="0.25">
      <c r="Y7361" s="501"/>
    </row>
    <row r="7362" spans="25:25" hidden="1" x14ac:dyDescent="0.25">
      <c r="Y7362" s="501"/>
    </row>
    <row r="7363" spans="25:25" hidden="1" x14ac:dyDescent="0.25">
      <c r="Y7363" s="501"/>
    </row>
    <row r="7364" spans="25:25" hidden="1" x14ac:dyDescent="0.25">
      <c r="Y7364" s="501"/>
    </row>
    <row r="7365" spans="25:25" hidden="1" x14ac:dyDescent="0.25">
      <c r="Y7365" s="501"/>
    </row>
    <row r="7366" spans="25:25" hidden="1" x14ac:dyDescent="0.25">
      <c r="Y7366" s="501"/>
    </row>
    <row r="7367" spans="25:25" hidden="1" x14ac:dyDescent="0.25">
      <c r="Y7367" s="501"/>
    </row>
    <row r="7368" spans="25:25" hidden="1" x14ac:dyDescent="0.25">
      <c r="Y7368" s="501"/>
    </row>
    <row r="7369" spans="25:25" hidden="1" x14ac:dyDescent="0.25">
      <c r="Y7369" s="501"/>
    </row>
    <row r="7370" spans="25:25" hidden="1" x14ac:dyDescent="0.25">
      <c r="Y7370" s="501"/>
    </row>
    <row r="7371" spans="25:25" hidden="1" x14ac:dyDescent="0.25">
      <c r="Y7371" s="501"/>
    </row>
    <row r="7372" spans="25:25" hidden="1" x14ac:dyDescent="0.25">
      <c r="Y7372" s="501"/>
    </row>
    <row r="7373" spans="25:25" hidden="1" x14ac:dyDescent="0.25">
      <c r="Y7373" s="501"/>
    </row>
    <row r="7374" spans="25:25" hidden="1" x14ac:dyDescent="0.25">
      <c r="Y7374" s="501"/>
    </row>
    <row r="7375" spans="25:25" hidden="1" x14ac:dyDescent="0.25">
      <c r="Y7375" s="501"/>
    </row>
    <row r="7376" spans="25:25" hidden="1" x14ac:dyDescent="0.25">
      <c r="Y7376" s="501"/>
    </row>
    <row r="7377" spans="25:25" hidden="1" x14ac:dyDescent="0.25">
      <c r="Y7377" s="501"/>
    </row>
    <row r="7378" spans="25:25" hidden="1" x14ac:dyDescent="0.25">
      <c r="Y7378" s="501"/>
    </row>
    <row r="7379" spans="25:25" hidden="1" x14ac:dyDescent="0.25">
      <c r="Y7379" s="501"/>
    </row>
    <row r="7380" spans="25:25" hidden="1" x14ac:dyDescent="0.25">
      <c r="Y7380" s="501"/>
    </row>
    <row r="7381" spans="25:25" hidden="1" x14ac:dyDescent="0.25">
      <c r="Y7381" s="501"/>
    </row>
    <row r="7382" spans="25:25" hidden="1" x14ac:dyDescent="0.25">
      <c r="Y7382" s="501"/>
    </row>
    <row r="7383" spans="25:25" hidden="1" x14ac:dyDescent="0.25">
      <c r="Y7383" s="501"/>
    </row>
    <row r="7384" spans="25:25" hidden="1" x14ac:dyDescent="0.25">
      <c r="Y7384" s="501"/>
    </row>
    <row r="7385" spans="25:25" hidden="1" x14ac:dyDescent="0.25">
      <c r="Y7385" s="501"/>
    </row>
    <row r="7386" spans="25:25" hidden="1" x14ac:dyDescent="0.25">
      <c r="Y7386" s="501"/>
    </row>
    <row r="7387" spans="25:25" hidden="1" x14ac:dyDescent="0.25">
      <c r="Y7387" s="501"/>
    </row>
    <row r="7388" spans="25:25" hidden="1" x14ac:dyDescent="0.25">
      <c r="Y7388" s="501"/>
    </row>
    <row r="7389" spans="25:25" hidden="1" x14ac:dyDescent="0.25">
      <c r="Y7389" s="501"/>
    </row>
    <row r="7390" spans="25:25" hidden="1" x14ac:dyDescent="0.25">
      <c r="Y7390" s="501"/>
    </row>
    <row r="7391" spans="25:25" hidden="1" x14ac:dyDescent="0.25">
      <c r="Y7391" s="501"/>
    </row>
    <row r="7392" spans="25:25" hidden="1" x14ac:dyDescent="0.25">
      <c r="Y7392" s="501"/>
    </row>
    <row r="7393" spans="25:25" hidden="1" x14ac:dyDescent="0.25">
      <c r="Y7393" s="501"/>
    </row>
    <row r="7394" spans="25:25" hidden="1" x14ac:dyDescent="0.25">
      <c r="Y7394" s="501"/>
    </row>
    <row r="7395" spans="25:25" hidden="1" x14ac:dyDescent="0.25">
      <c r="Y7395" s="501"/>
    </row>
    <row r="7396" spans="25:25" hidden="1" x14ac:dyDescent="0.25">
      <c r="Y7396" s="501"/>
    </row>
    <row r="7397" spans="25:25" hidden="1" x14ac:dyDescent="0.25">
      <c r="Y7397" s="501"/>
    </row>
    <row r="7398" spans="25:25" hidden="1" x14ac:dyDescent="0.25">
      <c r="Y7398" s="501"/>
    </row>
    <row r="7399" spans="25:25" hidden="1" x14ac:dyDescent="0.25">
      <c r="Y7399" s="501"/>
    </row>
    <row r="7400" spans="25:25" hidden="1" x14ac:dyDescent="0.25">
      <c r="Y7400" s="501"/>
    </row>
    <row r="7401" spans="25:25" hidden="1" x14ac:dyDescent="0.25">
      <c r="Y7401" s="501"/>
    </row>
    <row r="7402" spans="25:25" hidden="1" x14ac:dyDescent="0.25">
      <c r="Y7402" s="501"/>
    </row>
    <row r="7403" spans="25:25" hidden="1" x14ac:dyDescent="0.25">
      <c r="Y7403" s="501"/>
    </row>
    <row r="7404" spans="25:25" hidden="1" x14ac:dyDescent="0.25">
      <c r="Y7404" s="501"/>
    </row>
    <row r="7405" spans="25:25" hidden="1" x14ac:dyDescent="0.25">
      <c r="Y7405" s="501"/>
    </row>
    <row r="7406" spans="25:25" hidden="1" x14ac:dyDescent="0.25">
      <c r="Y7406" s="501"/>
    </row>
    <row r="7407" spans="25:25" hidden="1" x14ac:dyDescent="0.25">
      <c r="Y7407" s="501"/>
    </row>
    <row r="7408" spans="25:25" hidden="1" x14ac:dyDescent="0.25">
      <c r="Y7408" s="501"/>
    </row>
    <row r="7409" spans="25:25" hidden="1" x14ac:dyDescent="0.25">
      <c r="Y7409" s="501"/>
    </row>
    <row r="7410" spans="25:25" hidden="1" x14ac:dyDescent="0.25">
      <c r="Y7410" s="501"/>
    </row>
    <row r="7411" spans="25:25" hidden="1" x14ac:dyDescent="0.25">
      <c r="Y7411" s="501"/>
    </row>
    <row r="7412" spans="25:25" hidden="1" x14ac:dyDescent="0.25">
      <c r="Y7412" s="501"/>
    </row>
    <row r="7413" spans="25:25" hidden="1" x14ac:dyDescent="0.25">
      <c r="Y7413" s="501"/>
    </row>
    <row r="7414" spans="25:25" hidden="1" x14ac:dyDescent="0.25">
      <c r="Y7414" s="501"/>
    </row>
    <row r="7415" spans="25:25" hidden="1" x14ac:dyDescent="0.25">
      <c r="Y7415" s="501"/>
    </row>
    <row r="7416" spans="25:25" hidden="1" x14ac:dyDescent="0.25">
      <c r="Y7416" s="501"/>
    </row>
    <row r="7417" spans="25:25" hidden="1" x14ac:dyDescent="0.25">
      <c r="Y7417" s="501"/>
    </row>
    <row r="7418" spans="25:25" hidden="1" x14ac:dyDescent="0.25">
      <c r="Y7418" s="501"/>
    </row>
    <row r="7419" spans="25:25" hidden="1" x14ac:dyDescent="0.25">
      <c r="Y7419" s="501"/>
    </row>
    <row r="7420" spans="25:25" hidden="1" x14ac:dyDescent="0.25">
      <c r="Y7420" s="501"/>
    </row>
    <row r="7421" spans="25:25" hidden="1" x14ac:dyDescent="0.25">
      <c r="Y7421" s="501"/>
    </row>
    <row r="7422" spans="25:25" hidden="1" x14ac:dyDescent="0.25">
      <c r="Y7422" s="501"/>
    </row>
    <row r="7423" spans="25:25" hidden="1" x14ac:dyDescent="0.25">
      <c r="Y7423" s="501"/>
    </row>
    <row r="7424" spans="25:25" hidden="1" x14ac:dyDescent="0.25">
      <c r="Y7424" s="501"/>
    </row>
    <row r="7425" spans="25:25" hidden="1" x14ac:dyDescent="0.25">
      <c r="Y7425" s="501"/>
    </row>
    <row r="7426" spans="25:25" hidden="1" x14ac:dyDescent="0.25">
      <c r="Y7426" s="501"/>
    </row>
    <row r="7427" spans="25:25" hidden="1" x14ac:dyDescent="0.25">
      <c r="Y7427" s="501"/>
    </row>
    <row r="7428" spans="25:25" hidden="1" x14ac:dyDescent="0.25">
      <c r="Y7428" s="501"/>
    </row>
    <row r="7429" spans="25:25" hidden="1" x14ac:dyDescent="0.25">
      <c r="Y7429" s="501"/>
    </row>
    <row r="7430" spans="25:25" hidden="1" x14ac:dyDescent="0.25">
      <c r="Y7430" s="501"/>
    </row>
    <row r="7431" spans="25:25" hidden="1" x14ac:dyDescent="0.25">
      <c r="Y7431" s="501"/>
    </row>
    <row r="7432" spans="25:25" hidden="1" x14ac:dyDescent="0.25">
      <c r="Y7432" s="501"/>
    </row>
    <row r="7433" spans="25:25" hidden="1" x14ac:dyDescent="0.25">
      <c r="Y7433" s="501"/>
    </row>
    <row r="7434" spans="25:25" hidden="1" x14ac:dyDescent="0.25">
      <c r="Y7434" s="501"/>
    </row>
    <row r="7435" spans="25:25" hidden="1" x14ac:dyDescent="0.25">
      <c r="Y7435" s="501"/>
    </row>
    <row r="7436" spans="25:25" hidden="1" x14ac:dyDescent="0.25">
      <c r="Y7436" s="501"/>
    </row>
    <row r="7437" spans="25:25" hidden="1" x14ac:dyDescent="0.25">
      <c r="Y7437" s="501"/>
    </row>
    <row r="7438" spans="25:25" hidden="1" x14ac:dyDescent="0.25">
      <c r="Y7438" s="501"/>
    </row>
    <row r="7439" spans="25:25" hidden="1" x14ac:dyDescent="0.25">
      <c r="Y7439" s="501"/>
    </row>
    <row r="7440" spans="25:25" hidden="1" x14ac:dyDescent="0.25">
      <c r="Y7440" s="501"/>
    </row>
    <row r="7441" spans="25:25" hidden="1" x14ac:dyDescent="0.25">
      <c r="Y7441" s="501"/>
    </row>
    <row r="7442" spans="25:25" hidden="1" x14ac:dyDescent="0.25">
      <c r="Y7442" s="501"/>
    </row>
    <row r="7443" spans="25:25" hidden="1" x14ac:dyDescent="0.25">
      <c r="Y7443" s="501"/>
    </row>
    <row r="7444" spans="25:25" hidden="1" x14ac:dyDescent="0.25">
      <c r="Y7444" s="501"/>
    </row>
    <row r="7445" spans="25:25" hidden="1" x14ac:dyDescent="0.25">
      <c r="Y7445" s="501"/>
    </row>
    <row r="7446" spans="25:25" hidden="1" x14ac:dyDescent="0.25">
      <c r="Y7446" s="501"/>
    </row>
    <row r="7447" spans="25:25" hidden="1" x14ac:dyDescent="0.25">
      <c r="Y7447" s="501"/>
    </row>
    <row r="7448" spans="25:25" hidden="1" x14ac:dyDescent="0.25">
      <c r="Y7448" s="501"/>
    </row>
    <row r="7449" spans="25:25" hidden="1" x14ac:dyDescent="0.25">
      <c r="Y7449" s="501"/>
    </row>
    <row r="7450" spans="25:25" hidden="1" x14ac:dyDescent="0.25">
      <c r="Y7450" s="501"/>
    </row>
    <row r="7451" spans="25:25" hidden="1" x14ac:dyDescent="0.25">
      <c r="Y7451" s="501"/>
    </row>
    <row r="7452" spans="25:25" hidden="1" x14ac:dyDescent="0.25">
      <c r="Y7452" s="501"/>
    </row>
    <row r="7453" spans="25:25" hidden="1" x14ac:dyDescent="0.25">
      <c r="Y7453" s="501"/>
    </row>
    <row r="7454" spans="25:25" hidden="1" x14ac:dyDescent="0.25">
      <c r="Y7454" s="501"/>
    </row>
    <row r="7455" spans="25:25" hidden="1" x14ac:dyDescent="0.25">
      <c r="Y7455" s="501"/>
    </row>
    <row r="7456" spans="25:25" hidden="1" x14ac:dyDescent="0.25">
      <c r="Y7456" s="501"/>
    </row>
    <row r="7457" spans="25:25" hidden="1" x14ac:dyDescent="0.25">
      <c r="Y7457" s="501"/>
    </row>
    <row r="7458" spans="25:25" hidden="1" x14ac:dyDescent="0.25">
      <c r="Y7458" s="501"/>
    </row>
    <row r="7459" spans="25:25" hidden="1" x14ac:dyDescent="0.25">
      <c r="Y7459" s="501"/>
    </row>
    <row r="7460" spans="25:25" hidden="1" x14ac:dyDescent="0.25">
      <c r="Y7460" s="501"/>
    </row>
    <row r="7461" spans="25:25" hidden="1" x14ac:dyDescent="0.25">
      <c r="Y7461" s="501"/>
    </row>
    <row r="7462" spans="25:25" hidden="1" x14ac:dyDescent="0.25">
      <c r="Y7462" s="501"/>
    </row>
    <row r="7463" spans="25:25" hidden="1" x14ac:dyDescent="0.25">
      <c r="Y7463" s="501"/>
    </row>
    <row r="7464" spans="25:25" hidden="1" x14ac:dyDescent="0.25">
      <c r="Y7464" s="501"/>
    </row>
    <row r="7465" spans="25:25" hidden="1" x14ac:dyDescent="0.25">
      <c r="Y7465" s="501"/>
    </row>
    <row r="7466" spans="25:25" hidden="1" x14ac:dyDescent="0.25">
      <c r="Y7466" s="501"/>
    </row>
    <row r="7467" spans="25:25" hidden="1" x14ac:dyDescent="0.25">
      <c r="Y7467" s="501"/>
    </row>
    <row r="7468" spans="25:25" hidden="1" x14ac:dyDescent="0.25">
      <c r="Y7468" s="501"/>
    </row>
    <row r="7469" spans="25:25" hidden="1" x14ac:dyDescent="0.25">
      <c r="Y7469" s="501"/>
    </row>
    <row r="7470" spans="25:25" hidden="1" x14ac:dyDescent="0.25">
      <c r="Y7470" s="501"/>
    </row>
    <row r="7471" spans="25:25" hidden="1" x14ac:dyDescent="0.25">
      <c r="Y7471" s="501"/>
    </row>
    <row r="7472" spans="25:25" hidden="1" x14ac:dyDescent="0.25">
      <c r="Y7472" s="501"/>
    </row>
    <row r="7473" spans="25:25" hidden="1" x14ac:dyDescent="0.25">
      <c r="Y7473" s="501"/>
    </row>
    <row r="7474" spans="25:25" hidden="1" x14ac:dyDescent="0.25">
      <c r="Y7474" s="501"/>
    </row>
    <row r="7475" spans="25:25" hidden="1" x14ac:dyDescent="0.25">
      <c r="Y7475" s="501"/>
    </row>
    <row r="7476" spans="25:25" hidden="1" x14ac:dyDescent="0.25">
      <c r="Y7476" s="501"/>
    </row>
    <row r="7477" spans="25:25" hidden="1" x14ac:dyDescent="0.25">
      <c r="Y7477" s="501"/>
    </row>
    <row r="7478" spans="25:25" hidden="1" x14ac:dyDescent="0.25">
      <c r="Y7478" s="501"/>
    </row>
    <row r="7479" spans="25:25" hidden="1" x14ac:dyDescent="0.25">
      <c r="Y7479" s="501"/>
    </row>
    <row r="7480" spans="25:25" hidden="1" x14ac:dyDescent="0.25">
      <c r="Y7480" s="501"/>
    </row>
    <row r="7481" spans="25:25" hidden="1" x14ac:dyDescent="0.25">
      <c r="Y7481" s="501"/>
    </row>
    <row r="7482" spans="25:25" hidden="1" x14ac:dyDescent="0.25">
      <c r="Y7482" s="501"/>
    </row>
    <row r="7483" spans="25:25" hidden="1" x14ac:dyDescent="0.25">
      <c r="Y7483" s="501"/>
    </row>
    <row r="7484" spans="25:25" hidden="1" x14ac:dyDescent="0.25">
      <c r="Y7484" s="501"/>
    </row>
    <row r="7485" spans="25:25" hidden="1" x14ac:dyDescent="0.25">
      <c r="Y7485" s="501"/>
    </row>
    <row r="7486" spans="25:25" hidden="1" x14ac:dyDescent="0.25">
      <c r="Y7486" s="501"/>
    </row>
    <row r="7487" spans="25:25" hidden="1" x14ac:dyDescent="0.25">
      <c r="Y7487" s="501"/>
    </row>
    <row r="7488" spans="25:25" hidden="1" x14ac:dyDescent="0.25">
      <c r="Y7488" s="501"/>
    </row>
    <row r="7489" spans="25:25" hidden="1" x14ac:dyDescent="0.25">
      <c r="Y7489" s="501"/>
    </row>
    <row r="7490" spans="25:25" hidden="1" x14ac:dyDescent="0.25">
      <c r="Y7490" s="501"/>
    </row>
    <row r="7491" spans="25:25" hidden="1" x14ac:dyDescent="0.25">
      <c r="Y7491" s="501"/>
    </row>
    <row r="7492" spans="25:25" hidden="1" x14ac:dyDescent="0.25">
      <c r="Y7492" s="501"/>
    </row>
    <row r="7493" spans="25:25" hidden="1" x14ac:dyDescent="0.25">
      <c r="Y7493" s="501"/>
    </row>
    <row r="7494" spans="25:25" hidden="1" x14ac:dyDescent="0.25">
      <c r="Y7494" s="501"/>
    </row>
    <row r="7495" spans="25:25" hidden="1" x14ac:dyDescent="0.25">
      <c r="Y7495" s="501"/>
    </row>
    <row r="7496" spans="25:25" hidden="1" x14ac:dyDescent="0.25">
      <c r="Y7496" s="501"/>
    </row>
    <row r="7497" spans="25:25" hidden="1" x14ac:dyDescent="0.25">
      <c r="Y7497" s="501"/>
    </row>
    <row r="7498" spans="25:25" hidden="1" x14ac:dyDescent="0.25">
      <c r="Y7498" s="501"/>
    </row>
    <row r="7499" spans="25:25" hidden="1" x14ac:dyDescent="0.25">
      <c r="Y7499" s="501"/>
    </row>
    <row r="7500" spans="25:25" hidden="1" x14ac:dyDescent="0.25">
      <c r="Y7500" s="501"/>
    </row>
    <row r="7501" spans="25:25" hidden="1" x14ac:dyDescent="0.25">
      <c r="Y7501" s="501"/>
    </row>
    <row r="7502" spans="25:25" hidden="1" x14ac:dyDescent="0.25">
      <c r="Y7502" s="501"/>
    </row>
    <row r="7503" spans="25:25" hidden="1" x14ac:dyDescent="0.25">
      <c r="Y7503" s="501"/>
    </row>
    <row r="7504" spans="25:25" hidden="1" x14ac:dyDescent="0.25">
      <c r="Y7504" s="501"/>
    </row>
    <row r="7505" spans="25:25" hidden="1" x14ac:dyDescent="0.25">
      <c r="Y7505" s="501"/>
    </row>
    <row r="7506" spans="25:25" hidden="1" x14ac:dyDescent="0.25">
      <c r="Y7506" s="501"/>
    </row>
    <row r="7507" spans="25:25" hidden="1" x14ac:dyDescent="0.25">
      <c r="Y7507" s="501"/>
    </row>
    <row r="7508" spans="25:25" hidden="1" x14ac:dyDescent="0.25">
      <c r="Y7508" s="501"/>
    </row>
    <row r="7509" spans="25:25" hidden="1" x14ac:dyDescent="0.25">
      <c r="Y7509" s="501"/>
    </row>
    <row r="7510" spans="25:25" hidden="1" x14ac:dyDescent="0.25">
      <c r="Y7510" s="501"/>
    </row>
    <row r="7511" spans="25:25" hidden="1" x14ac:dyDescent="0.25">
      <c r="Y7511" s="501"/>
    </row>
    <row r="7512" spans="25:25" hidden="1" x14ac:dyDescent="0.25">
      <c r="Y7512" s="501"/>
    </row>
    <row r="7513" spans="25:25" hidden="1" x14ac:dyDescent="0.25">
      <c r="Y7513" s="501"/>
    </row>
    <row r="7514" spans="25:25" hidden="1" x14ac:dyDescent="0.25">
      <c r="Y7514" s="501"/>
    </row>
    <row r="7515" spans="25:25" hidden="1" x14ac:dyDescent="0.25">
      <c r="Y7515" s="501"/>
    </row>
    <row r="7516" spans="25:25" hidden="1" x14ac:dyDescent="0.25">
      <c r="Y7516" s="501"/>
    </row>
    <row r="7517" spans="25:25" hidden="1" x14ac:dyDescent="0.25">
      <c r="Y7517" s="501"/>
    </row>
    <row r="7518" spans="25:25" hidden="1" x14ac:dyDescent="0.25">
      <c r="Y7518" s="501"/>
    </row>
    <row r="7519" spans="25:25" hidden="1" x14ac:dyDescent="0.25">
      <c r="Y7519" s="501"/>
    </row>
    <row r="7520" spans="25:25" hidden="1" x14ac:dyDescent="0.25">
      <c r="Y7520" s="501"/>
    </row>
    <row r="7521" spans="25:25" hidden="1" x14ac:dyDescent="0.25">
      <c r="Y7521" s="501"/>
    </row>
    <row r="7522" spans="25:25" hidden="1" x14ac:dyDescent="0.25">
      <c r="Y7522" s="501"/>
    </row>
    <row r="7523" spans="25:25" hidden="1" x14ac:dyDescent="0.25">
      <c r="Y7523" s="501"/>
    </row>
    <row r="7524" spans="25:25" hidden="1" x14ac:dyDescent="0.25">
      <c r="Y7524" s="501"/>
    </row>
    <row r="7525" spans="25:25" hidden="1" x14ac:dyDescent="0.25">
      <c r="Y7525" s="501"/>
    </row>
    <row r="7526" spans="25:25" hidden="1" x14ac:dyDescent="0.25">
      <c r="Y7526" s="501"/>
    </row>
    <row r="7527" spans="25:25" hidden="1" x14ac:dyDescent="0.25">
      <c r="Y7527" s="501"/>
    </row>
    <row r="7528" spans="25:25" hidden="1" x14ac:dyDescent="0.25">
      <c r="Y7528" s="501"/>
    </row>
    <row r="7529" spans="25:25" hidden="1" x14ac:dyDescent="0.25">
      <c r="Y7529" s="501"/>
    </row>
    <row r="7530" spans="25:25" hidden="1" x14ac:dyDescent="0.25">
      <c r="Y7530" s="501"/>
    </row>
    <row r="7531" spans="25:25" hidden="1" x14ac:dyDescent="0.25">
      <c r="Y7531" s="501"/>
    </row>
    <row r="7532" spans="25:25" hidden="1" x14ac:dyDescent="0.25">
      <c r="Y7532" s="501"/>
    </row>
    <row r="7533" spans="25:25" hidden="1" x14ac:dyDescent="0.25">
      <c r="Y7533" s="501"/>
    </row>
    <row r="7534" spans="25:25" hidden="1" x14ac:dyDescent="0.25">
      <c r="Y7534" s="501"/>
    </row>
    <row r="7535" spans="25:25" hidden="1" x14ac:dyDescent="0.25">
      <c r="Y7535" s="501"/>
    </row>
    <row r="7536" spans="25:25" hidden="1" x14ac:dyDescent="0.25">
      <c r="Y7536" s="501"/>
    </row>
    <row r="7537" spans="25:25" hidden="1" x14ac:dyDescent="0.25">
      <c r="Y7537" s="501"/>
    </row>
    <row r="7538" spans="25:25" hidden="1" x14ac:dyDescent="0.25">
      <c r="Y7538" s="501"/>
    </row>
    <row r="7539" spans="25:25" hidden="1" x14ac:dyDescent="0.25">
      <c r="Y7539" s="501"/>
    </row>
    <row r="7540" spans="25:25" hidden="1" x14ac:dyDescent="0.25">
      <c r="Y7540" s="501"/>
    </row>
    <row r="7541" spans="25:25" hidden="1" x14ac:dyDescent="0.25">
      <c r="Y7541" s="501"/>
    </row>
    <row r="7542" spans="25:25" hidden="1" x14ac:dyDescent="0.25">
      <c r="Y7542" s="501"/>
    </row>
    <row r="7543" spans="25:25" hidden="1" x14ac:dyDescent="0.25">
      <c r="Y7543" s="501"/>
    </row>
    <row r="7544" spans="25:25" hidden="1" x14ac:dyDescent="0.25">
      <c r="Y7544" s="501"/>
    </row>
    <row r="7545" spans="25:25" hidden="1" x14ac:dyDescent="0.25">
      <c r="Y7545" s="501"/>
    </row>
    <row r="7546" spans="25:25" hidden="1" x14ac:dyDescent="0.25">
      <c r="Y7546" s="501"/>
    </row>
    <row r="7547" spans="25:25" hidden="1" x14ac:dyDescent="0.25">
      <c r="Y7547" s="501"/>
    </row>
    <row r="7548" spans="25:25" hidden="1" x14ac:dyDescent="0.25">
      <c r="Y7548" s="501"/>
    </row>
    <row r="7549" spans="25:25" hidden="1" x14ac:dyDescent="0.25">
      <c r="Y7549" s="501"/>
    </row>
    <row r="7550" spans="25:25" hidden="1" x14ac:dyDescent="0.25">
      <c r="Y7550" s="501"/>
    </row>
    <row r="7551" spans="25:25" hidden="1" x14ac:dyDescent="0.25">
      <c r="Y7551" s="501"/>
    </row>
    <row r="7552" spans="25:25" hidden="1" x14ac:dyDescent="0.25">
      <c r="Y7552" s="501"/>
    </row>
    <row r="7553" spans="25:25" hidden="1" x14ac:dyDescent="0.25">
      <c r="Y7553" s="501"/>
    </row>
    <row r="7554" spans="25:25" hidden="1" x14ac:dyDescent="0.25">
      <c r="Y7554" s="501"/>
    </row>
    <row r="7555" spans="25:25" hidden="1" x14ac:dyDescent="0.25">
      <c r="Y7555" s="501"/>
    </row>
    <row r="7556" spans="25:25" hidden="1" x14ac:dyDescent="0.25">
      <c r="Y7556" s="501"/>
    </row>
    <row r="7557" spans="25:25" hidden="1" x14ac:dyDescent="0.25">
      <c r="Y7557" s="501"/>
    </row>
    <row r="7558" spans="25:25" hidden="1" x14ac:dyDescent="0.25">
      <c r="Y7558" s="501"/>
    </row>
    <row r="7559" spans="25:25" hidden="1" x14ac:dyDescent="0.25">
      <c r="Y7559" s="501"/>
    </row>
    <row r="7560" spans="25:25" hidden="1" x14ac:dyDescent="0.25">
      <c r="Y7560" s="501"/>
    </row>
    <row r="7561" spans="25:25" hidden="1" x14ac:dyDescent="0.25">
      <c r="Y7561" s="501"/>
    </row>
    <row r="7562" spans="25:25" hidden="1" x14ac:dyDescent="0.25">
      <c r="Y7562" s="501"/>
    </row>
    <row r="7563" spans="25:25" hidden="1" x14ac:dyDescent="0.25">
      <c r="Y7563" s="501"/>
    </row>
    <row r="7564" spans="25:25" hidden="1" x14ac:dyDescent="0.25">
      <c r="Y7564" s="501"/>
    </row>
    <row r="7565" spans="25:25" hidden="1" x14ac:dyDescent="0.25">
      <c r="Y7565" s="501"/>
    </row>
    <row r="7566" spans="25:25" hidden="1" x14ac:dyDescent="0.25">
      <c r="Y7566" s="501"/>
    </row>
    <row r="7567" spans="25:25" hidden="1" x14ac:dyDescent="0.25">
      <c r="Y7567" s="501"/>
    </row>
    <row r="7568" spans="25:25" hidden="1" x14ac:dyDescent="0.25">
      <c r="Y7568" s="501"/>
    </row>
    <row r="7569" spans="25:25" hidden="1" x14ac:dyDescent="0.25">
      <c r="Y7569" s="501"/>
    </row>
    <row r="7570" spans="25:25" hidden="1" x14ac:dyDescent="0.25">
      <c r="Y7570" s="501"/>
    </row>
    <row r="7571" spans="25:25" hidden="1" x14ac:dyDescent="0.25">
      <c r="Y7571" s="501"/>
    </row>
    <row r="7572" spans="25:25" hidden="1" x14ac:dyDescent="0.25">
      <c r="Y7572" s="501"/>
    </row>
    <row r="7573" spans="25:25" hidden="1" x14ac:dyDescent="0.25">
      <c r="Y7573" s="501"/>
    </row>
    <row r="7574" spans="25:25" hidden="1" x14ac:dyDescent="0.25">
      <c r="Y7574" s="501"/>
    </row>
    <row r="7575" spans="25:25" hidden="1" x14ac:dyDescent="0.25">
      <c r="Y7575" s="501"/>
    </row>
    <row r="7576" spans="25:25" hidden="1" x14ac:dyDescent="0.25">
      <c r="Y7576" s="501"/>
    </row>
    <row r="7577" spans="25:25" hidden="1" x14ac:dyDescent="0.25">
      <c r="Y7577" s="501"/>
    </row>
    <row r="7578" spans="25:25" hidden="1" x14ac:dyDescent="0.25">
      <c r="Y7578" s="501"/>
    </row>
    <row r="7579" spans="25:25" hidden="1" x14ac:dyDescent="0.25">
      <c r="Y7579" s="501"/>
    </row>
    <row r="7580" spans="25:25" hidden="1" x14ac:dyDescent="0.25">
      <c r="Y7580" s="501"/>
    </row>
    <row r="7581" spans="25:25" hidden="1" x14ac:dyDescent="0.25">
      <c r="Y7581" s="501"/>
    </row>
    <row r="7582" spans="25:25" hidden="1" x14ac:dyDescent="0.25">
      <c r="Y7582" s="501"/>
    </row>
    <row r="7583" spans="25:25" hidden="1" x14ac:dyDescent="0.25">
      <c r="Y7583" s="501"/>
    </row>
    <row r="7584" spans="25:25" hidden="1" x14ac:dyDescent="0.25">
      <c r="Y7584" s="501"/>
    </row>
    <row r="7585" spans="25:25" hidden="1" x14ac:dyDescent="0.25">
      <c r="Y7585" s="501"/>
    </row>
    <row r="7586" spans="25:25" hidden="1" x14ac:dyDescent="0.25">
      <c r="Y7586" s="501"/>
    </row>
    <row r="7587" spans="25:25" hidden="1" x14ac:dyDescent="0.25">
      <c r="Y7587" s="501"/>
    </row>
    <row r="7588" spans="25:25" hidden="1" x14ac:dyDescent="0.25">
      <c r="Y7588" s="501"/>
    </row>
    <row r="7589" spans="25:25" hidden="1" x14ac:dyDescent="0.25">
      <c r="Y7589" s="501"/>
    </row>
    <row r="7590" spans="25:25" hidden="1" x14ac:dyDescent="0.25">
      <c r="Y7590" s="501"/>
    </row>
    <row r="7591" spans="25:25" hidden="1" x14ac:dyDescent="0.25">
      <c r="Y7591" s="501"/>
    </row>
    <row r="7592" spans="25:25" hidden="1" x14ac:dyDescent="0.25">
      <c r="Y7592" s="501"/>
    </row>
    <row r="7593" spans="25:25" hidden="1" x14ac:dyDescent="0.25">
      <c r="Y7593" s="501"/>
    </row>
    <row r="7594" spans="25:25" hidden="1" x14ac:dyDescent="0.25">
      <c r="Y7594" s="501"/>
    </row>
    <row r="7595" spans="25:25" hidden="1" x14ac:dyDescent="0.25">
      <c r="Y7595" s="501"/>
    </row>
    <row r="7596" spans="25:25" hidden="1" x14ac:dyDescent="0.25">
      <c r="Y7596" s="501"/>
    </row>
    <row r="7597" spans="25:25" hidden="1" x14ac:dyDescent="0.25">
      <c r="Y7597" s="501"/>
    </row>
    <row r="7598" spans="25:25" hidden="1" x14ac:dyDescent="0.25">
      <c r="Y7598" s="501"/>
    </row>
    <row r="7599" spans="25:25" hidden="1" x14ac:dyDescent="0.25">
      <c r="Y7599" s="501"/>
    </row>
    <row r="7600" spans="25:25" hidden="1" x14ac:dyDescent="0.25">
      <c r="Y7600" s="501"/>
    </row>
    <row r="7601" spans="25:25" hidden="1" x14ac:dyDescent="0.25">
      <c r="Y7601" s="501"/>
    </row>
    <row r="7602" spans="25:25" hidden="1" x14ac:dyDescent="0.25">
      <c r="Y7602" s="501"/>
    </row>
    <row r="7603" spans="25:25" hidden="1" x14ac:dyDescent="0.25">
      <c r="Y7603" s="501"/>
    </row>
    <row r="7604" spans="25:25" hidden="1" x14ac:dyDescent="0.25">
      <c r="Y7604" s="501"/>
    </row>
    <row r="7605" spans="25:25" hidden="1" x14ac:dyDescent="0.25">
      <c r="Y7605" s="501"/>
    </row>
    <row r="7606" spans="25:25" hidden="1" x14ac:dyDescent="0.25">
      <c r="Y7606" s="501"/>
    </row>
    <row r="7607" spans="25:25" hidden="1" x14ac:dyDescent="0.25">
      <c r="Y7607" s="501"/>
    </row>
    <row r="7608" spans="25:25" hidden="1" x14ac:dyDescent="0.25">
      <c r="Y7608" s="501"/>
    </row>
    <row r="7609" spans="25:25" hidden="1" x14ac:dyDescent="0.25">
      <c r="Y7609" s="501"/>
    </row>
    <row r="7610" spans="25:25" hidden="1" x14ac:dyDescent="0.25">
      <c r="Y7610" s="501"/>
    </row>
    <row r="7611" spans="25:25" hidden="1" x14ac:dyDescent="0.25">
      <c r="Y7611" s="501"/>
    </row>
    <row r="7612" spans="25:25" hidden="1" x14ac:dyDescent="0.25">
      <c r="Y7612" s="501"/>
    </row>
    <row r="7613" spans="25:25" hidden="1" x14ac:dyDescent="0.25">
      <c r="Y7613" s="501"/>
    </row>
    <row r="7614" spans="25:25" hidden="1" x14ac:dyDescent="0.25">
      <c r="Y7614" s="501"/>
    </row>
    <row r="7615" spans="25:25" hidden="1" x14ac:dyDescent="0.25">
      <c r="Y7615" s="501"/>
    </row>
    <row r="7616" spans="25:25" hidden="1" x14ac:dyDescent="0.25">
      <c r="Y7616" s="501"/>
    </row>
    <row r="7617" spans="25:25" hidden="1" x14ac:dyDescent="0.25">
      <c r="Y7617" s="501"/>
    </row>
    <row r="7618" spans="25:25" hidden="1" x14ac:dyDescent="0.25">
      <c r="Y7618" s="501"/>
    </row>
    <row r="7619" spans="25:25" hidden="1" x14ac:dyDescent="0.25">
      <c r="Y7619" s="501"/>
    </row>
    <row r="7620" spans="25:25" hidden="1" x14ac:dyDescent="0.25">
      <c r="Y7620" s="501"/>
    </row>
    <row r="7621" spans="25:25" hidden="1" x14ac:dyDescent="0.25">
      <c r="Y7621" s="501"/>
    </row>
    <row r="7622" spans="25:25" hidden="1" x14ac:dyDescent="0.25">
      <c r="Y7622" s="501"/>
    </row>
    <row r="7623" spans="25:25" hidden="1" x14ac:dyDescent="0.25">
      <c r="Y7623" s="501"/>
    </row>
    <row r="7624" spans="25:25" hidden="1" x14ac:dyDescent="0.25">
      <c r="Y7624" s="501"/>
    </row>
    <row r="7625" spans="25:25" hidden="1" x14ac:dyDescent="0.25">
      <c r="Y7625" s="501"/>
    </row>
    <row r="7626" spans="25:25" hidden="1" x14ac:dyDescent="0.25">
      <c r="Y7626" s="501"/>
    </row>
    <row r="7627" spans="25:25" hidden="1" x14ac:dyDescent="0.25">
      <c r="Y7627" s="501"/>
    </row>
    <row r="7628" spans="25:25" hidden="1" x14ac:dyDescent="0.25">
      <c r="Y7628" s="501"/>
    </row>
    <row r="7629" spans="25:25" hidden="1" x14ac:dyDescent="0.25">
      <c r="Y7629" s="501"/>
    </row>
    <row r="7630" spans="25:25" hidden="1" x14ac:dyDescent="0.25">
      <c r="Y7630" s="501"/>
    </row>
    <row r="7631" spans="25:25" hidden="1" x14ac:dyDescent="0.25">
      <c r="Y7631" s="501"/>
    </row>
    <row r="7632" spans="25:25" hidden="1" x14ac:dyDescent="0.25">
      <c r="Y7632" s="501"/>
    </row>
    <row r="7633" spans="25:25" hidden="1" x14ac:dyDescent="0.25">
      <c r="Y7633" s="501"/>
    </row>
    <row r="7634" spans="25:25" hidden="1" x14ac:dyDescent="0.25">
      <c r="Y7634" s="501"/>
    </row>
    <row r="7635" spans="25:25" hidden="1" x14ac:dyDescent="0.25">
      <c r="Y7635" s="501"/>
    </row>
    <row r="7636" spans="25:25" hidden="1" x14ac:dyDescent="0.25">
      <c r="Y7636" s="501"/>
    </row>
    <row r="7637" spans="25:25" hidden="1" x14ac:dyDescent="0.25">
      <c r="Y7637" s="501"/>
    </row>
    <row r="7638" spans="25:25" hidden="1" x14ac:dyDescent="0.25">
      <c r="Y7638" s="501"/>
    </row>
    <row r="7639" spans="25:25" hidden="1" x14ac:dyDescent="0.25">
      <c r="Y7639" s="501"/>
    </row>
    <row r="7640" spans="25:25" hidden="1" x14ac:dyDescent="0.25">
      <c r="Y7640" s="501"/>
    </row>
    <row r="7641" spans="25:25" hidden="1" x14ac:dyDescent="0.25">
      <c r="Y7641" s="501"/>
    </row>
    <row r="7642" spans="25:25" hidden="1" x14ac:dyDescent="0.25">
      <c r="Y7642" s="501"/>
    </row>
    <row r="7643" spans="25:25" hidden="1" x14ac:dyDescent="0.25">
      <c r="Y7643" s="501"/>
    </row>
    <row r="7644" spans="25:25" hidden="1" x14ac:dyDescent="0.25">
      <c r="Y7644" s="501"/>
    </row>
    <row r="7645" spans="25:25" hidden="1" x14ac:dyDescent="0.25">
      <c r="Y7645" s="501"/>
    </row>
    <row r="7646" spans="25:25" hidden="1" x14ac:dyDescent="0.25">
      <c r="Y7646" s="501"/>
    </row>
    <row r="7647" spans="25:25" hidden="1" x14ac:dyDescent="0.25">
      <c r="Y7647" s="501"/>
    </row>
    <row r="7648" spans="25:25" hidden="1" x14ac:dyDescent="0.25">
      <c r="Y7648" s="501"/>
    </row>
    <row r="7649" spans="25:25" hidden="1" x14ac:dyDescent="0.25">
      <c r="Y7649" s="501"/>
    </row>
    <row r="7650" spans="25:25" hidden="1" x14ac:dyDescent="0.25">
      <c r="Y7650" s="501"/>
    </row>
    <row r="7651" spans="25:25" hidden="1" x14ac:dyDescent="0.25">
      <c r="Y7651" s="501"/>
    </row>
    <row r="7652" spans="25:25" hidden="1" x14ac:dyDescent="0.25">
      <c r="Y7652" s="501"/>
    </row>
    <row r="7653" spans="25:25" hidden="1" x14ac:dyDescent="0.25">
      <c r="Y7653" s="501"/>
    </row>
    <row r="7654" spans="25:25" hidden="1" x14ac:dyDescent="0.25">
      <c r="Y7654" s="501"/>
    </row>
    <row r="7655" spans="25:25" hidden="1" x14ac:dyDescent="0.25">
      <c r="Y7655" s="501"/>
    </row>
    <row r="7656" spans="25:25" hidden="1" x14ac:dyDescent="0.25">
      <c r="Y7656" s="501"/>
    </row>
    <row r="7657" spans="25:25" hidden="1" x14ac:dyDescent="0.25">
      <c r="Y7657" s="501"/>
    </row>
    <row r="7658" spans="25:25" hidden="1" x14ac:dyDescent="0.25">
      <c r="Y7658" s="501"/>
    </row>
    <row r="7659" spans="25:25" hidden="1" x14ac:dyDescent="0.25">
      <c r="Y7659" s="501"/>
    </row>
    <row r="7660" spans="25:25" hidden="1" x14ac:dyDescent="0.25">
      <c r="Y7660" s="501"/>
    </row>
    <row r="7661" spans="25:25" hidden="1" x14ac:dyDescent="0.25">
      <c r="Y7661" s="501"/>
    </row>
    <row r="7662" spans="25:25" hidden="1" x14ac:dyDescent="0.25">
      <c r="Y7662" s="501"/>
    </row>
    <row r="7663" spans="25:25" hidden="1" x14ac:dyDescent="0.25">
      <c r="Y7663" s="501"/>
    </row>
    <row r="7664" spans="25:25" hidden="1" x14ac:dyDescent="0.25">
      <c r="Y7664" s="501"/>
    </row>
    <row r="7665" spans="25:25" hidden="1" x14ac:dyDescent="0.25">
      <c r="Y7665" s="501"/>
    </row>
    <row r="7666" spans="25:25" hidden="1" x14ac:dyDescent="0.25">
      <c r="Y7666" s="501"/>
    </row>
    <row r="7667" spans="25:25" hidden="1" x14ac:dyDescent="0.25">
      <c r="Y7667" s="501"/>
    </row>
    <row r="7668" spans="25:25" hidden="1" x14ac:dyDescent="0.25">
      <c r="Y7668" s="501"/>
    </row>
    <row r="7669" spans="25:25" hidden="1" x14ac:dyDescent="0.25">
      <c r="Y7669" s="501"/>
    </row>
    <row r="7670" spans="25:25" hidden="1" x14ac:dyDescent="0.25">
      <c r="Y7670" s="501"/>
    </row>
    <row r="7671" spans="25:25" hidden="1" x14ac:dyDescent="0.25">
      <c r="Y7671" s="501"/>
    </row>
    <row r="7672" spans="25:25" hidden="1" x14ac:dyDescent="0.25">
      <c r="Y7672" s="501"/>
    </row>
    <row r="7673" spans="25:25" hidden="1" x14ac:dyDescent="0.25">
      <c r="Y7673" s="501"/>
    </row>
    <row r="7674" spans="25:25" hidden="1" x14ac:dyDescent="0.25">
      <c r="Y7674" s="501"/>
    </row>
    <row r="7675" spans="25:25" hidden="1" x14ac:dyDescent="0.25">
      <c r="Y7675" s="501"/>
    </row>
    <row r="7676" spans="25:25" hidden="1" x14ac:dyDescent="0.25">
      <c r="Y7676" s="501"/>
    </row>
    <row r="7677" spans="25:25" hidden="1" x14ac:dyDescent="0.25">
      <c r="Y7677" s="501"/>
    </row>
    <row r="7678" spans="25:25" hidden="1" x14ac:dyDescent="0.25">
      <c r="Y7678" s="501"/>
    </row>
    <row r="7679" spans="25:25" hidden="1" x14ac:dyDescent="0.25">
      <c r="Y7679" s="501"/>
    </row>
    <row r="7680" spans="25:25" hidden="1" x14ac:dyDescent="0.25">
      <c r="Y7680" s="501"/>
    </row>
    <row r="7681" spans="25:25" hidden="1" x14ac:dyDescent="0.25">
      <c r="Y7681" s="501"/>
    </row>
    <row r="7682" spans="25:25" hidden="1" x14ac:dyDescent="0.25">
      <c r="Y7682" s="501"/>
    </row>
    <row r="7683" spans="25:25" hidden="1" x14ac:dyDescent="0.25">
      <c r="Y7683" s="501"/>
    </row>
    <row r="7684" spans="25:25" hidden="1" x14ac:dyDescent="0.25">
      <c r="Y7684" s="501"/>
    </row>
    <row r="7685" spans="25:25" hidden="1" x14ac:dyDescent="0.25">
      <c r="Y7685" s="501"/>
    </row>
    <row r="7686" spans="25:25" hidden="1" x14ac:dyDescent="0.25">
      <c r="Y7686" s="501"/>
    </row>
    <row r="7687" spans="25:25" hidden="1" x14ac:dyDescent="0.25">
      <c r="Y7687" s="501"/>
    </row>
    <row r="7688" spans="25:25" hidden="1" x14ac:dyDescent="0.25">
      <c r="Y7688" s="501"/>
    </row>
    <row r="7689" spans="25:25" hidden="1" x14ac:dyDescent="0.25">
      <c r="Y7689" s="501"/>
    </row>
    <row r="7690" spans="25:25" hidden="1" x14ac:dyDescent="0.25">
      <c r="Y7690" s="501"/>
    </row>
    <row r="7691" spans="25:25" hidden="1" x14ac:dyDescent="0.25">
      <c r="Y7691" s="501"/>
    </row>
    <row r="7692" spans="25:25" hidden="1" x14ac:dyDescent="0.25">
      <c r="Y7692" s="501"/>
    </row>
    <row r="7693" spans="25:25" hidden="1" x14ac:dyDescent="0.25">
      <c r="Y7693" s="501"/>
    </row>
    <row r="7694" spans="25:25" hidden="1" x14ac:dyDescent="0.25">
      <c r="Y7694" s="501"/>
    </row>
    <row r="7695" spans="25:25" hidden="1" x14ac:dyDescent="0.25">
      <c r="Y7695" s="501"/>
    </row>
    <row r="7696" spans="25:25" hidden="1" x14ac:dyDescent="0.25">
      <c r="Y7696" s="501"/>
    </row>
    <row r="7697" spans="25:25" hidden="1" x14ac:dyDescent="0.25">
      <c r="Y7697" s="501"/>
    </row>
    <row r="7698" spans="25:25" hidden="1" x14ac:dyDescent="0.25">
      <c r="Y7698" s="501"/>
    </row>
    <row r="7699" spans="25:25" hidden="1" x14ac:dyDescent="0.25">
      <c r="Y7699" s="501"/>
    </row>
    <row r="7700" spans="25:25" hidden="1" x14ac:dyDescent="0.25">
      <c r="Y7700" s="501"/>
    </row>
    <row r="7701" spans="25:25" hidden="1" x14ac:dyDescent="0.25">
      <c r="Y7701" s="501"/>
    </row>
    <row r="7702" spans="25:25" hidden="1" x14ac:dyDescent="0.25">
      <c r="Y7702" s="501"/>
    </row>
    <row r="7703" spans="25:25" hidden="1" x14ac:dyDescent="0.25">
      <c r="Y7703" s="501"/>
    </row>
    <row r="7704" spans="25:25" hidden="1" x14ac:dyDescent="0.25">
      <c r="Y7704" s="501"/>
    </row>
    <row r="7705" spans="25:25" hidden="1" x14ac:dyDescent="0.25">
      <c r="Y7705" s="501"/>
    </row>
    <row r="7706" spans="25:25" hidden="1" x14ac:dyDescent="0.25">
      <c r="Y7706" s="501"/>
    </row>
    <row r="7707" spans="25:25" hidden="1" x14ac:dyDescent="0.25">
      <c r="Y7707" s="501"/>
    </row>
    <row r="7708" spans="25:25" hidden="1" x14ac:dyDescent="0.25">
      <c r="Y7708" s="501"/>
    </row>
    <row r="7709" spans="25:25" hidden="1" x14ac:dyDescent="0.25">
      <c r="Y7709" s="501"/>
    </row>
    <row r="7710" spans="25:25" hidden="1" x14ac:dyDescent="0.25">
      <c r="Y7710" s="501"/>
    </row>
    <row r="7711" spans="25:25" hidden="1" x14ac:dyDescent="0.25">
      <c r="Y7711" s="501"/>
    </row>
    <row r="7712" spans="25:25" hidden="1" x14ac:dyDescent="0.25">
      <c r="Y7712" s="501"/>
    </row>
    <row r="7713" spans="25:25" hidden="1" x14ac:dyDescent="0.25">
      <c r="Y7713" s="501"/>
    </row>
    <row r="7714" spans="25:25" hidden="1" x14ac:dyDescent="0.25">
      <c r="Y7714" s="501"/>
    </row>
    <row r="7715" spans="25:25" hidden="1" x14ac:dyDescent="0.25">
      <c r="Y7715" s="501"/>
    </row>
    <row r="7716" spans="25:25" hidden="1" x14ac:dyDescent="0.25">
      <c r="Y7716" s="501"/>
    </row>
    <row r="7717" spans="25:25" hidden="1" x14ac:dyDescent="0.25">
      <c r="Y7717" s="501"/>
    </row>
    <row r="7718" spans="25:25" hidden="1" x14ac:dyDescent="0.25">
      <c r="Y7718" s="501"/>
    </row>
    <row r="7719" spans="25:25" hidden="1" x14ac:dyDescent="0.25">
      <c r="Y7719" s="501"/>
    </row>
    <row r="7720" spans="25:25" hidden="1" x14ac:dyDescent="0.25">
      <c r="Y7720" s="501"/>
    </row>
    <row r="7721" spans="25:25" hidden="1" x14ac:dyDescent="0.25">
      <c r="Y7721" s="501"/>
    </row>
    <row r="7722" spans="25:25" hidden="1" x14ac:dyDescent="0.25">
      <c r="Y7722" s="501"/>
    </row>
    <row r="7723" spans="25:25" hidden="1" x14ac:dyDescent="0.25">
      <c r="Y7723" s="501"/>
    </row>
    <row r="7724" spans="25:25" hidden="1" x14ac:dyDescent="0.25">
      <c r="Y7724" s="501"/>
    </row>
    <row r="7725" spans="25:25" hidden="1" x14ac:dyDescent="0.25">
      <c r="Y7725" s="501"/>
    </row>
    <row r="7726" spans="25:25" hidden="1" x14ac:dyDescent="0.25">
      <c r="Y7726" s="501"/>
    </row>
    <row r="7727" spans="25:25" hidden="1" x14ac:dyDescent="0.25">
      <c r="Y7727" s="501"/>
    </row>
    <row r="7728" spans="25:25" hidden="1" x14ac:dyDescent="0.25">
      <c r="Y7728" s="501"/>
    </row>
    <row r="7729" spans="25:25" hidden="1" x14ac:dyDescent="0.25">
      <c r="Y7729" s="501"/>
    </row>
    <row r="7730" spans="25:25" hidden="1" x14ac:dyDescent="0.25">
      <c r="Y7730" s="501"/>
    </row>
    <row r="7731" spans="25:25" hidden="1" x14ac:dyDescent="0.25">
      <c r="Y7731" s="501"/>
    </row>
    <row r="7732" spans="25:25" hidden="1" x14ac:dyDescent="0.25">
      <c r="Y7732" s="501"/>
    </row>
    <row r="7733" spans="25:25" hidden="1" x14ac:dyDescent="0.25">
      <c r="Y7733" s="501"/>
    </row>
    <row r="7734" spans="25:25" hidden="1" x14ac:dyDescent="0.25">
      <c r="Y7734" s="501"/>
    </row>
    <row r="7735" spans="25:25" hidden="1" x14ac:dyDescent="0.25">
      <c r="Y7735" s="501"/>
    </row>
    <row r="7736" spans="25:25" hidden="1" x14ac:dyDescent="0.25">
      <c r="Y7736" s="501"/>
    </row>
    <row r="7737" spans="25:25" hidden="1" x14ac:dyDescent="0.25">
      <c r="Y7737" s="501"/>
    </row>
    <row r="7738" spans="25:25" hidden="1" x14ac:dyDescent="0.25">
      <c r="Y7738" s="501"/>
    </row>
    <row r="7739" spans="25:25" hidden="1" x14ac:dyDescent="0.25">
      <c r="Y7739" s="501"/>
    </row>
    <row r="7740" spans="25:25" hidden="1" x14ac:dyDescent="0.25">
      <c r="Y7740" s="501"/>
    </row>
    <row r="7741" spans="25:25" hidden="1" x14ac:dyDescent="0.25">
      <c r="Y7741" s="501"/>
    </row>
    <row r="7742" spans="25:25" hidden="1" x14ac:dyDescent="0.25">
      <c r="Y7742" s="501"/>
    </row>
    <row r="7743" spans="25:25" hidden="1" x14ac:dyDescent="0.25">
      <c r="Y7743" s="501"/>
    </row>
    <row r="7744" spans="25:25" hidden="1" x14ac:dyDescent="0.25">
      <c r="Y7744" s="501"/>
    </row>
    <row r="7745" spans="25:25" hidden="1" x14ac:dyDescent="0.25">
      <c r="Y7745" s="501"/>
    </row>
    <row r="7746" spans="25:25" hidden="1" x14ac:dyDescent="0.25">
      <c r="Y7746" s="501"/>
    </row>
    <row r="7747" spans="25:25" hidden="1" x14ac:dyDescent="0.25">
      <c r="Y7747" s="501"/>
    </row>
    <row r="7748" spans="25:25" hidden="1" x14ac:dyDescent="0.25">
      <c r="Y7748" s="501"/>
    </row>
    <row r="7749" spans="25:25" hidden="1" x14ac:dyDescent="0.25">
      <c r="Y7749" s="501"/>
    </row>
    <row r="7750" spans="25:25" hidden="1" x14ac:dyDescent="0.25">
      <c r="Y7750" s="501"/>
    </row>
    <row r="7751" spans="25:25" hidden="1" x14ac:dyDescent="0.25">
      <c r="Y7751" s="501"/>
    </row>
    <row r="7752" spans="25:25" hidden="1" x14ac:dyDescent="0.25">
      <c r="Y7752" s="501"/>
    </row>
    <row r="7753" spans="25:25" hidden="1" x14ac:dyDescent="0.25">
      <c r="Y7753" s="501"/>
    </row>
    <row r="7754" spans="25:25" hidden="1" x14ac:dyDescent="0.25">
      <c r="Y7754" s="501"/>
    </row>
    <row r="7755" spans="25:25" hidden="1" x14ac:dyDescent="0.25">
      <c r="Y7755" s="501"/>
    </row>
    <row r="7756" spans="25:25" hidden="1" x14ac:dyDescent="0.25">
      <c r="Y7756" s="501"/>
    </row>
    <row r="7757" spans="25:25" hidden="1" x14ac:dyDescent="0.25">
      <c r="Y7757" s="501"/>
    </row>
    <row r="7758" spans="25:25" hidden="1" x14ac:dyDescent="0.25">
      <c r="Y7758" s="501"/>
    </row>
    <row r="7759" spans="25:25" hidden="1" x14ac:dyDescent="0.25">
      <c r="Y7759" s="501"/>
    </row>
    <row r="7760" spans="25:25" hidden="1" x14ac:dyDescent="0.25">
      <c r="Y7760" s="501"/>
    </row>
    <row r="7761" spans="25:25" hidden="1" x14ac:dyDescent="0.25">
      <c r="Y7761" s="501"/>
    </row>
    <row r="7762" spans="25:25" hidden="1" x14ac:dyDescent="0.25">
      <c r="Y7762" s="501"/>
    </row>
    <row r="7763" spans="25:25" hidden="1" x14ac:dyDescent="0.25">
      <c r="Y7763" s="501"/>
    </row>
    <row r="7764" spans="25:25" hidden="1" x14ac:dyDescent="0.25">
      <c r="Y7764" s="501"/>
    </row>
    <row r="7765" spans="25:25" hidden="1" x14ac:dyDescent="0.25">
      <c r="Y7765" s="501"/>
    </row>
    <row r="7766" spans="25:25" hidden="1" x14ac:dyDescent="0.25">
      <c r="Y7766" s="501"/>
    </row>
    <row r="7767" spans="25:25" hidden="1" x14ac:dyDescent="0.25">
      <c r="Y7767" s="501"/>
    </row>
    <row r="7768" spans="25:25" hidden="1" x14ac:dyDescent="0.25">
      <c r="Y7768" s="501"/>
    </row>
    <row r="7769" spans="25:25" hidden="1" x14ac:dyDescent="0.25">
      <c r="Y7769" s="501"/>
    </row>
    <row r="7770" spans="25:25" hidden="1" x14ac:dyDescent="0.25">
      <c r="Y7770" s="501"/>
    </row>
    <row r="7771" spans="25:25" hidden="1" x14ac:dyDescent="0.25">
      <c r="Y7771" s="501"/>
    </row>
    <row r="7772" spans="25:25" hidden="1" x14ac:dyDescent="0.25">
      <c r="Y7772" s="501"/>
    </row>
    <row r="7773" spans="25:25" hidden="1" x14ac:dyDescent="0.25">
      <c r="Y7773" s="501"/>
    </row>
    <row r="7774" spans="25:25" hidden="1" x14ac:dyDescent="0.25">
      <c r="Y7774" s="501"/>
    </row>
    <row r="7775" spans="25:25" hidden="1" x14ac:dyDescent="0.25">
      <c r="Y7775" s="501"/>
    </row>
    <row r="7776" spans="25:25" hidden="1" x14ac:dyDescent="0.25">
      <c r="Y7776" s="501"/>
    </row>
    <row r="7777" spans="25:25" hidden="1" x14ac:dyDescent="0.25">
      <c r="Y7777" s="501"/>
    </row>
    <row r="7778" spans="25:25" hidden="1" x14ac:dyDescent="0.25">
      <c r="Y7778" s="501"/>
    </row>
    <row r="7779" spans="25:25" hidden="1" x14ac:dyDescent="0.25">
      <c r="Y7779" s="501"/>
    </row>
    <row r="7780" spans="25:25" hidden="1" x14ac:dyDescent="0.25">
      <c r="Y7780" s="501"/>
    </row>
    <row r="7781" spans="25:25" hidden="1" x14ac:dyDescent="0.25">
      <c r="Y7781" s="501"/>
    </row>
    <row r="7782" spans="25:25" hidden="1" x14ac:dyDescent="0.25">
      <c r="Y7782" s="501"/>
    </row>
    <row r="7783" spans="25:25" hidden="1" x14ac:dyDescent="0.25">
      <c r="Y7783" s="501"/>
    </row>
    <row r="7784" spans="25:25" hidden="1" x14ac:dyDescent="0.25">
      <c r="Y7784" s="501"/>
    </row>
    <row r="7785" spans="25:25" hidden="1" x14ac:dyDescent="0.25">
      <c r="Y7785" s="501"/>
    </row>
    <row r="7786" spans="25:25" hidden="1" x14ac:dyDescent="0.25">
      <c r="Y7786" s="501"/>
    </row>
    <row r="7787" spans="25:25" hidden="1" x14ac:dyDescent="0.25">
      <c r="Y7787" s="501"/>
    </row>
    <row r="7788" spans="25:25" hidden="1" x14ac:dyDescent="0.25">
      <c r="Y7788" s="501"/>
    </row>
    <row r="7789" spans="25:25" hidden="1" x14ac:dyDescent="0.25">
      <c r="Y7789" s="501"/>
    </row>
    <row r="7790" spans="25:25" hidden="1" x14ac:dyDescent="0.25">
      <c r="Y7790" s="501"/>
    </row>
    <row r="7791" spans="25:25" hidden="1" x14ac:dyDescent="0.25">
      <c r="Y7791" s="501"/>
    </row>
    <row r="7792" spans="25:25" hidden="1" x14ac:dyDescent="0.25">
      <c r="Y7792" s="501"/>
    </row>
    <row r="7793" spans="25:25" hidden="1" x14ac:dyDescent="0.25">
      <c r="Y7793" s="501"/>
    </row>
    <row r="7794" spans="25:25" hidden="1" x14ac:dyDescent="0.25">
      <c r="Y7794" s="501"/>
    </row>
    <row r="7795" spans="25:25" hidden="1" x14ac:dyDescent="0.25">
      <c r="Y7795" s="501"/>
    </row>
    <row r="7796" spans="25:25" hidden="1" x14ac:dyDescent="0.25">
      <c r="Y7796" s="501"/>
    </row>
    <row r="7797" spans="25:25" hidden="1" x14ac:dyDescent="0.25">
      <c r="Y7797" s="501"/>
    </row>
    <row r="7798" spans="25:25" hidden="1" x14ac:dyDescent="0.25">
      <c r="Y7798" s="501"/>
    </row>
    <row r="7799" spans="25:25" hidden="1" x14ac:dyDescent="0.25">
      <c r="Y7799" s="501"/>
    </row>
    <row r="7800" spans="25:25" hidden="1" x14ac:dyDescent="0.25">
      <c r="Y7800" s="501"/>
    </row>
    <row r="7801" spans="25:25" hidden="1" x14ac:dyDescent="0.25">
      <c r="Y7801" s="501"/>
    </row>
    <row r="7802" spans="25:25" hidden="1" x14ac:dyDescent="0.25">
      <c r="Y7802" s="501"/>
    </row>
    <row r="7803" spans="25:25" hidden="1" x14ac:dyDescent="0.25">
      <c r="Y7803" s="501"/>
    </row>
    <row r="7804" spans="25:25" hidden="1" x14ac:dyDescent="0.25">
      <c r="Y7804" s="501"/>
    </row>
    <row r="7805" spans="25:25" hidden="1" x14ac:dyDescent="0.25">
      <c r="Y7805" s="501"/>
    </row>
    <row r="7806" spans="25:25" hidden="1" x14ac:dyDescent="0.25">
      <c r="Y7806" s="501"/>
    </row>
    <row r="7807" spans="25:25" hidden="1" x14ac:dyDescent="0.25">
      <c r="Y7807" s="501"/>
    </row>
    <row r="7808" spans="25:25" hidden="1" x14ac:dyDescent="0.25">
      <c r="Y7808" s="501"/>
    </row>
    <row r="7809" spans="25:25" hidden="1" x14ac:dyDescent="0.25">
      <c r="Y7809" s="501"/>
    </row>
    <row r="7810" spans="25:25" hidden="1" x14ac:dyDescent="0.25">
      <c r="Y7810" s="501"/>
    </row>
    <row r="7811" spans="25:25" hidden="1" x14ac:dyDescent="0.25">
      <c r="Y7811" s="501"/>
    </row>
    <row r="7812" spans="25:25" hidden="1" x14ac:dyDescent="0.25">
      <c r="Y7812" s="501"/>
    </row>
    <row r="7813" spans="25:25" hidden="1" x14ac:dyDescent="0.25">
      <c r="Y7813" s="501"/>
    </row>
    <row r="7814" spans="25:25" hidden="1" x14ac:dyDescent="0.25">
      <c r="Y7814" s="501"/>
    </row>
    <row r="7815" spans="25:25" hidden="1" x14ac:dyDescent="0.25">
      <c r="Y7815" s="501"/>
    </row>
    <row r="7816" spans="25:25" hidden="1" x14ac:dyDescent="0.25">
      <c r="Y7816" s="501"/>
    </row>
    <row r="7817" spans="25:25" hidden="1" x14ac:dyDescent="0.25">
      <c r="Y7817" s="501"/>
    </row>
    <row r="7818" spans="25:25" hidden="1" x14ac:dyDescent="0.25">
      <c r="Y7818" s="501"/>
    </row>
    <row r="7819" spans="25:25" hidden="1" x14ac:dyDescent="0.25">
      <c r="Y7819" s="501"/>
    </row>
    <row r="7820" spans="25:25" hidden="1" x14ac:dyDescent="0.25">
      <c r="Y7820" s="501"/>
    </row>
    <row r="7821" spans="25:25" hidden="1" x14ac:dyDescent="0.25">
      <c r="Y7821" s="501"/>
    </row>
    <row r="7822" spans="25:25" hidden="1" x14ac:dyDescent="0.25">
      <c r="Y7822" s="501"/>
    </row>
    <row r="7823" spans="25:25" hidden="1" x14ac:dyDescent="0.25">
      <c r="Y7823" s="501"/>
    </row>
    <row r="7824" spans="25:25" hidden="1" x14ac:dyDescent="0.25">
      <c r="Y7824" s="501"/>
    </row>
    <row r="7825" spans="25:25" hidden="1" x14ac:dyDescent="0.25">
      <c r="Y7825" s="501"/>
    </row>
    <row r="7826" spans="25:25" hidden="1" x14ac:dyDescent="0.25">
      <c r="Y7826" s="501"/>
    </row>
    <row r="7827" spans="25:25" hidden="1" x14ac:dyDescent="0.25">
      <c r="Y7827" s="501"/>
    </row>
    <row r="7828" spans="25:25" hidden="1" x14ac:dyDescent="0.25">
      <c r="Y7828" s="501"/>
    </row>
    <row r="7829" spans="25:25" hidden="1" x14ac:dyDescent="0.25">
      <c r="Y7829" s="501"/>
    </row>
    <row r="7830" spans="25:25" hidden="1" x14ac:dyDescent="0.25">
      <c r="Y7830" s="501"/>
    </row>
    <row r="7831" spans="25:25" hidden="1" x14ac:dyDescent="0.25">
      <c r="Y7831" s="501"/>
    </row>
    <row r="7832" spans="25:25" hidden="1" x14ac:dyDescent="0.25">
      <c r="Y7832" s="501"/>
    </row>
    <row r="7833" spans="25:25" hidden="1" x14ac:dyDescent="0.25">
      <c r="Y7833" s="501"/>
    </row>
    <row r="7834" spans="25:25" hidden="1" x14ac:dyDescent="0.25">
      <c r="Y7834" s="501"/>
    </row>
    <row r="7835" spans="25:25" hidden="1" x14ac:dyDescent="0.25">
      <c r="Y7835" s="501"/>
    </row>
    <row r="7836" spans="25:25" hidden="1" x14ac:dyDescent="0.25">
      <c r="Y7836" s="501"/>
    </row>
    <row r="7837" spans="25:25" hidden="1" x14ac:dyDescent="0.25">
      <c r="Y7837" s="501"/>
    </row>
    <row r="7838" spans="25:25" hidden="1" x14ac:dyDescent="0.25">
      <c r="Y7838" s="501"/>
    </row>
    <row r="7839" spans="25:25" hidden="1" x14ac:dyDescent="0.25">
      <c r="Y7839" s="501"/>
    </row>
    <row r="7840" spans="25:25" hidden="1" x14ac:dyDescent="0.25">
      <c r="Y7840" s="501"/>
    </row>
    <row r="7841" spans="25:25" hidden="1" x14ac:dyDescent="0.25">
      <c r="Y7841" s="501"/>
    </row>
    <row r="7842" spans="25:25" hidden="1" x14ac:dyDescent="0.25">
      <c r="Y7842" s="501"/>
    </row>
    <row r="7843" spans="25:25" hidden="1" x14ac:dyDescent="0.25">
      <c r="Y7843" s="501"/>
    </row>
    <row r="7844" spans="25:25" hidden="1" x14ac:dyDescent="0.25">
      <c r="Y7844" s="501"/>
    </row>
    <row r="7845" spans="25:25" hidden="1" x14ac:dyDescent="0.25">
      <c r="Y7845" s="501"/>
    </row>
    <row r="7846" spans="25:25" hidden="1" x14ac:dyDescent="0.25">
      <c r="Y7846" s="501"/>
    </row>
    <row r="7847" spans="25:25" hidden="1" x14ac:dyDescent="0.25">
      <c r="Y7847" s="501"/>
    </row>
    <row r="7848" spans="25:25" hidden="1" x14ac:dyDescent="0.25">
      <c r="Y7848" s="501"/>
    </row>
    <row r="7849" spans="25:25" hidden="1" x14ac:dyDescent="0.25">
      <c r="Y7849" s="501"/>
    </row>
    <row r="7850" spans="25:25" hidden="1" x14ac:dyDescent="0.25">
      <c r="Y7850" s="501"/>
    </row>
    <row r="7851" spans="25:25" hidden="1" x14ac:dyDescent="0.25">
      <c r="Y7851" s="501"/>
    </row>
    <row r="7852" spans="25:25" hidden="1" x14ac:dyDescent="0.25">
      <c r="Y7852" s="501"/>
    </row>
    <row r="7853" spans="25:25" hidden="1" x14ac:dyDescent="0.25">
      <c r="Y7853" s="501"/>
    </row>
    <row r="7854" spans="25:25" hidden="1" x14ac:dyDescent="0.25">
      <c r="Y7854" s="501"/>
    </row>
    <row r="7855" spans="25:25" hidden="1" x14ac:dyDescent="0.25">
      <c r="Y7855" s="501"/>
    </row>
    <row r="7856" spans="25:25" hidden="1" x14ac:dyDescent="0.25">
      <c r="Y7856" s="501"/>
    </row>
    <row r="7857" spans="25:25" hidden="1" x14ac:dyDescent="0.25">
      <c r="Y7857" s="501"/>
    </row>
    <row r="7858" spans="25:25" hidden="1" x14ac:dyDescent="0.25">
      <c r="Y7858" s="501"/>
    </row>
    <row r="7859" spans="25:25" hidden="1" x14ac:dyDescent="0.25">
      <c r="Y7859" s="501"/>
    </row>
    <row r="7860" spans="25:25" hidden="1" x14ac:dyDescent="0.25">
      <c r="Y7860" s="501"/>
    </row>
    <row r="7861" spans="25:25" hidden="1" x14ac:dyDescent="0.25">
      <c r="Y7861" s="501"/>
    </row>
    <row r="7862" spans="25:25" hidden="1" x14ac:dyDescent="0.25">
      <c r="Y7862" s="501"/>
    </row>
    <row r="7863" spans="25:25" hidden="1" x14ac:dyDescent="0.25">
      <c r="Y7863" s="501"/>
    </row>
    <row r="7864" spans="25:25" hidden="1" x14ac:dyDescent="0.25">
      <c r="Y7864" s="501"/>
    </row>
    <row r="7865" spans="25:25" hidden="1" x14ac:dyDescent="0.25">
      <c r="Y7865" s="501"/>
    </row>
    <row r="7866" spans="25:25" hidden="1" x14ac:dyDescent="0.25">
      <c r="Y7866" s="501"/>
    </row>
    <row r="7867" spans="25:25" hidden="1" x14ac:dyDescent="0.25">
      <c r="Y7867" s="501"/>
    </row>
    <row r="7868" spans="25:25" hidden="1" x14ac:dyDescent="0.25">
      <c r="Y7868" s="501"/>
    </row>
    <row r="7869" spans="25:25" hidden="1" x14ac:dyDescent="0.25">
      <c r="Y7869" s="501"/>
    </row>
    <row r="7870" spans="25:25" hidden="1" x14ac:dyDescent="0.25">
      <c r="Y7870" s="501"/>
    </row>
    <row r="7871" spans="25:25" hidden="1" x14ac:dyDescent="0.25">
      <c r="Y7871" s="501"/>
    </row>
    <row r="7872" spans="25:25" hidden="1" x14ac:dyDescent="0.25">
      <c r="Y7872" s="501"/>
    </row>
    <row r="7873" spans="25:25" hidden="1" x14ac:dyDescent="0.25">
      <c r="Y7873" s="501"/>
    </row>
    <row r="7874" spans="25:25" hidden="1" x14ac:dyDescent="0.25">
      <c r="Y7874" s="501"/>
    </row>
    <row r="7875" spans="25:25" hidden="1" x14ac:dyDescent="0.25">
      <c r="Y7875" s="501"/>
    </row>
    <row r="7876" spans="25:25" hidden="1" x14ac:dyDescent="0.25">
      <c r="Y7876" s="501"/>
    </row>
    <row r="7877" spans="25:25" hidden="1" x14ac:dyDescent="0.25">
      <c r="Y7877" s="501"/>
    </row>
    <row r="7878" spans="25:25" hidden="1" x14ac:dyDescent="0.25">
      <c r="Y7878" s="501"/>
    </row>
    <row r="7879" spans="25:25" hidden="1" x14ac:dyDescent="0.25">
      <c r="Y7879" s="501"/>
    </row>
    <row r="7880" spans="25:25" hidden="1" x14ac:dyDescent="0.25">
      <c r="Y7880" s="501"/>
    </row>
    <row r="7881" spans="25:25" hidden="1" x14ac:dyDescent="0.25">
      <c r="Y7881" s="501"/>
    </row>
    <row r="7882" spans="25:25" hidden="1" x14ac:dyDescent="0.25">
      <c r="Y7882" s="501"/>
    </row>
    <row r="7883" spans="25:25" hidden="1" x14ac:dyDescent="0.25">
      <c r="Y7883" s="501"/>
    </row>
    <row r="7884" spans="25:25" hidden="1" x14ac:dyDescent="0.25">
      <c r="Y7884" s="501"/>
    </row>
    <row r="7885" spans="25:25" hidden="1" x14ac:dyDescent="0.25">
      <c r="Y7885" s="501"/>
    </row>
    <row r="7886" spans="25:25" hidden="1" x14ac:dyDescent="0.25">
      <c r="Y7886" s="501"/>
    </row>
    <row r="7887" spans="25:25" hidden="1" x14ac:dyDescent="0.25">
      <c r="Y7887" s="501"/>
    </row>
    <row r="7888" spans="25:25" hidden="1" x14ac:dyDescent="0.25">
      <c r="Y7888" s="501"/>
    </row>
    <row r="7889" spans="25:25" hidden="1" x14ac:dyDescent="0.25">
      <c r="Y7889" s="501"/>
    </row>
    <row r="7890" spans="25:25" hidden="1" x14ac:dyDescent="0.25">
      <c r="Y7890" s="501"/>
    </row>
    <row r="7891" spans="25:25" hidden="1" x14ac:dyDescent="0.25">
      <c r="Y7891" s="501"/>
    </row>
    <row r="7892" spans="25:25" hidden="1" x14ac:dyDescent="0.25">
      <c r="Y7892" s="501"/>
    </row>
    <row r="7893" spans="25:25" hidden="1" x14ac:dyDescent="0.25">
      <c r="Y7893" s="501"/>
    </row>
    <row r="7894" spans="25:25" hidden="1" x14ac:dyDescent="0.25">
      <c r="Y7894" s="501"/>
    </row>
    <row r="7895" spans="25:25" hidden="1" x14ac:dyDescent="0.25">
      <c r="Y7895" s="501"/>
    </row>
    <row r="7896" spans="25:25" hidden="1" x14ac:dyDescent="0.25">
      <c r="Y7896" s="501"/>
    </row>
    <row r="7897" spans="25:25" hidden="1" x14ac:dyDescent="0.25">
      <c r="Y7897" s="501"/>
    </row>
    <row r="7898" spans="25:25" hidden="1" x14ac:dyDescent="0.25">
      <c r="Y7898" s="501"/>
    </row>
    <row r="7899" spans="25:25" hidden="1" x14ac:dyDescent="0.25">
      <c r="Y7899" s="501"/>
    </row>
    <row r="7900" spans="25:25" hidden="1" x14ac:dyDescent="0.25">
      <c r="Y7900" s="501"/>
    </row>
    <row r="7901" spans="25:25" hidden="1" x14ac:dyDescent="0.25">
      <c r="Y7901" s="501"/>
    </row>
    <row r="7902" spans="25:25" hidden="1" x14ac:dyDescent="0.25">
      <c r="Y7902" s="501"/>
    </row>
    <row r="7903" spans="25:25" hidden="1" x14ac:dyDescent="0.25">
      <c r="Y7903" s="501"/>
    </row>
    <row r="7904" spans="25:25" hidden="1" x14ac:dyDescent="0.25">
      <c r="Y7904" s="501"/>
    </row>
    <row r="7905" spans="25:25" hidden="1" x14ac:dyDescent="0.25">
      <c r="Y7905" s="501"/>
    </row>
    <row r="7906" spans="25:25" hidden="1" x14ac:dyDescent="0.25">
      <c r="Y7906" s="501"/>
    </row>
    <row r="7907" spans="25:25" hidden="1" x14ac:dyDescent="0.25">
      <c r="Y7907" s="501"/>
    </row>
    <row r="7908" spans="25:25" hidden="1" x14ac:dyDescent="0.25">
      <c r="Y7908" s="501"/>
    </row>
    <row r="7909" spans="25:25" hidden="1" x14ac:dyDescent="0.25">
      <c r="Y7909" s="501"/>
    </row>
    <row r="7910" spans="25:25" hidden="1" x14ac:dyDescent="0.25">
      <c r="Y7910" s="501"/>
    </row>
    <row r="7911" spans="25:25" hidden="1" x14ac:dyDescent="0.25">
      <c r="Y7911" s="501"/>
    </row>
    <row r="7912" spans="25:25" hidden="1" x14ac:dyDescent="0.25">
      <c r="Y7912" s="501"/>
    </row>
    <row r="7913" spans="25:25" hidden="1" x14ac:dyDescent="0.25">
      <c r="Y7913" s="501"/>
    </row>
    <row r="7914" spans="25:25" hidden="1" x14ac:dyDescent="0.25">
      <c r="Y7914" s="501"/>
    </row>
    <row r="7915" spans="25:25" hidden="1" x14ac:dyDescent="0.25">
      <c r="Y7915" s="501"/>
    </row>
    <row r="7916" spans="25:25" hidden="1" x14ac:dyDescent="0.25">
      <c r="Y7916" s="501"/>
    </row>
    <row r="7917" spans="25:25" hidden="1" x14ac:dyDescent="0.25">
      <c r="Y7917" s="501"/>
    </row>
    <row r="7918" spans="25:25" hidden="1" x14ac:dyDescent="0.25">
      <c r="Y7918" s="501"/>
    </row>
    <row r="7919" spans="25:25" hidden="1" x14ac:dyDescent="0.25">
      <c r="Y7919" s="501"/>
    </row>
    <row r="7920" spans="25:25" hidden="1" x14ac:dyDescent="0.25">
      <c r="Y7920" s="501"/>
    </row>
    <row r="7921" spans="25:25" hidden="1" x14ac:dyDescent="0.25">
      <c r="Y7921" s="501"/>
    </row>
    <row r="7922" spans="25:25" hidden="1" x14ac:dyDescent="0.25">
      <c r="Y7922" s="501"/>
    </row>
    <row r="7923" spans="25:25" hidden="1" x14ac:dyDescent="0.25">
      <c r="Y7923" s="501"/>
    </row>
    <row r="7924" spans="25:25" hidden="1" x14ac:dyDescent="0.25">
      <c r="Y7924" s="501"/>
    </row>
    <row r="7925" spans="25:25" hidden="1" x14ac:dyDescent="0.25">
      <c r="Y7925" s="501"/>
    </row>
    <row r="7926" spans="25:25" hidden="1" x14ac:dyDescent="0.25">
      <c r="Y7926" s="501"/>
    </row>
    <row r="7927" spans="25:25" hidden="1" x14ac:dyDescent="0.25">
      <c r="Y7927" s="501"/>
    </row>
    <row r="7928" spans="25:25" hidden="1" x14ac:dyDescent="0.25">
      <c r="Y7928" s="501"/>
    </row>
    <row r="7929" spans="25:25" hidden="1" x14ac:dyDescent="0.25">
      <c r="Y7929" s="501"/>
    </row>
    <row r="7930" spans="25:25" hidden="1" x14ac:dyDescent="0.25">
      <c r="Y7930" s="501"/>
    </row>
    <row r="7931" spans="25:25" hidden="1" x14ac:dyDescent="0.25">
      <c r="Y7931" s="501"/>
    </row>
    <row r="7932" spans="25:25" hidden="1" x14ac:dyDescent="0.25">
      <c r="Y7932" s="501"/>
    </row>
    <row r="7933" spans="25:25" hidden="1" x14ac:dyDescent="0.25">
      <c r="Y7933" s="501"/>
    </row>
    <row r="7934" spans="25:25" hidden="1" x14ac:dyDescent="0.25">
      <c r="Y7934" s="501"/>
    </row>
    <row r="7935" spans="25:25" hidden="1" x14ac:dyDescent="0.25">
      <c r="Y7935" s="501"/>
    </row>
    <row r="7936" spans="25:25" hidden="1" x14ac:dyDescent="0.25">
      <c r="Y7936" s="501"/>
    </row>
    <row r="7937" spans="25:25" hidden="1" x14ac:dyDescent="0.25">
      <c r="Y7937" s="501"/>
    </row>
    <row r="7938" spans="25:25" hidden="1" x14ac:dyDescent="0.25">
      <c r="Y7938" s="501"/>
    </row>
    <row r="7939" spans="25:25" hidden="1" x14ac:dyDescent="0.25">
      <c r="Y7939" s="501"/>
    </row>
    <row r="7940" spans="25:25" hidden="1" x14ac:dyDescent="0.25">
      <c r="Y7940" s="501"/>
    </row>
    <row r="7941" spans="25:25" hidden="1" x14ac:dyDescent="0.25">
      <c r="Y7941" s="501"/>
    </row>
    <row r="7942" spans="25:25" hidden="1" x14ac:dyDescent="0.25">
      <c r="Y7942" s="501"/>
    </row>
    <row r="7943" spans="25:25" hidden="1" x14ac:dyDescent="0.25">
      <c r="Y7943" s="501"/>
    </row>
    <row r="7944" spans="25:25" hidden="1" x14ac:dyDescent="0.25">
      <c r="Y7944" s="501"/>
    </row>
    <row r="7945" spans="25:25" hidden="1" x14ac:dyDescent="0.25">
      <c r="Y7945" s="501"/>
    </row>
    <row r="7946" spans="25:25" hidden="1" x14ac:dyDescent="0.25">
      <c r="Y7946" s="501"/>
    </row>
    <row r="7947" spans="25:25" hidden="1" x14ac:dyDescent="0.25">
      <c r="Y7947" s="501"/>
    </row>
    <row r="7948" spans="25:25" hidden="1" x14ac:dyDescent="0.25">
      <c r="Y7948" s="501"/>
    </row>
    <row r="7949" spans="25:25" hidden="1" x14ac:dyDescent="0.25">
      <c r="Y7949" s="501"/>
    </row>
    <row r="7950" spans="25:25" hidden="1" x14ac:dyDescent="0.25">
      <c r="Y7950" s="501"/>
    </row>
    <row r="7951" spans="25:25" hidden="1" x14ac:dyDescent="0.25">
      <c r="Y7951" s="501"/>
    </row>
    <row r="7952" spans="25:25" hidden="1" x14ac:dyDescent="0.25">
      <c r="Y7952" s="501"/>
    </row>
    <row r="7953" spans="25:25" hidden="1" x14ac:dyDescent="0.25">
      <c r="Y7953" s="501"/>
    </row>
    <row r="7954" spans="25:25" hidden="1" x14ac:dyDescent="0.25">
      <c r="Y7954" s="501"/>
    </row>
    <row r="7955" spans="25:25" hidden="1" x14ac:dyDescent="0.25">
      <c r="Y7955" s="501"/>
    </row>
    <row r="7956" spans="25:25" hidden="1" x14ac:dyDescent="0.25">
      <c r="Y7956" s="501"/>
    </row>
    <row r="7957" spans="25:25" hidden="1" x14ac:dyDescent="0.25">
      <c r="Y7957" s="501"/>
    </row>
    <row r="7958" spans="25:25" hidden="1" x14ac:dyDescent="0.25">
      <c r="Y7958" s="501"/>
    </row>
    <row r="7959" spans="25:25" hidden="1" x14ac:dyDescent="0.25">
      <c r="Y7959" s="501"/>
    </row>
    <row r="7960" spans="25:25" hidden="1" x14ac:dyDescent="0.25">
      <c r="Y7960" s="501"/>
    </row>
    <row r="7961" spans="25:25" hidden="1" x14ac:dyDescent="0.25">
      <c r="Y7961" s="501"/>
    </row>
    <row r="7962" spans="25:25" hidden="1" x14ac:dyDescent="0.25">
      <c r="Y7962" s="501"/>
    </row>
    <row r="7963" spans="25:25" hidden="1" x14ac:dyDescent="0.25">
      <c r="Y7963" s="501"/>
    </row>
    <row r="7964" spans="25:25" hidden="1" x14ac:dyDescent="0.25">
      <c r="Y7964" s="501"/>
    </row>
    <row r="7965" spans="25:25" hidden="1" x14ac:dyDescent="0.25">
      <c r="Y7965" s="501"/>
    </row>
    <row r="7966" spans="25:25" hidden="1" x14ac:dyDescent="0.25">
      <c r="Y7966" s="501"/>
    </row>
    <row r="7967" spans="25:25" hidden="1" x14ac:dyDescent="0.25">
      <c r="Y7967" s="501"/>
    </row>
    <row r="7968" spans="25:25" hidden="1" x14ac:dyDescent="0.25">
      <c r="Y7968" s="501"/>
    </row>
    <row r="7969" spans="25:25" hidden="1" x14ac:dyDescent="0.25">
      <c r="Y7969" s="501"/>
    </row>
    <row r="7970" spans="25:25" hidden="1" x14ac:dyDescent="0.25">
      <c r="Y7970" s="501"/>
    </row>
    <row r="7971" spans="25:25" hidden="1" x14ac:dyDescent="0.25">
      <c r="Y7971" s="501"/>
    </row>
    <row r="7972" spans="25:25" hidden="1" x14ac:dyDescent="0.25">
      <c r="Y7972" s="501"/>
    </row>
    <row r="7973" spans="25:25" hidden="1" x14ac:dyDescent="0.25">
      <c r="Y7973" s="501"/>
    </row>
    <row r="7974" spans="25:25" hidden="1" x14ac:dyDescent="0.25">
      <c r="Y7974" s="501"/>
    </row>
    <row r="7975" spans="25:25" hidden="1" x14ac:dyDescent="0.25">
      <c r="Y7975" s="501"/>
    </row>
    <row r="7976" spans="25:25" hidden="1" x14ac:dyDescent="0.25">
      <c r="Y7976" s="501"/>
    </row>
    <row r="7977" spans="25:25" hidden="1" x14ac:dyDescent="0.25">
      <c r="Y7977" s="501"/>
    </row>
    <row r="7978" spans="25:25" hidden="1" x14ac:dyDescent="0.25">
      <c r="Y7978" s="501"/>
    </row>
    <row r="7979" spans="25:25" hidden="1" x14ac:dyDescent="0.25">
      <c r="Y7979" s="501"/>
    </row>
    <row r="7980" spans="25:25" hidden="1" x14ac:dyDescent="0.25">
      <c r="Y7980" s="501"/>
    </row>
    <row r="7981" spans="25:25" hidden="1" x14ac:dyDescent="0.25">
      <c r="Y7981" s="501"/>
    </row>
    <row r="7982" spans="25:25" hidden="1" x14ac:dyDescent="0.25">
      <c r="Y7982" s="501"/>
    </row>
    <row r="7983" spans="25:25" hidden="1" x14ac:dyDescent="0.25">
      <c r="Y7983" s="501"/>
    </row>
    <row r="7984" spans="25:25" hidden="1" x14ac:dyDescent="0.25">
      <c r="Y7984" s="501"/>
    </row>
    <row r="7985" spans="25:25" hidden="1" x14ac:dyDescent="0.25">
      <c r="Y7985" s="501"/>
    </row>
    <row r="7986" spans="25:25" hidden="1" x14ac:dyDescent="0.25">
      <c r="Y7986" s="501"/>
    </row>
    <row r="7987" spans="25:25" hidden="1" x14ac:dyDescent="0.25">
      <c r="Y7987" s="501"/>
    </row>
    <row r="7988" spans="25:25" hidden="1" x14ac:dyDescent="0.25">
      <c r="Y7988" s="501"/>
    </row>
    <row r="7989" spans="25:25" hidden="1" x14ac:dyDescent="0.25">
      <c r="Y7989" s="501"/>
    </row>
    <row r="7990" spans="25:25" hidden="1" x14ac:dyDescent="0.25">
      <c r="Y7990" s="501"/>
    </row>
    <row r="7991" spans="25:25" hidden="1" x14ac:dyDescent="0.25">
      <c r="Y7991" s="501"/>
    </row>
    <row r="7992" spans="25:25" hidden="1" x14ac:dyDescent="0.25">
      <c r="Y7992" s="501"/>
    </row>
    <row r="7993" spans="25:25" hidden="1" x14ac:dyDescent="0.25">
      <c r="Y7993" s="501"/>
    </row>
    <row r="7994" spans="25:25" hidden="1" x14ac:dyDescent="0.25">
      <c r="Y7994" s="501"/>
    </row>
    <row r="7995" spans="25:25" hidden="1" x14ac:dyDescent="0.25">
      <c r="Y7995" s="501"/>
    </row>
    <row r="7996" spans="25:25" hidden="1" x14ac:dyDescent="0.25">
      <c r="Y7996" s="501"/>
    </row>
    <row r="7997" spans="25:25" hidden="1" x14ac:dyDescent="0.25">
      <c r="Y7997" s="501"/>
    </row>
    <row r="7998" spans="25:25" hidden="1" x14ac:dyDescent="0.25">
      <c r="Y7998" s="501"/>
    </row>
    <row r="7999" spans="25:25" hidden="1" x14ac:dyDescent="0.25">
      <c r="Y7999" s="501"/>
    </row>
    <row r="8000" spans="25:25" hidden="1" x14ac:dyDescent="0.25">
      <c r="Y8000" s="501"/>
    </row>
    <row r="8001" spans="25:25" hidden="1" x14ac:dyDescent="0.25">
      <c r="Y8001" s="501"/>
    </row>
    <row r="8002" spans="25:25" hidden="1" x14ac:dyDescent="0.25">
      <c r="Y8002" s="501"/>
    </row>
    <row r="8003" spans="25:25" hidden="1" x14ac:dyDescent="0.25">
      <c r="Y8003" s="501"/>
    </row>
    <row r="8004" spans="25:25" hidden="1" x14ac:dyDescent="0.25">
      <c r="Y8004" s="501"/>
    </row>
    <row r="8005" spans="25:25" hidden="1" x14ac:dyDescent="0.25">
      <c r="Y8005" s="501"/>
    </row>
    <row r="8006" spans="25:25" hidden="1" x14ac:dyDescent="0.25">
      <c r="Y8006" s="501"/>
    </row>
    <row r="8007" spans="25:25" hidden="1" x14ac:dyDescent="0.25">
      <c r="Y8007" s="501"/>
    </row>
    <row r="8008" spans="25:25" hidden="1" x14ac:dyDescent="0.25">
      <c r="Y8008" s="501"/>
    </row>
    <row r="8009" spans="25:25" hidden="1" x14ac:dyDescent="0.25">
      <c r="Y8009" s="501"/>
    </row>
    <row r="8010" spans="25:25" hidden="1" x14ac:dyDescent="0.25">
      <c r="Y8010" s="501"/>
    </row>
    <row r="8011" spans="25:25" hidden="1" x14ac:dyDescent="0.25">
      <c r="Y8011" s="501"/>
    </row>
    <row r="8012" spans="25:25" hidden="1" x14ac:dyDescent="0.25">
      <c r="Y8012" s="501"/>
    </row>
    <row r="8013" spans="25:25" hidden="1" x14ac:dyDescent="0.25">
      <c r="Y8013" s="501"/>
    </row>
    <row r="8014" spans="25:25" hidden="1" x14ac:dyDescent="0.25">
      <c r="Y8014" s="501"/>
    </row>
    <row r="8015" spans="25:25" hidden="1" x14ac:dyDescent="0.25">
      <c r="Y8015" s="501"/>
    </row>
    <row r="8016" spans="25:25" hidden="1" x14ac:dyDescent="0.25">
      <c r="Y8016" s="501"/>
    </row>
    <row r="8017" spans="25:25" hidden="1" x14ac:dyDescent="0.25">
      <c r="Y8017" s="501"/>
    </row>
    <row r="8018" spans="25:25" hidden="1" x14ac:dyDescent="0.25">
      <c r="Y8018" s="501"/>
    </row>
    <row r="8019" spans="25:25" hidden="1" x14ac:dyDescent="0.25">
      <c r="Y8019" s="501"/>
    </row>
    <row r="8020" spans="25:25" hidden="1" x14ac:dyDescent="0.25">
      <c r="Y8020" s="501"/>
    </row>
    <row r="8021" spans="25:25" hidden="1" x14ac:dyDescent="0.25">
      <c r="Y8021" s="501"/>
    </row>
    <row r="8022" spans="25:25" hidden="1" x14ac:dyDescent="0.25">
      <c r="Y8022" s="501"/>
    </row>
    <row r="8023" spans="25:25" hidden="1" x14ac:dyDescent="0.25">
      <c r="Y8023" s="501"/>
    </row>
    <row r="8024" spans="25:25" hidden="1" x14ac:dyDescent="0.25">
      <c r="Y8024" s="501"/>
    </row>
    <row r="8025" spans="25:25" hidden="1" x14ac:dyDescent="0.25">
      <c r="Y8025" s="501"/>
    </row>
    <row r="8026" spans="25:25" hidden="1" x14ac:dyDescent="0.25">
      <c r="Y8026" s="501"/>
    </row>
    <row r="8027" spans="25:25" hidden="1" x14ac:dyDescent="0.25">
      <c r="Y8027" s="501"/>
    </row>
    <row r="8028" spans="25:25" hidden="1" x14ac:dyDescent="0.25">
      <c r="Y8028" s="501"/>
    </row>
    <row r="8029" spans="25:25" hidden="1" x14ac:dyDescent="0.25">
      <c r="Y8029" s="501"/>
    </row>
    <row r="8030" spans="25:25" hidden="1" x14ac:dyDescent="0.25">
      <c r="Y8030" s="501"/>
    </row>
    <row r="8031" spans="25:25" hidden="1" x14ac:dyDescent="0.25">
      <c r="Y8031" s="501"/>
    </row>
    <row r="8032" spans="25:25" hidden="1" x14ac:dyDescent="0.25">
      <c r="Y8032" s="501"/>
    </row>
    <row r="8033" spans="25:25" hidden="1" x14ac:dyDescent="0.25">
      <c r="Y8033" s="501"/>
    </row>
    <row r="8034" spans="25:25" hidden="1" x14ac:dyDescent="0.25">
      <c r="Y8034" s="501"/>
    </row>
    <row r="8035" spans="25:25" hidden="1" x14ac:dyDescent="0.25">
      <c r="Y8035" s="501"/>
    </row>
    <row r="8036" spans="25:25" hidden="1" x14ac:dyDescent="0.25">
      <c r="Y8036" s="501"/>
    </row>
    <row r="8037" spans="25:25" hidden="1" x14ac:dyDescent="0.25">
      <c r="Y8037" s="501"/>
    </row>
    <row r="8038" spans="25:25" hidden="1" x14ac:dyDescent="0.25">
      <c r="Y8038" s="501"/>
    </row>
    <row r="8039" spans="25:25" hidden="1" x14ac:dyDescent="0.25">
      <c r="Y8039" s="501"/>
    </row>
    <row r="8040" spans="25:25" hidden="1" x14ac:dyDescent="0.25">
      <c r="Y8040" s="501"/>
    </row>
    <row r="8041" spans="25:25" hidden="1" x14ac:dyDescent="0.25">
      <c r="Y8041" s="501"/>
    </row>
    <row r="8042" spans="25:25" hidden="1" x14ac:dyDescent="0.25">
      <c r="Y8042" s="501"/>
    </row>
    <row r="8043" spans="25:25" hidden="1" x14ac:dyDescent="0.25">
      <c r="Y8043" s="501"/>
    </row>
    <row r="8044" spans="25:25" hidden="1" x14ac:dyDescent="0.25">
      <c r="Y8044" s="501"/>
    </row>
    <row r="8045" spans="25:25" hidden="1" x14ac:dyDescent="0.25">
      <c r="Y8045" s="501"/>
    </row>
    <row r="8046" spans="25:25" hidden="1" x14ac:dyDescent="0.25">
      <c r="Y8046" s="501"/>
    </row>
    <row r="8047" spans="25:25" hidden="1" x14ac:dyDescent="0.25">
      <c r="Y8047" s="501"/>
    </row>
    <row r="8048" spans="25:25" hidden="1" x14ac:dyDescent="0.25">
      <c r="Y8048" s="501"/>
    </row>
    <row r="8049" spans="25:25" hidden="1" x14ac:dyDescent="0.25">
      <c r="Y8049" s="501"/>
    </row>
    <row r="8050" spans="25:25" hidden="1" x14ac:dyDescent="0.25">
      <c r="Y8050" s="501"/>
    </row>
    <row r="8051" spans="25:25" hidden="1" x14ac:dyDescent="0.25">
      <c r="Y8051" s="501"/>
    </row>
    <row r="8052" spans="25:25" hidden="1" x14ac:dyDescent="0.25">
      <c r="Y8052" s="501"/>
    </row>
    <row r="8053" spans="25:25" hidden="1" x14ac:dyDescent="0.25">
      <c r="Y8053" s="501"/>
    </row>
    <row r="8054" spans="25:25" hidden="1" x14ac:dyDescent="0.25">
      <c r="Y8054" s="501"/>
    </row>
    <row r="8055" spans="25:25" hidden="1" x14ac:dyDescent="0.25">
      <c r="Y8055" s="501"/>
    </row>
    <row r="8056" spans="25:25" hidden="1" x14ac:dyDescent="0.25">
      <c r="Y8056" s="501"/>
    </row>
    <row r="8057" spans="25:25" hidden="1" x14ac:dyDescent="0.25">
      <c r="Y8057" s="501"/>
    </row>
    <row r="8058" spans="25:25" hidden="1" x14ac:dyDescent="0.25">
      <c r="Y8058" s="501"/>
    </row>
    <row r="8059" spans="25:25" hidden="1" x14ac:dyDescent="0.25">
      <c r="Y8059" s="501"/>
    </row>
    <row r="8060" spans="25:25" hidden="1" x14ac:dyDescent="0.25">
      <c r="Y8060" s="501"/>
    </row>
    <row r="8061" spans="25:25" hidden="1" x14ac:dyDescent="0.25">
      <c r="Y8061" s="501"/>
    </row>
    <row r="8062" spans="25:25" hidden="1" x14ac:dyDescent="0.25">
      <c r="Y8062" s="501"/>
    </row>
    <row r="8063" spans="25:25" hidden="1" x14ac:dyDescent="0.25">
      <c r="Y8063" s="501"/>
    </row>
    <row r="8064" spans="25:25" hidden="1" x14ac:dyDescent="0.25">
      <c r="Y8064" s="501"/>
    </row>
    <row r="8065" spans="25:25" hidden="1" x14ac:dyDescent="0.25">
      <c r="Y8065" s="501"/>
    </row>
    <row r="8066" spans="25:25" hidden="1" x14ac:dyDescent="0.25">
      <c r="Y8066" s="501"/>
    </row>
    <row r="8067" spans="25:25" hidden="1" x14ac:dyDescent="0.25">
      <c r="Y8067" s="501"/>
    </row>
    <row r="8068" spans="25:25" hidden="1" x14ac:dyDescent="0.25">
      <c r="Y8068" s="501"/>
    </row>
    <row r="8069" spans="25:25" hidden="1" x14ac:dyDescent="0.25">
      <c r="Y8069" s="501"/>
    </row>
    <row r="8070" spans="25:25" hidden="1" x14ac:dyDescent="0.25">
      <c r="Y8070" s="501"/>
    </row>
    <row r="8071" spans="25:25" hidden="1" x14ac:dyDescent="0.25">
      <c r="Y8071" s="501"/>
    </row>
    <row r="8072" spans="25:25" hidden="1" x14ac:dyDescent="0.25">
      <c r="Y8072" s="501"/>
    </row>
    <row r="8073" spans="25:25" hidden="1" x14ac:dyDescent="0.25">
      <c r="Y8073" s="501"/>
    </row>
    <row r="8074" spans="25:25" hidden="1" x14ac:dyDescent="0.25">
      <c r="Y8074" s="501"/>
    </row>
    <row r="8075" spans="25:25" hidden="1" x14ac:dyDescent="0.25">
      <c r="Y8075" s="501"/>
    </row>
    <row r="8076" spans="25:25" hidden="1" x14ac:dyDescent="0.25">
      <c r="Y8076" s="501"/>
    </row>
    <row r="8077" spans="25:25" hidden="1" x14ac:dyDescent="0.25">
      <c r="Y8077" s="501"/>
    </row>
    <row r="8078" spans="25:25" hidden="1" x14ac:dyDescent="0.25">
      <c r="Y8078" s="501"/>
    </row>
    <row r="8079" spans="25:25" hidden="1" x14ac:dyDescent="0.25">
      <c r="Y8079" s="501"/>
    </row>
    <row r="8080" spans="25:25" hidden="1" x14ac:dyDescent="0.25">
      <c r="Y8080" s="501"/>
    </row>
    <row r="8081" spans="25:25" hidden="1" x14ac:dyDescent="0.25">
      <c r="Y8081" s="501"/>
    </row>
    <row r="8082" spans="25:25" hidden="1" x14ac:dyDescent="0.25">
      <c r="Y8082" s="501"/>
    </row>
    <row r="8083" spans="25:25" hidden="1" x14ac:dyDescent="0.25">
      <c r="Y8083" s="501"/>
    </row>
    <row r="8084" spans="25:25" hidden="1" x14ac:dyDescent="0.25">
      <c r="Y8084" s="501"/>
    </row>
    <row r="8085" spans="25:25" hidden="1" x14ac:dyDescent="0.25">
      <c r="Y8085" s="501"/>
    </row>
    <row r="8086" spans="25:25" hidden="1" x14ac:dyDescent="0.25">
      <c r="Y8086" s="501"/>
    </row>
    <row r="8087" spans="25:25" hidden="1" x14ac:dyDescent="0.25">
      <c r="Y8087" s="501"/>
    </row>
    <row r="8088" spans="25:25" hidden="1" x14ac:dyDescent="0.25">
      <c r="Y8088" s="501"/>
    </row>
    <row r="8089" spans="25:25" hidden="1" x14ac:dyDescent="0.25">
      <c r="Y8089" s="501"/>
    </row>
    <row r="8090" spans="25:25" hidden="1" x14ac:dyDescent="0.25">
      <c r="Y8090" s="501"/>
    </row>
    <row r="8091" spans="25:25" hidden="1" x14ac:dyDescent="0.25">
      <c r="Y8091" s="501"/>
    </row>
    <row r="8092" spans="25:25" hidden="1" x14ac:dyDescent="0.25">
      <c r="Y8092" s="501"/>
    </row>
    <row r="8093" spans="25:25" hidden="1" x14ac:dyDescent="0.25">
      <c r="Y8093" s="501"/>
    </row>
    <row r="8094" spans="25:25" hidden="1" x14ac:dyDescent="0.25">
      <c r="Y8094" s="501"/>
    </row>
    <row r="8095" spans="25:25" hidden="1" x14ac:dyDescent="0.25">
      <c r="Y8095" s="501"/>
    </row>
    <row r="8096" spans="25:25" hidden="1" x14ac:dyDescent="0.25">
      <c r="Y8096" s="501"/>
    </row>
    <row r="8097" spans="25:25" hidden="1" x14ac:dyDescent="0.25">
      <c r="Y8097" s="501"/>
    </row>
    <row r="8098" spans="25:25" hidden="1" x14ac:dyDescent="0.25">
      <c r="Y8098" s="501"/>
    </row>
    <row r="8099" spans="25:25" hidden="1" x14ac:dyDescent="0.25">
      <c r="Y8099" s="501"/>
    </row>
    <row r="8100" spans="25:25" hidden="1" x14ac:dyDescent="0.25">
      <c r="Y8100" s="501"/>
    </row>
    <row r="8101" spans="25:25" hidden="1" x14ac:dyDescent="0.25">
      <c r="Y8101" s="501"/>
    </row>
    <row r="8102" spans="25:25" hidden="1" x14ac:dyDescent="0.25">
      <c r="Y8102" s="501"/>
    </row>
    <row r="8103" spans="25:25" hidden="1" x14ac:dyDescent="0.25">
      <c r="Y8103" s="501"/>
    </row>
    <row r="8104" spans="25:25" hidden="1" x14ac:dyDescent="0.25">
      <c r="Y8104" s="501"/>
    </row>
    <row r="8105" spans="25:25" hidden="1" x14ac:dyDescent="0.25">
      <c r="Y8105" s="501"/>
    </row>
    <row r="8106" spans="25:25" hidden="1" x14ac:dyDescent="0.25">
      <c r="Y8106" s="501"/>
    </row>
    <row r="8107" spans="25:25" hidden="1" x14ac:dyDescent="0.25">
      <c r="Y8107" s="501"/>
    </row>
    <row r="8108" spans="25:25" hidden="1" x14ac:dyDescent="0.25">
      <c r="Y8108" s="501"/>
    </row>
    <row r="8109" spans="25:25" hidden="1" x14ac:dyDescent="0.25">
      <c r="Y8109" s="501"/>
    </row>
    <row r="8110" spans="25:25" hidden="1" x14ac:dyDescent="0.25">
      <c r="Y8110" s="501"/>
    </row>
    <row r="8111" spans="25:25" hidden="1" x14ac:dyDescent="0.25">
      <c r="Y8111" s="501"/>
    </row>
    <row r="8112" spans="25:25" hidden="1" x14ac:dyDescent="0.25">
      <c r="Y8112" s="501"/>
    </row>
    <row r="8113" spans="25:25" hidden="1" x14ac:dyDescent="0.25">
      <c r="Y8113" s="501"/>
    </row>
    <row r="8114" spans="25:25" hidden="1" x14ac:dyDescent="0.25">
      <c r="Y8114" s="501"/>
    </row>
    <row r="8115" spans="25:25" hidden="1" x14ac:dyDescent="0.25">
      <c r="Y8115" s="501"/>
    </row>
    <row r="8116" spans="25:25" hidden="1" x14ac:dyDescent="0.25">
      <c r="Y8116" s="501"/>
    </row>
    <row r="8117" spans="25:25" hidden="1" x14ac:dyDescent="0.25">
      <c r="Y8117" s="501"/>
    </row>
    <row r="8118" spans="25:25" hidden="1" x14ac:dyDescent="0.25">
      <c r="Y8118" s="501"/>
    </row>
    <row r="8119" spans="25:25" hidden="1" x14ac:dyDescent="0.25">
      <c r="Y8119" s="501"/>
    </row>
    <row r="8120" spans="25:25" hidden="1" x14ac:dyDescent="0.25">
      <c r="Y8120" s="501"/>
    </row>
    <row r="8121" spans="25:25" hidden="1" x14ac:dyDescent="0.25">
      <c r="Y8121" s="501"/>
    </row>
    <row r="8122" spans="25:25" hidden="1" x14ac:dyDescent="0.25">
      <c r="Y8122" s="501"/>
    </row>
    <row r="8123" spans="25:25" hidden="1" x14ac:dyDescent="0.25">
      <c r="Y8123" s="501"/>
    </row>
    <row r="8124" spans="25:25" hidden="1" x14ac:dyDescent="0.25">
      <c r="Y8124" s="501"/>
    </row>
    <row r="8125" spans="25:25" hidden="1" x14ac:dyDescent="0.25">
      <c r="Y8125" s="501"/>
    </row>
    <row r="8126" spans="25:25" hidden="1" x14ac:dyDescent="0.25">
      <c r="Y8126" s="501"/>
    </row>
    <row r="8127" spans="25:25" hidden="1" x14ac:dyDescent="0.25">
      <c r="Y8127" s="501"/>
    </row>
    <row r="8128" spans="25:25" hidden="1" x14ac:dyDescent="0.25">
      <c r="Y8128" s="501"/>
    </row>
    <row r="8129" spans="25:25" hidden="1" x14ac:dyDescent="0.25">
      <c r="Y8129" s="501"/>
    </row>
    <row r="8130" spans="25:25" hidden="1" x14ac:dyDescent="0.25">
      <c r="Y8130" s="501"/>
    </row>
    <row r="8131" spans="25:25" hidden="1" x14ac:dyDescent="0.25">
      <c r="Y8131" s="501"/>
    </row>
    <row r="8132" spans="25:25" hidden="1" x14ac:dyDescent="0.25">
      <c r="Y8132" s="501"/>
    </row>
    <row r="8133" spans="25:25" hidden="1" x14ac:dyDescent="0.25">
      <c r="Y8133" s="501"/>
    </row>
    <row r="8134" spans="25:25" hidden="1" x14ac:dyDescent="0.25">
      <c r="Y8134" s="501"/>
    </row>
    <row r="8135" spans="25:25" hidden="1" x14ac:dyDescent="0.25">
      <c r="Y8135" s="501"/>
    </row>
    <row r="8136" spans="25:25" hidden="1" x14ac:dyDescent="0.25">
      <c r="Y8136" s="501"/>
    </row>
    <row r="8137" spans="25:25" hidden="1" x14ac:dyDescent="0.25">
      <c r="Y8137" s="501"/>
    </row>
    <row r="8138" spans="25:25" hidden="1" x14ac:dyDescent="0.25">
      <c r="Y8138" s="501"/>
    </row>
    <row r="8139" spans="25:25" hidden="1" x14ac:dyDescent="0.25">
      <c r="Y8139" s="501"/>
    </row>
    <row r="8140" spans="25:25" hidden="1" x14ac:dyDescent="0.25">
      <c r="Y8140" s="501"/>
    </row>
    <row r="8141" spans="25:25" hidden="1" x14ac:dyDescent="0.25">
      <c r="Y8141" s="501"/>
    </row>
    <row r="8142" spans="25:25" hidden="1" x14ac:dyDescent="0.25">
      <c r="Y8142" s="501"/>
    </row>
    <row r="8143" spans="25:25" hidden="1" x14ac:dyDescent="0.25">
      <c r="Y8143" s="501"/>
    </row>
    <row r="8144" spans="25:25" hidden="1" x14ac:dyDescent="0.25">
      <c r="Y8144" s="501"/>
    </row>
    <row r="8145" spans="25:25" hidden="1" x14ac:dyDescent="0.25">
      <c r="Y8145" s="501"/>
    </row>
    <row r="8146" spans="25:25" hidden="1" x14ac:dyDescent="0.25">
      <c r="Y8146" s="501"/>
    </row>
    <row r="8147" spans="25:25" hidden="1" x14ac:dyDescent="0.25">
      <c r="Y8147" s="501"/>
    </row>
    <row r="8148" spans="25:25" hidden="1" x14ac:dyDescent="0.25">
      <c r="Y8148" s="501"/>
    </row>
    <row r="8149" spans="25:25" hidden="1" x14ac:dyDescent="0.25">
      <c r="Y8149" s="501"/>
    </row>
    <row r="8150" spans="25:25" hidden="1" x14ac:dyDescent="0.25">
      <c r="Y8150" s="501"/>
    </row>
    <row r="8151" spans="25:25" hidden="1" x14ac:dyDescent="0.25">
      <c r="Y8151" s="501"/>
    </row>
    <row r="8152" spans="25:25" hidden="1" x14ac:dyDescent="0.25">
      <c r="Y8152" s="501"/>
    </row>
    <row r="8153" spans="25:25" hidden="1" x14ac:dyDescent="0.25">
      <c r="Y8153" s="501"/>
    </row>
    <row r="8154" spans="25:25" hidden="1" x14ac:dyDescent="0.25">
      <c r="Y8154" s="501"/>
    </row>
    <row r="8155" spans="25:25" hidden="1" x14ac:dyDescent="0.25">
      <c r="Y8155" s="501"/>
    </row>
    <row r="8156" spans="25:25" hidden="1" x14ac:dyDescent="0.25">
      <c r="Y8156" s="501"/>
    </row>
    <row r="8157" spans="25:25" hidden="1" x14ac:dyDescent="0.25">
      <c r="Y8157" s="501"/>
    </row>
    <row r="8158" spans="25:25" hidden="1" x14ac:dyDescent="0.25">
      <c r="Y8158" s="501"/>
    </row>
    <row r="8159" spans="25:25" hidden="1" x14ac:dyDescent="0.25">
      <c r="Y8159" s="501"/>
    </row>
    <row r="8160" spans="25:25" hidden="1" x14ac:dyDescent="0.25">
      <c r="Y8160" s="501"/>
    </row>
    <row r="8161" spans="25:25" hidden="1" x14ac:dyDescent="0.25">
      <c r="Y8161" s="501"/>
    </row>
    <row r="8162" spans="25:25" hidden="1" x14ac:dyDescent="0.25">
      <c r="Y8162" s="501"/>
    </row>
    <row r="8163" spans="25:25" hidden="1" x14ac:dyDescent="0.25">
      <c r="Y8163" s="501"/>
    </row>
    <row r="8164" spans="25:25" hidden="1" x14ac:dyDescent="0.25">
      <c r="Y8164" s="501"/>
    </row>
    <row r="8165" spans="25:25" hidden="1" x14ac:dyDescent="0.25">
      <c r="Y8165" s="501"/>
    </row>
    <row r="8166" spans="25:25" hidden="1" x14ac:dyDescent="0.25">
      <c r="Y8166" s="501"/>
    </row>
    <row r="8167" spans="25:25" hidden="1" x14ac:dyDescent="0.25">
      <c r="Y8167" s="501"/>
    </row>
    <row r="8168" spans="25:25" hidden="1" x14ac:dyDescent="0.25">
      <c r="Y8168" s="501"/>
    </row>
    <row r="8169" spans="25:25" hidden="1" x14ac:dyDescent="0.25">
      <c r="Y8169" s="501"/>
    </row>
    <row r="8170" spans="25:25" hidden="1" x14ac:dyDescent="0.25">
      <c r="Y8170" s="501"/>
    </row>
    <row r="8171" spans="25:25" hidden="1" x14ac:dyDescent="0.25">
      <c r="Y8171" s="501"/>
    </row>
    <row r="8172" spans="25:25" hidden="1" x14ac:dyDescent="0.25">
      <c r="Y8172" s="501"/>
    </row>
    <row r="8173" spans="25:25" hidden="1" x14ac:dyDescent="0.25">
      <c r="Y8173" s="501"/>
    </row>
    <row r="8174" spans="25:25" hidden="1" x14ac:dyDescent="0.25">
      <c r="Y8174" s="501"/>
    </row>
    <row r="8175" spans="25:25" hidden="1" x14ac:dyDescent="0.25">
      <c r="Y8175" s="501"/>
    </row>
    <row r="8176" spans="25:25" hidden="1" x14ac:dyDescent="0.25">
      <c r="Y8176" s="501"/>
    </row>
    <row r="8177" spans="25:25" hidden="1" x14ac:dyDescent="0.25">
      <c r="Y8177" s="501"/>
    </row>
    <row r="8178" spans="25:25" hidden="1" x14ac:dyDescent="0.25">
      <c r="Y8178" s="501"/>
    </row>
    <row r="8179" spans="25:25" hidden="1" x14ac:dyDescent="0.25">
      <c r="Y8179" s="501"/>
    </row>
    <row r="8180" spans="25:25" hidden="1" x14ac:dyDescent="0.25">
      <c r="Y8180" s="501"/>
    </row>
    <row r="8181" spans="25:25" hidden="1" x14ac:dyDescent="0.25">
      <c r="Y8181" s="501"/>
    </row>
    <row r="8182" spans="25:25" hidden="1" x14ac:dyDescent="0.25">
      <c r="Y8182" s="501"/>
    </row>
    <row r="8183" spans="25:25" hidden="1" x14ac:dyDescent="0.25">
      <c r="Y8183" s="501"/>
    </row>
    <row r="8184" spans="25:25" hidden="1" x14ac:dyDescent="0.25">
      <c r="Y8184" s="501"/>
    </row>
    <row r="8185" spans="25:25" hidden="1" x14ac:dyDescent="0.25">
      <c r="Y8185" s="501"/>
    </row>
    <row r="8186" spans="25:25" hidden="1" x14ac:dyDescent="0.25">
      <c r="Y8186" s="501"/>
    </row>
    <row r="8187" spans="25:25" hidden="1" x14ac:dyDescent="0.25">
      <c r="Y8187" s="501"/>
    </row>
    <row r="8188" spans="25:25" hidden="1" x14ac:dyDescent="0.25">
      <c r="Y8188" s="501"/>
    </row>
    <row r="8189" spans="25:25" hidden="1" x14ac:dyDescent="0.25">
      <c r="Y8189" s="501"/>
    </row>
    <row r="8190" spans="25:25" hidden="1" x14ac:dyDescent="0.25">
      <c r="Y8190" s="501"/>
    </row>
    <row r="8191" spans="25:25" hidden="1" x14ac:dyDescent="0.25">
      <c r="Y8191" s="501"/>
    </row>
    <row r="8192" spans="25:25" hidden="1" x14ac:dyDescent="0.25">
      <c r="Y8192" s="501"/>
    </row>
    <row r="8193" spans="25:25" hidden="1" x14ac:dyDescent="0.25">
      <c r="Y8193" s="501"/>
    </row>
    <row r="8194" spans="25:25" hidden="1" x14ac:dyDescent="0.25">
      <c r="Y8194" s="501"/>
    </row>
    <row r="8195" spans="25:25" hidden="1" x14ac:dyDescent="0.25">
      <c r="Y8195" s="501"/>
    </row>
    <row r="8196" spans="25:25" hidden="1" x14ac:dyDescent="0.25">
      <c r="Y8196" s="501"/>
    </row>
    <row r="8197" spans="25:25" hidden="1" x14ac:dyDescent="0.25">
      <c r="Y8197" s="501"/>
    </row>
    <row r="8198" spans="25:25" hidden="1" x14ac:dyDescent="0.25">
      <c r="Y8198" s="501"/>
    </row>
    <row r="8199" spans="25:25" hidden="1" x14ac:dyDescent="0.25">
      <c r="Y8199" s="501"/>
    </row>
    <row r="8200" spans="25:25" hidden="1" x14ac:dyDescent="0.25">
      <c r="Y8200" s="501"/>
    </row>
    <row r="8201" spans="25:25" hidden="1" x14ac:dyDescent="0.25">
      <c r="Y8201" s="501"/>
    </row>
    <row r="8202" spans="25:25" hidden="1" x14ac:dyDescent="0.25">
      <c r="Y8202" s="501"/>
    </row>
    <row r="8203" spans="25:25" hidden="1" x14ac:dyDescent="0.25">
      <c r="Y8203" s="501"/>
    </row>
    <row r="8204" spans="25:25" hidden="1" x14ac:dyDescent="0.25">
      <c r="Y8204" s="501"/>
    </row>
    <row r="8205" spans="25:25" hidden="1" x14ac:dyDescent="0.25">
      <c r="Y8205" s="501"/>
    </row>
    <row r="8206" spans="25:25" hidden="1" x14ac:dyDescent="0.25">
      <c r="Y8206" s="501"/>
    </row>
    <row r="8207" spans="25:25" hidden="1" x14ac:dyDescent="0.25">
      <c r="Y8207" s="501"/>
    </row>
    <row r="8208" spans="25:25" hidden="1" x14ac:dyDescent="0.25">
      <c r="Y8208" s="501"/>
    </row>
    <row r="8209" spans="25:25" hidden="1" x14ac:dyDescent="0.25">
      <c r="Y8209" s="501"/>
    </row>
    <row r="8210" spans="25:25" hidden="1" x14ac:dyDescent="0.25">
      <c r="Y8210" s="501"/>
    </row>
    <row r="8211" spans="25:25" hidden="1" x14ac:dyDescent="0.25">
      <c r="Y8211" s="501"/>
    </row>
    <row r="8212" spans="25:25" hidden="1" x14ac:dyDescent="0.25">
      <c r="Y8212" s="501"/>
    </row>
    <row r="8213" spans="25:25" hidden="1" x14ac:dyDescent="0.25">
      <c r="Y8213" s="501"/>
    </row>
    <row r="8214" spans="25:25" hidden="1" x14ac:dyDescent="0.25">
      <c r="Y8214" s="501"/>
    </row>
    <row r="8215" spans="25:25" hidden="1" x14ac:dyDescent="0.25">
      <c r="Y8215" s="501"/>
    </row>
    <row r="8216" spans="25:25" hidden="1" x14ac:dyDescent="0.25">
      <c r="Y8216" s="501"/>
    </row>
    <row r="8217" spans="25:25" hidden="1" x14ac:dyDescent="0.25">
      <c r="Y8217" s="501"/>
    </row>
    <row r="8218" spans="25:25" hidden="1" x14ac:dyDescent="0.25">
      <c r="Y8218" s="501"/>
    </row>
    <row r="8219" spans="25:25" hidden="1" x14ac:dyDescent="0.25">
      <c r="Y8219" s="501"/>
    </row>
    <row r="8220" spans="25:25" hidden="1" x14ac:dyDescent="0.25">
      <c r="Y8220" s="501"/>
    </row>
    <row r="8221" spans="25:25" hidden="1" x14ac:dyDescent="0.25">
      <c r="Y8221" s="501"/>
    </row>
    <row r="8222" spans="25:25" hidden="1" x14ac:dyDescent="0.25">
      <c r="Y8222" s="501"/>
    </row>
    <row r="8223" spans="25:25" hidden="1" x14ac:dyDescent="0.25">
      <c r="Y8223" s="501"/>
    </row>
    <row r="8224" spans="25:25" hidden="1" x14ac:dyDescent="0.25">
      <c r="Y8224" s="501"/>
    </row>
    <row r="8225" spans="25:25" hidden="1" x14ac:dyDescent="0.25">
      <c r="Y8225" s="501"/>
    </row>
    <row r="8226" spans="25:25" hidden="1" x14ac:dyDescent="0.25">
      <c r="Y8226" s="501"/>
    </row>
    <row r="8227" spans="25:25" hidden="1" x14ac:dyDescent="0.25">
      <c r="Y8227" s="501"/>
    </row>
    <row r="8228" spans="25:25" hidden="1" x14ac:dyDescent="0.25">
      <c r="Y8228" s="501"/>
    </row>
    <row r="8229" spans="25:25" hidden="1" x14ac:dyDescent="0.25">
      <c r="Y8229" s="501"/>
    </row>
    <row r="8230" spans="25:25" hidden="1" x14ac:dyDescent="0.25">
      <c r="Y8230" s="501"/>
    </row>
    <row r="8231" spans="25:25" hidden="1" x14ac:dyDescent="0.25">
      <c r="Y8231" s="501"/>
    </row>
    <row r="8232" spans="25:25" hidden="1" x14ac:dyDescent="0.25">
      <c r="Y8232" s="501"/>
    </row>
    <row r="8233" spans="25:25" hidden="1" x14ac:dyDescent="0.25">
      <c r="Y8233" s="501"/>
    </row>
    <row r="8234" spans="25:25" hidden="1" x14ac:dyDescent="0.25">
      <c r="Y8234" s="501"/>
    </row>
    <row r="8235" spans="25:25" hidden="1" x14ac:dyDescent="0.25">
      <c r="Y8235" s="501"/>
    </row>
    <row r="8236" spans="25:25" hidden="1" x14ac:dyDescent="0.25">
      <c r="Y8236" s="501"/>
    </row>
    <row r="8237" spans="25:25" hidden="1" x14ac:dyDescent="0.25">
      <c r="Y8237" s="501"/>
    </row>
    <row r="8238" spans="25:25" hidden="1" x14ac:dyDescent="0.25">
      <c r="Y8238" s="501"/>
    </row>
    <row r="8239" spans="25:25" hidden="1" x14ac:dyDescent="0.25">
      <c r="Y8239" s="501"/>
    </row>
    <row r="8240" spans="25:25" hidden="1" x14ac:dyDescent="0.25">
      <c r="Y8240" s="501"/>
    </row>
    <row r="8241" spans="25:25" hidden="1" x14ac:dyDescent="0.25">
      <c r="Y8241" s="501"/>
    </row>
    <row r="8242" spans="25:25" hidden="1" x14ac:dyDescent="0.25">
      <c r="Y8242" s="501"/>
    </row>
    <row r="8243" spans="25:25" hidden="1" x14ac:dyDescent="0.25">
      <c r="Y8243" s="501"/>
    </row>
    <row r="8244" spans="25:25" hidden="1" x14ac:dyDescent="0.25">
      <c r="Y8244" s="501"/>
    </row>
    <row r="8245" spans="25:25" hidden="1" x14ac:dyDescent="0.25">
      <c r="Y8245" s="501"/>
    </row>
    <row r="8246" spans="25:25" hidden="1" x14ac:dyDescent="0.25">
      <c r="Y8246" s="501"/>
    </row>
    <row r="8247" spans="25:25" hidden="1" x14ac:dyDescent="0.25">
      <c r="Y8247" s="501"/>
    </row>
    <row r="8248" spans="25:25" hidden="1" x14ac:dyDescent="0.25">
      <c r="Y8248" s="501"/>
    </row>
    <row r="8249" spans="25:25" hidden="1" x14ac:dyDescent="0.25">
      <c r="Y8249" s="501"/>
    </row>
    <row r="8250" spans="25:25" hidden="1" x14ac:dyDescent="0.25">
      <c r="Y8250" s="501"/>
    </row>
    <row r="8251" spans="25:25" hidden="1" x14ac:dyDescent="0.25">
      <c r="Y8251" s="501"/>
    </row>
    <row r="8252" spans="25:25" hidden="1" x14ac:dyDescent="0.25">
      <c r="Y8252" s="501"/>
    </row>
    <row r="8253" spans="25:25" hidden="1" x14ac:dyDescent="0.25">
      <c r="Y8253" s="501"/>
    </row>
    <row r="8254" spans="25:25" hidden="1" x14ac:dyDescent="0.25">
      <c r="Y8254" s="501"/>
    </row>
    <row r="8255" spans="25:25" hidden="1" x14ac:dyDescent="0.25">
      <c r="Y8255" s="501"/>
    </row>
    <row r="8256" spans="25:25" hidden="1" x14ac:dyDescent="0.25">
      <c r="Y8256" s="501"/>
    </row>
    <row r="8257" spans="25:25" hidden="1" x14ac:dyDescent="0.25">
      <c r="Y8257" s="501"/>
    </row>
    <row r="8258" spans="25:25" hidden="1" x14ac:dyDescent="0.25">
      <c r="Y8258" s="501"/>
    </row>
    <row r="8259" spans="25:25" hidden="1" x14ac:dyDescent="0.25">
      <c r="Y8259" s="501"/>
    </row>
    <row r="8260" spans="25:25" hidden="1" x14ac:dyDescent="0.25">
      <c r="Y8260" s="501"/>
    </row>
    <row r="8261" spans="25:25" hidden="1" x14ac:dyDescent="0.25">
      <c r="Y8261" s="501"/>
    </row>
    <row r="8262" spans="25:25" hidden="1" x14ac:dyDescent="0.25">
      <c r="Y8262" s="501"/>
    </row>
    <row r="8263" spans="25:25" hidden="1" x14ac:dyDescent="0.25">
      <c r="Y8263" s="501"/>
    </row>
    <row r="8264" spans="25:25" hidden="1" x14ac:dyDescent="0.25">
      <c r="Y8264" s="501"/>
    </row>
    <row r="8265" spans="25:25" hidden="1" x14ac:dyDescent="0.25">
      <c r="Y8265" s="501"/>
    </row>
    <row r="8266" spans="25:25" hidden="1" x14ac:dyDescent="0.25">
      <c r="Y8266" s="501"/>
    </row>
    <row r="8267" spans="25:25" hidden="1" x14ac:dyDescent="0.25">
      <c r="Y8267" s="501"/>
    </row>
    <row r="8268" spans="25:25" hidden="1" x14ac:dyDescent="0.25">
      <c r="Y8268" s="501"/>
    </row>
    <row r="8269" spans="25:25" hidden="1" x14ac:dyDescent="0.25">
      <c r="Y8269" s="501"/>
    </row>
    <row r="8270" spans="25:25" hidden="1" x14ac:dyDescent="0.25">
      <c r="Y8270" s="501"/>
    </row>
    <row r="8271" spans="25:25" hidden="1" x14ac:dyDescent="0.25">
      <c r="Y8271" s="501"/>
    </row>
    <row r="8272" spans="25:25" hidden="1" x14ac:dyDescent="0.25">
      <c r="Y8272" s="501"/>
    </row>
    <row r="8273" spans="25:25" hidden="1" x14ac:dyDescent="0.25">
      <c r="Y8273" s="501"/>
    </row>
    <row r="8274" spans="25:25" hidden="1" x14ac:dyDescent="0.25">
      <c r="Y8274" s="501"/>
    </row>
    <row r="8275" spans="25:25" hidden="1" x14ac:dyDescent="0.25">
      <c r="Y8275" s="501"/>
    </row>
    <row r="8276" spans="25:25" hidden="1" x14ac:dyDescent="0.25">
      <c r="Y8276" s="501"/>
    </row>
    <row r="8277" spans="25:25" hidden="1" x14ac:dyDescent="0.25">
      <c r="Y8277" s="501"/>
    </row>
    <row r="8278" spans="25:25" hidden="1" x14ac:dyDescent="0.25">
      <c r="Y8278" s="501"/>
    </row>
    <row r="8279" spans="25:25" hidden="1" x14ac:dyDescent="0.25">
      <c r="Y8279" s="501"/>
    </row>
    <row r="8280" spans="25:25" hidden="1" x14ac:dyDescent="0.25">
      <c r="Y8280" s="501"/>
    </row>
    <row r="8281" spans="25:25" hidden="1" x14ac:dyDescent="0.25">
      <c r="Y8281" s="501"/>
    </row>
    <row r="8282" spans="25:25" hidden="1" x14ac:dyDescent="0.25">
      <c r="Y8282" s="501"/>
    </row>
    <row r="8283" spans="25:25" hidden="1" x14ac:dyDescent="0.25">
      <c r="Y8283" s="501"/>
    </row>
    <row r="8284" spans="25:25" hidden="1" x14ac:dyDescent="0.25">
      <c r="Y8284" s="501"/>
    </row>
    <row r="8285" spans="25:25" hidden="1" x14ac:dyDescent="0.25">
      <c r="Y8285" s="501"/>
    </row>
    <row r="8286" spans="25:25" hidden="1" x14ac:dyDescent="0.25">
      <c r="Y8286" s="501"/>
    </row>
    <row r="8287" spans="25:25" hidden="1" x14ac:dyDescent="0.25">
      <c r="Y8287" s="501"/>
    </row>
    <row r="8288" spans="25:25" hidden="1" x14ac:dyDescent="0.25">
      <c r="Y8288" s="501"/>
    </row>
    <row r="8289" spans="25:25" hidden="1" x14ac:dyDescent="0.25">
      <c r="Y8289" s="501"/>
    </row>
    <row r="8290" spans="25:25" hidden="1" x14ac:dyDescent="0.25">
      <c r="Y8290" s="501"/>
    </row>
    <row r="8291" spans="25:25" hidden="1" x14ac:dyDescent="0.25">
      <c r="Y8291" s="501"/>
    </row>
    <row r="8292" spans="25:25" hidden="1" x14ac:dyDescent="0.25">
      <c r="Y8292" s="501"/>
    </row>
    <row r="8293" spans="25:25" hidden="1" x14ac:dyDescent="0.25">
      <c r="Y8293" s="501"/>
    </row>
    <row r="8294" spans="25:25" hidden="1" x14ac:dyDescent="0.25">
      <c r="Y8294" s="501"/>
    </row>
    <row r="8295" spans="25:25" hidden="1" x14ac:dyDescent="0.25">
      <c r="Y8295" s="501"/>
    </row>
    <row r="8296" spans="25:25" hidden="1" x14ac:dyDescent="0.25">
      <c r="Y8296" s="501"/>
    </row>
    <row r="8297" spans="25:25" hidden="1" x14ac:dyDescent="0.25">
      <c r="Y8297" s="501"/>
    </row>
    <row r="8298" spans="25:25" hidden="1" x14ac:dyDescent="0.25">
      <c r="Y8298" s="501"/>
    </row>
    <row r="8299" spans="25:25" hidden="1" x14ac:dyDescent="0.25">
      <c r="Y8299" s="501"/>
    </row>
    <row r="8300" spans="25:25" hidden="1" x14ac:dyDescent="0.25">
      <c r="Y8300" s="501"/>
    </row>
    <row r="8301" spans="25:25" hidden="1" x14ac:dyDescent="0.25">
      <c r="Y8301" s="501"/>
    </row>
    <row r="8302" spans="25:25" hidden="1" x14ac:dyDescent="0.25">
      <c r="Y8302" s="501"/>
    </row>
    <row r="8303" spans="25:25" hidden="1" x14ac:dyDescent="0.25">
      <c r="Y8303" s="501"/>
    </row>
    <row r="8304" spans="25:25" hidden="1" x14ac:dyDescent="0.25">
      <c r="Y8304" s="501"/>
    </row>
    <row r="8305" spans="25:25" hidden="1" x14ac:dyDescent="0.25">
      <c r="Y8305" s="501"/>
    </row>
    <row r="8306" spans="25:25" hidden="1" x14ac:dyDescent="0.25">
      <c r="Y8306" s="501"/>
    </row>
    <row r="8307" spans="25:25" hidden="1" x14ac:dyDescent="0.25">
      <c r="Y8307" s="501"/>
    </row>
    <row r="8308" spans="25:25" hidden="1" x14ac:dyDescent="0.25">
      <c r="Y8308" s="501"/>
    </row>
    <row r="8309" spans="25:25" hidden="1" x14ac:dyDescent="0.25">
      <c r="Y8309" s="501"/>
    </row>
    <row r="8310" spans="25:25" hidden="1" x14ac:dyDescent="0.25">
      <c r="Y8310" s="501"/>
    </row>
    <row r="8311" spans="25:25" hidden="1" x14ac:dyDescent="0.25">
      <c r="Y8311" s="501"/>
    </row>
    <row r="8312" spans="25:25" hidden="1" x14ac:dyDescent="0.25">
      <c r="Y8312" s="501"/>
    </row>
    <row r="8313" spans="25:25" hidden="1" x14ac:dyDescent="0.25">
      <c r="Y8313" s="501"/>
    </row>
    <row r="8314" spans="25:25" hidden="1" x14ac:dyDescent="0.25">
      <c r="Y8314" s="501"/>
    </row>
    <row r="8315" spans="25:25" hidden="1" x14ac:dyDescent="0.25">
      <c r="Y8315" s="501"/>
    </row>
    <row r="8316" spans="25:25" hidden="1" x14ac:dyDescent="0.25">
      <c r="Y8316" s="501"/>
    </row>
    <row r="8317" spans="25:25" hidden="1" x14ac:dyDescent="0.25">
      <c r="Y8317" s="501"/>
    </row>
    <row r="8318" spans="25:25" hidden="1" x14ac:dyDescent="0.25">
      <c r="Y8318" s="501"/>
    </row>
    <row r="8319" spans="25:25" hidden="1" x14ac:dyDescent="0.25">
      <c r="Y8319" s="501"/>
    </row>
    <row r="8320" spans="25:25" hidden="1" x14ac:dyDescent="0.25">
      <c r="Y8320" s="501"/>
    </row>
    <row r="8321" spans="25:25" hidden="1" x14ac:dyDescent="0.25">
      <c r="Y8321" s="501"/>
    </row>
    <row r="8322" spans="25:25" hidden="1" x14ac:dyDescent="0.25">
      <c r="Y8322" s="501"/>
    </row>
    <row r="8323" spans="25:25" hidden="1" x14ac:dyDescent="0.25">
      <c r="Y8323" s="501"/>
    </row>
    <row r="8324" spans="25:25" hidden="1" x14ac:dyDescent="0.25">
      <c r="Y8324" s="501"/>
    </row>
    <row r="8325" spans="25:25" hidden="1" x14ac:dyDescent="0.25">
      <c r="Y8325" s="501"/>
    </row>
    <row r="8326" spans="25:25" hidden="1" x14ac:dyDescent="0.25">
      <c r="Y8326" s="501"/>
    </row>
    <row r="8327" spans="25:25" hidden="1" x14ac:dyDescent="0.25">
      <c r="Y8327" s="501"/>
    </row>
    <row r="8328" spans="25:25" hidden="1" x14ac:dyDescent="0.25">
      <c r="Y8328" s="501"/>
    </row>
    <row r="8329" spans="25:25" hidden="1" x14ac:dyDescent="0.25">
      <c r="Y8329" s="501"/>
    </row>
    <row r="8330" spans="25:25" hidden="1" x14ac:dyDescent="0.25">
      <c r="Y8330" s="501"/>
    </row>
    <row r="8331" spans="25:25" hidden="1" x14ac:dyDescent="0.25">
      <c r="Y8331" s="501"/>
    </row>
    <row r="8332" spans="25:25" hidden="1" x14ac:dyDescent="0.25">
      <c r="Y8332" s="501"/>
    </row>
    <row r="8333" spans="25:25" hidden="1" x14ac:dyDescent="0.25">
      <c r="Y8333" s="501"/>
    </row>
    <row r="8334" spans="25:25" hidden="1" x14ac:dyDescent="0.25">
      <c r="Y8334" s="501"/>
    </row>
    <row r="8335" spans="25:25" hidden="1" x14ac:dyDescent="0.25">
      <c r="Y8335" s="501"/>
    </row>
    <row r="8336" spans="25:25" hidden="1" x14ac:dyDescent="0.25">
      <c r="Y8336" s="501"/>
    </row>
    <row r="8337" spans="25:25" hidden="1" x14ac:dyDescent="0.25">
      <c r="Y8337" s="501"/>
    </row>
    <row r="8338" spans="25:25" hidden="1" x14ac:dyDescent="0.25">
      <c r="Y8338" s="501"/>
    </row>
    <row r="8339" spans="25:25" hidden="1" x14ac:dyDescent="0.25">
      <c r="Y8339" s="501"/>
    </row>
    <row r="8340" spans="25:25" hidden="1" x14ac:dyDescent="0.25">
      <c r="Y8340" s="501"/>
    </row>
    <row r="8341" spans="25:25" hidden="1" x14ac:dyDescent="0.25">
      <c r="Y8341" s="501"/>
    </row>
    <row r="8342" spans="25:25" hidden="1" x14ac:dyDescent="0.25">
      <c r="Y8342" s="501"/>
    </row>
    <row r="8343" spans="25:25" hidden="1" x14ac:dyDescent="0.25">
      <c r="Y8343" s="501"/>
    </row>
    <row r="8344" spans="25:25" hidden="1" x14ac:dyDescent="0.25">
      <c r="Y8344" s="501"/>
    </row>
    <row r="8345" spans="25:25" hidden="1" x14ac:dyDescent="0.25">
      <c r="Y8345" s="501"/>
    </row>
    <row r="8346" spans="25:25" hidden="1" x14ac:dyDescent="0.25">
      <c r="Y8346" s="501"/>
    </row>
    <row r="8347" spans="25:25" hidden="1" x14ac:dyDescent="0.25">
      <c r="Y8347" s="501"/>
    </row>
    <row r="8348" spans="25:25" hidden="1" x14ac:dyDescent="0.25">
      <c r="Y8348" s="501"/>
    </row>
    <row r="8349" spans="25:25" hidden="1" x14ac:dyDescent="0.25">
      <c r="Y8349" s="501"/>
    </row>
    <row r="8350" spans="25:25" hidden="1" x14ac:dyDescent="0.25">
      <c r="Y8350" s="501"/>
    </row>
    <row r="8351" spans="25:25" hidden="1" x14ac:dyDescent="0.25">
      <c r="Y8351" s="501"/>
    </row>
    <row r="8352" spans="25:25" hidden="1" x14ac:dyDescent="0.25">
      <c r="Y8352" s="501"/>
    </row>
    <row r="8353" spans="25:25" hidden="1" x14ac:dyDescent="0.25">
      <c r="Y8353" s="501"/>
    </row>
    <row r="8354" spans="25:25" hidden="1" x14ac:dyDescent="0.25">
      <c r="Y8354" s="501"/>
    </row>
    <row r="8355" spans="25:25" hidden="1" x14ac:dyDescent="0.25">
      <c r="Y8355" s="501"/>
    </row>
    <row r="8356" spans="25:25" hidden="1" x14ac:dyDescent="0.25">
      <c r="Y8356" s="501"/>
    </row>
    <row r="8357" spans="25:25" hidden="1" x14ac:dyDescent="0.25">
      <c r="Y8357" s="501"/>
    </row>
    <row r="8358" spans="25:25" hidden="1" x14ac:dyDescent="0.25">
      <c r="Y8358" s="501"/>
    </row>
    <row r="8359" spans="25:25" hidden="1" x14ac:dyDescent="0.25">
      <c r="Y8359" s="501"/>
    </row>
    <row r="8360" spans="25:25" hidden="1" x14ac:dyDescent="0.25">
      <c r="Y8360" s="501"/>
    </row>
    <row r="8361" spans="25:25" hidden="1" x14ac:dyDescent="0.25">
      <c r="Y8361" s="501"/>
    </row>
    <row r="8362" spans="25:25" hidden="1" x14ac:dyDescent="0.25">
      <c r="Y8362" s="501"/>
    </row>
    <row r="8363" spans="25:25" hidden="1" x14ac:dyDescent="0.25">
      <c r="Y8363" s="501"/>
    </row>
    <row r="8364" spans="25:25" hidden="1" x14ac:dyDescent="0.25">
      <c r="Y8364" s="501"/>
    </row>
    <row r="8365" spans="25:25" hidden="1" x14ac:dyDescent="0.25">
      <c r="Y8365" s="501"/>
    </row>
    <row r="8366" spans="25:25" hidden="1" x14ac:dyDescent="0.25">
      <c r="Y8366" s="501"/>
    </row>
    <row r="8367" spans="25:25" hidden="1" x14ac:dyDescent="0.25">
      <c r="Y8367" s="501"/>
    </row>
    <row r="8368" spans="25:25" hidden="1" x14ac:dyDescent="0.25">
      <c r="Y8368" s="501"/>
    </row>
    <row r="8369" spans="25:25" hidden="1" x14ac:dyDescent="0.25">
      <c r="Y8369" s="501"/>
    </row>
    <row r="8370" spans="25:25" hidden="1" x14ac:dyDescent="0.25">
      <c r="Y8370" s="501"/>
    </row>
    <row r="8371" spans="25:25" hidden="1" x14ac:dyDescent="0.25">
      <c r="Y8371" s="501"/>
    </row>
    <row r="8372" spans="25:25" hidden="1" x14ac:dyDescent="0.25">
      <c r="Y8372" s="501"/>
    </row>
    <row r="8373" spans="25:25" hidden="1" x14ac:dyDescent="0.25">
      <c r="Y8373" s="501"/>
    </row>
    <row r="8374" spans="25:25" hidden="1" x14ac:dyDescent="0.25">
      <c r="Y8374" s="501"/>
    </row>
    <row r="8375" spans="25:25" hidden="1" x14ac:dyDescent="0.25">
      <c r="Y8375" s="501"/>
    </row>
    <row r="8376" spans="25:25" hidden="1" x14ac:dyDescent="0.25">
      <c r="Y8376" s="501"/>
    </row>
    <row r="8377" spans="25:25" hidden="1" x14ac:dyDescent="0.25">
      <c r="Y8377" s="501"/>
    </row>
    <row r="8378" spans="25:25" hidden="1" x14ac:dyDescent="0.25">
      <c r="Y8378" s="501"/>
    </row>
    <row r="8379" spans="25:25" hidden="1" x14ac:dyDescent="0.25">
      <c r="Y8379" s="501"/>
    </row>
    <row r="8380" spans="25:25" hidden="1" x14ac:dyDescent="0.25">
      <c r="Y8380" s="501"/>
    </row>
    <row r="8381" spans="25:25" hidden="1" x14ac:dyDescent="0.25">
      <c r="Y8381" s="501"/>
    </row>
    <row r="8382" spans="25:25" hidden="1" x14ac:dyDescent="0.25">
      <c r="Y8382" s="501"/>
    </row>
    <row r="8383" spans="25:25" hidden="1" x14ac:dyDescent="0.25">
      <c r="Y8383" s="501"/>
    </row>
    <row r="8384" spans="25:25" hidden="1" x14ac:dyDescent="0.25">
      <c r="Y8384" s="501"/>
    </row>
    <row r="8385" spans="25:25" hidden="1" x14ac:dyDescent="0.25">
      <c r="Y8385" s="501"/>
    </row>
    <row r="8386" spans="25:25" hidden="1" x14ac:dyDescent="0.25">
      <c r="Y8386" s="501"/>
    </row>
    <row r="8387" spans="25:25" hidden="1" x14ac:dyDescent="0.25">
      <c r="Y8387" s="501"/>
    </row>
    <row r="8388" spans="25:25" hidden="1" x14ac:dyDescent="0.25">
      <c r="Y8388" s="501"/>
    </row>
    <row r="8389" spans="25:25" hidden="1" x14ac:dyDescent="0.25">
      <c r="Y8389" s="501"/>
    </row>
    <row r="8390" spans="25:25" hidden="1" x14ac:dyDescent="0.25">
      <c r="Y8390" s="501"/>
    </row>
    <row r="8391" spans="25:25" hidden="1" x14ac:dyDescent="0.25">
      <c r="Y8391" s="501"/>
    </row>
    <row r="8392" spans="25:25" hidden="1" x14ac:dyDescent="0.25">
      <c r="Y8392" s="501"/>
    </row>
    <row r="8393" spans="25:25" hidden="1" x14ac:dyDescent="0.25">
      <c r="Y8393" s="501"/>
    </row>
    <row r="8394" spans="25:25" hidden="1" x14ac:dyDescent="0.25">
      <c r="Y8394" s="501"/>
    </row>
    <row r="8395" spans="25:25" hidden="1" x14ac:dyDescent="0.25">
      <c r="Y8395" s="501"/>
    </row>
    <row r="8396" spans="25:25" hidden="1" x14ac:dyDescent="0.25">
      <c r="Y8396" s="501"/>
    </row>
    <row r="8397" spans="25:25" hidden="1" x14ac:dyDescent="0.25">
      <c r="Y8397" s="501"/>
    </row>
    <row r="8398" spans="25:25" hidden="1" x14ac:dyDescent="0.25">
      <c r="Y8398" s="501"/>
    </row>
    <row r="8399" spans="25:25" hidden="1" x14ac:dyDescent="0.25">
      <c r="Y8399" s="501"/>
    </row>
    <row r="8400" spans="25:25" hidden="1" x14ac:dyDescent="0.25">
      <c r="Y8400" s="501"/>
    </row>
    <row r="8401" spans="25:25" hidden="1" x14ac:dyDescent="0.25">
      <c r="Y8401" s="501"/>
    </row>
    <row r="8402" spans="25:25" hidden="1" x14ac:dyDescent="0.25">
      <c r="Y8402" s="501"/>
    </row>
    <row r="8403" spans="25:25" hidden="1" x14ac:dyDescent="0.25">
      <c r="Y8403" s="501"/>
    </row>
    <row r="8404" spans="25:25" hidden="1" x14ac:dyDescent="0.25">
      <c r="Y8404" s="501"/>
    </row>
    <row r="8405" spans="25:25" hidden="1" x14ac:dyDescent="0.25">
      <c r="Y8405" s="501"/>
    </row>
    <row r="8406" spans="25:25" hidden="1" x14ac:dyDescent="0.25">
      <c r="Y8406" s="501"/>
    </row>
    <row r="8407" spans="25:25" hidden="1" x14ac:dyDescent="0.25">
      <c r="Y8407" s="501"/>
    </row>
    <row r="8408" spans="25:25" hidden="1" x14ac:dyDescent="0.25">
      <c r="Y8408" s="501"/>
    </row>
    <row r="8409" spans="25:25" hidden="1" x14ac:dyDescent="0.25">
      <c r="Y8409" s="501"/>
    </row>
    <row r="8410" spans="25:25" hidden="1" x14ac:dyDescent="0.25">
      <c r="Y8410" s="501"/>
    </row>
    <row r="8411" spans="25:25" hidden="1" x14ac:dyDescent="0.25">
      <c r="Y8411" s="501"/>
    </row>
    <row r="8412" spans="25:25" hidden="1" x14ac:dyDescent="0.25">
      <c r="Y8412" s="501"/>
    </row>
    <row r="8413" spans="25:25" hidden="1" x14ac:dyDescent="0.25">
      <c r="Y8413" s="501"/>
    </row>
    <row r="8414" spans="25:25" hidden="1" x14ac:dyDescent="0.25">
      <c r="Y8414" s="501"/>
    </row>
    <row r="8415" spans="25:25" hidden="1" x14ac:dyDescent="0.25">
      <c r="Y8415" s="501"/>
    </row>
    <row r="8416" spans="25:25" hidden="1" x14ac:dyDescent="0.25">
      <c r="Y8416" s="501"/>
    </row>
    <row r="8417" spans="25:25" hidden="1" x14ac:dyDescent="0.25">
      <c r="Y8417" s="501"/>
    </row>
    <row r="8418" spans="25:25" hidden="1" x14ac:dyDescent="0.25">
      <c r="Y8418" s="501"/>
    </row>
    <row r="8419" spans="25:25" hidden="1" x14ac:dyDescent="0.25">
      <c r="Y8419" s="501"/>
    </row>
    <row r="8420" spans="25:25" hidden="1" x14ac:dyDescent="0.25">
      <c r="Y8420" s="501"/>
    </row>
    <row r="8421" spans="25:25" hidden="1" x14ac:dyDescent="0.25">
      <c r="Y8421" s="501"/>
    </row>
    <row r="8422" spans="25:25" hidden="1" x14ac:dyDescent="0.25">
      <c r="Y8422" s="501"/>
    </row>
    <row r="8423" spans="25:25" hidden="1" x14ac:dyDescent="0.25">
      <c r="Y8423" s="501"/>
    </row>
    <row r="8424" spans="25:25" hidden="1" x14ac:dyDescent="0.25">
      <c r="Y8424" s="501"/>
    </row>
    <row r="8425" spans="25:25" hidden="1" x14ac:dyDescent="0.25">
      <c r="Y8425" s="501"/>
    </row>
    <row r="8426" spans="25:25" hidden="1" x14ac:dyDescent="0.25">
      <c r="Y8426" s="501"/>
    </row>
    <row r="8427" spans="25:25" hidden="1" x14ac:dyDescent="0.25">
      <c r="Y8427" s="501"/>
    </row>
    <row r="8428" spans="25:25" hidden="1" x14ac:dyDescent="0.25">
      <c r="Y8428" s="501"/>
    </row>
    <row r="8429" spans="25:25" hidden="1" x14ac:dyDescent="0.25">
      <c r="Y8429" s="501"/>
    </row>
    <row r="8430" spans="25:25" hidden="1" x14ac:dyDescent="0.25">
      <c r="Y8430" s="501"/>
    </row>
    <row r="8431" spans="25:25" hidden="1" x14ac:dyDescent="0.25">
      <c r="Y8431" s="501"/>
    </row>
    <row r="8432" spans="25:25" hidden="1" x14ac:dyDescent="0.25">
      <c r="Y8432" s="501"/>
    </row>
    <row r="8433" spans="25:25" hidden="1" x14ac:dyDescent="0.25">
      <c r="Y8433" s="501"/>
    </row>
    <row r="8434" spans="25:25" hidden="1" x14ac:dyDescent="0.25">
      <c r="Y8434" s="501"/>
    </row>
    <row r="8435" spans="25:25" hidden="1" x14ac:dyDescent="0.25">
      <c r="Y8435" s="501"/>
    </row>
    <row r="8436" spans="25:25" hidden="1" x14ac:dyDescent="0.25">
      <c r="Y8436" s="501"/>
    </row>
    <row r="8437" spans="25:25" hidden="1" x14ac:dyDescent="0.25">
      <c r="Y8437" s="501"/>
    </row>
    <row r="8438" spans="25:25" hidden="1" x14ac:dyDescent="0.25">
      <c r="Y8438" s="501"/>
    </row>
    <row r="8439" spans="25:25" hidden="1" x14ac:dyDescent="0.25">
      <c r="Y8439" s="501"/>
    </row>
    <row r="8440" spans="25:25" hidden="1" x14ac:dyDescent="0.25">
      <c r="Y8440" s="501"/>
    </row>
    <row r="8441" spans="25:25" hidden="1" x14ac:dyDescent="0.25">
      <c r="Y8441" s="501"/>
    </row>
    <row r="8442" spans="25:25" hidden="1" x14ac:dyDescent="0.25">
      <c r="Y8442" s="501"/>
    </row>
    <row r="8443" spans="25:25" hidden="1" x14ac:dyDescent="0.25">
      <c r="Y8443" s="501"/>
    </row>
    <row r="8444" spans="25:25" hidden="1" x14ac:dyDescent="0.25">
      <c r="Y8444" s="501"/>
    </row>
    <row r="8445" spans="25:25" hidden="1" x14ac:dyDescent="0.25">
      <c r="Y8445" s="501"/>
    </row>
    <row r="8446" spans="25:25" hidden="1" x14ac:dyDescent="0.25">
      <c r="Y8446" s="501"/>
    </row>
    <row r="8447" spans="25:25" hidden="1" x14ac:dyDescent="0.25">
      <c r="Y8447" s="501"/>
    </row>
    <row r="8448" spans="25:25" hidden="1" x14ac:dyDescent="0.25">
      <c r="Y8448" s="501"/>
    </row>
    <row r="8449" spans="25:25" hidden="1" x14ac:dyDescent="0.25">
      <c r="Y8449" s="501"/>
    </row>
    <row r="8450" spans="25:25" hidden="1" x14ac:dyDescent="0.25">
      <c r="Y8450" s="501"/>
    </row>
    <row r="8451" spans="25:25" hidden="1" x14ac:dyDescent="0.25">
      <c r="Y8451" s="501"/>
    </row>
    <row r="8452" spans="25:25" hidden="1" x14ac:dyDescent="0.25">
      <c r="Y8452" s="501"/>
    </row>
    <row r="8453" spans="25:25" hidden="1" x14ac:dyDescent="0.25">
      <c r="Y8453" s="501"/>
    </row>
    <row r="8454" spans="25:25" hidden="1" x14ac:dyDescent="0.25">
      <c r="Y8454" s="501"/>
    </row>
    <row r="8455" spans="25:25" hidden="1" x14ac:dyDescent="0.25">
      <c r="Y8455" s="501"/>
    </row>
    <row r="8456" spans="25:25" hidden="1" x14ac:dyDescent="0.25">
      <c r="Y8456" s="501"/>
    </row>
    <row r="8457" spans="25:25" hidden="1" x14ac:dyDescent="0.25">
      <c r="Y8457" s="501"/>
    </row>
    <row r="8458" spans="25:25" hidden="1" x14ac:dyDescent="0.25">
      <c r="Y8458" s="501"/>
    </row>
    <row r="8459" spans="25:25" hidden="1" x14ac:dyDescent="0.25">
      <c r="Y8459" s="501"/>
    </row>
    <row r="8460" spans="25:25" hidden="1" x14ac:dyDescent="0.25">
      <c r="Y8460" s="501"/>
    </row>
    <row r="8461" spans="25:25" hidden="1" x14ac:dyDescent="0.25">
      <c r="Y8461" s="501"/>
    </row>
    <row r="8462" spans="25:25" hidden="1" x14ac:dyDescent="0.25">
      <c r="Y8462" s="501"/>
    </row>
    <row r="8463" spans="25:25" hidden="1" x14ac:dyDescent="0.25">
      <c r="Y8463" s="501"/>
    </row>
    <row r="8464" spans="25:25" hidden="1" x14ac:dyDescent="0.25">
      <c r="Y8464" s="501"/>
    </row>
    <row r="8465" spans="25:25" hidden="1" x14ac:dyDescent="0.25">
      <c r="Y8465" s="501"/>
    </row>
    <row r="8466" spans="25:25" hidden="1" x14ac:dyDescent="0.25">
      <c r="Y8466" s="501"/>
    </row>
    <row r="8467" spans="25:25" hidden="1" x14ac:dyDescent="0.25">
      <c r="Y8467" s="501"/>
    </row>
    <row r="8468" spans="25:25" hidden="1" x14ac:dyDescent="0.25">
      <c r="Y8468" s="501"/>
    </row>
    <row r="8469" spans="25:25" hidden="1" x14ac:dyDescent="0.25">
      <c r="Y8469" s="501"/>
    </row>
    <row r="8470" spans="25:25" hidden="1" x14ac:dyDescent="0.25">
      <c r="Y8470" s="501"/>
    </row>
    <row r="8471" spans="25:25" hidden="1" x14ac:dyDescent="0.25">
      <c r="Y8471" s="501"/>
    </row>
    <row r="8472" spans="25:25" hidden="1" x14ac:dyDescent="0.25">
      <c r="Y8472" s="501"/>
    </row>
    <row r="8473" spans="25:25" hidden="1" x14ac:dyDescent="0.25">
      <c r="Y8473" s="501"/>
    </row>
    <row r="8474" spans="25:25" hidden="1" x14ac:dyDescent="0.25">
      <c r="Y8474" s="501"/>
    </row>
    <row r="8475" spans="25:25" hidden="1" x14ac:dyDescent="0.25">
      <c r="Y8475" s="501"/>
    </row>
    <row r="8476" spans="25:25" hidden="1" x14ac:dyDescent="0.25">
      <c r="Y8476" s="501"/>
    </row>
    <row r="8477" spans="25:25" hidden="1" x14ac:dyDescent="0.25">
      <c r="Y8477" s="501"/>
    </row>
    <row r="8478" spans="25:25" hidden="1" x14ac:dyDescent="0.25">
      <c r="Y8478" s="501"/>
    </row>
    <row r="8479" spans="25:25" hidden="1" x14ac:dyDescent="0.25">
      <c r="Y8479" s="501"/>
    </row>
    <row r="8480" spans="25:25" hidden="1" x14ac:dyDescent="0.25">
      <c r="Y8480" s="501"/>
    </row>
    <row r="8481" spans="25:25" hidden="1" x14ac:dyDescent="0.25">
      <c r="Y8481" s="501"/>
    </row>
    <row r="8482" spans="25:25" hidden="1" x14ac:dyDescent="0.25">
      <c r="Y8482" s="501"/>
    </row>
    <row r="8483" spans="25:25" hidden="1" x14ac:dyDescent="0.25">
      <c r="Y8483" s="501"/>
    </row>
    <row r="8484" spans="25:25" hidden="1" x14ac:dyDescent="0.25">
      <c r="Y8484" s="501"/>
    </row>
    <row r="8485" spans="25:25" hidden="1" x14ac:dyDescent="0.25">
      <c r="Y8485" s="501"/>
    </row>
    <row r="8486" spans="25:25" hidden="1" x14ac:dyDescent="0.25">
      <c r="Y8486" s="501"/>
    </row>
    <row r="8487" spans="25:25" hidden="1" x14ac:dyDescent="0.25">
      <c r="Y8487" s="501"/>
    </row>
    <row r="8488" spans="25:25" hidden="1" x14ac:dyDescent="0.25">
      <c r="Y8488" s="501"/>
    </row>
    <row r="8489" spans="25:25" hidden="1" x14ac:dyDescent="0.25">
      <c r="Y8489" s="501"/>
    </row>
    <row r="8490" spans="25:25" hidden="1" x14ac:dyDescent="0.25">
      <c r="Y8490" s="501"/>
    </row>
    <row r="8491" spans="25:25" hidden="1" x14ac:dyDescent="0.25">
      <c r="Y8491" s="501"/>
    </row>
    <row r="8492" spans="25:25" hidden="1" x14ac:dyDescent="0.25">
      <c r="Y8492" s="501"/>
    </row>
    <row r="8493" spans="25:25" hidden="1" x14ac:dyDescent="0.25">
      <c r="Y8493" s="501"/>
    </row>
    <row r="8494" spans="25:25" hidden="1" x14ac:dyDescent="0.25">
      <c r="Y8494" s="501"/>
    </row>
    <row r="8495" spans="25:25" hidden="1" x14ac:dyDescent="0.25">
      <c r="Y8495" s="501"/>
    </row>
    <row r="8496" spans="25:25" hidden="1" x14ac:dyDescent="0.25">
      <c r="Y8496" s="501"/>
    </row>
    <row r="8497" spans="25:25" hidden="1" x14ac:dyDescent="0.25">
      <c r="Y8497" s="501"/>
    </row>
    <row r="8498" spans="25:25" hidden="1" x14ac:dyDescent="0.25">
      <c r="Y8498" s="501"/>
    </row>
    <row r="8499" spans="25:25" hidden="1" x14ac:dyDescent="0.25">
      <c r="Y8499" s="501"/>
    </row>
    <row r="8500" spans="25:25" hidden="1" x14ac:dyDescent="0.25">
      <c r="Y8500" s="501"/>
    </row>
    <row r="8501" spans="25:25" hidden="1" x14ac:dyDescent="0.25">
      <c r="Y8501" s="501"/>
    </row>
    <row r="8502" spans="25:25" hidden="1" x14ac:dyDescent="0.25">
      <c r="Y8502" s="501"/>
    </row>
    <row r="8503" spans="25:25" hidden="1" x14ac:dyDescent="0.25">
      <c r="Y8503" s="501"/>
    </row>
    <row r="8504" spans="25:25" hidden="1" x14ac:dyDescent="0.25">
      <c r="Y8504" s="501"/>
    </row>
    <row r="8505" spans="25:25" hidden="1" x14ac:dyDescent="0.25">
      <c r="Y8505" s="501"/>
    </row>
    <row r="8506" spans="25:25" hidden="1" x14ac:dyDescent="0.25">
      <c r="Y8506" s="501"/>
    </row>
    <row r="8507" spans="25:25" hidden="1" x14ac:dyDescent="0.25">
      <c r="Y8507" s="501"/>
    </row>
    <row r="8508" spans="25:25" hidden="1" x14ac:dyDescent="0.25">
      <c r="Y8508" s="501"/>
    </row>
    <row r="8509" spans="25:25" hidden="1" x14ac:dyDescent="0.25">
      <c r="Y8509" s="501"/>
    </row>
    <row r="8510" spans="25:25" hidden="1" x14ac:dyDescent="0.25">
      <c r="Y8510" s="501"/>
    </row>
    <row r="8511" spans="25:25" hidden="1" x14ac:dyDescent="0.25">
      <c r="Y8511" s="501"/>
    </row>
    <row r="8512" spans="25:25" hidden="1" x14ac:dyDescent="0.25">
      <c r="Y8512" s="501"/>
    </row>
    <row r="8513" spans="25:25" hidden="1" x14ac:dyDescent="0.25">
      <c r="Y8513" s="501"/>
    </row>
    <row r="8514" spans="25:25" hidden="1" x14ac:dyDescent="0.25">
      <c r="Y8514" s="501"/>
    </row>
    <row r="8515" spans="25:25" hidden="1" x14ac:dyDescent="0.25">
      <c r="Y8515" s="501"/>
    </row>
    <row r="8516" spans="25:25" hidden="1" x14ac:dyDescent="0.25">
      <c r="Y8516" s="501"/>
    </row>
    <row r="8517" spans="25:25" hidden="1" x14ac:dyDescent="0.25">
      <c r="Y8517" s="501"/>
    </row>
    <row r="8518" spans="25:25" hidden="1" x14ac:dyDescent="0.25">
      <c r="Y8518" s="501"/>
    </row>
    <row r="8519" spans="25:25" hidden="1" x14ac:dyDescent="0.25">
      <c r="Y8519" s="501"/>
    </row>
    <row r="8520" spans="25:25" hidden="1" x14ac:dyDescent="0.25">
      <c r="Y8520" s="501"/>
    </row>
    <row r="8521" spans="25:25" hidden="1" x14ac:dyDescent="0.25">
      <c r="Y8521" s="501"/>
    </row>
    <row r="8522" spans="25:25" hidden="1" x14ac:dyDescent="0.25">
      <c r="Y8522" s="501"/>
    </row>
    <row r="8523" spans="25:25" hidden="1" x14ac:dyDescent="0.25">
      <c r="Y8523" s="501"/>
    </row>
    <row r="8524" spans="25:25" hidden="1" x14ac:dyDescent="0.25">
      <c r="Y8524" s="501"/>
    </row>
    <row r="8525" spans="25:25" hidden="1" x14ac:dyDescent="0.25">
      <c r="Y8525" s="501"/>
    </row>
    <row r="8526" spans="25:25" hidden="1" x14ac:dyDescent="0.25">
      <c r="Y8526" s="501"/>
    </row>
    <row r="8527" spans="25:25" hidden="1" x14ac:dyDescent="0.25">
      <c r="Y8527" s="501"/>
    </row>
    <row r="8528" spans="25:25" hidden="1" x14ac:dyDescent="0.25">
      <c r="Y8528" s="501"/>
    </row>
    <row r="8529" spans="25:25" hidden="1" x14ac:dyDescent="0.25">
      <c r="Y8529" s="501"/>
    </row>
    <row r="8530" spans="25:25" hidden="1" x14ac:dyDescent="0.25">
      <c r="Y8530" s="501"/>
    </row>
    <row r="8531" spans="25:25" hidden="1" x14ac:dyDescent="0.25">
      <c r="Y8531" s="501"/>
    </row>
    <row r="8532" spans="25:25" hidden="1" x14ac:dyDescent="0.25">
      <c r="Y8532" s="501"/>
    </row>
    <row r="8533" spans="25:25" hidden="1" x14ac:dyDescent="0.25">
      <c r="Y8533" s="501"/>
    </row>
    <row r="8534" spans="25:25" hidden="1" x14ac:dyDescent="0.25">
      <c r="Y8534" s="501"/>
    </row>
    <row r="8535" spans="25:25" hidden="1" x14ac:dyDescent="0.25">
      <c r="Y8535" s="501"/>
    </row>
    <row r="8536" spans="25:25" hidden="1" x14ac:dyDescent="0.25">
      <c r="Y8536" s="501"/>
    </row>
    <row r="8537" spans="25:25" hidden="1" x14ac:dyDescent="0.25">
      <c r="Y8537" s="501"/>
    </row>
    <row r="8538" spans="25:25" hidden="1" x14ac:dyDescent="0.25">
      <c r="Y8538" s="501"/>
    </row>
    <row r="8539" spans="25:25" hidden="1" x14ac:dyDescent="0.25">
      <c r="Y8539" s="501"/>
    </row>
    <row r="8540" spans="25:25" hidden="1" x14ac:dyDescent="0.25">
      <c r="Y8540" s="501"/>
    </row>
    <row r="8541" spans="25:25" hidden="1" x14ac:dyDescent="0.25">
      <c r="Y8541" s="501"/>
    </row>
    <row r="8542" spans="25:25" hidden="1" x14ac:dyDescent="0.25">
      <c r="Y8542" s="501"/>
    </row>
    <row r="8543" spans="25:25" hidden="1" x14ac:dyDescent="0.25">
      <c r="Y8543" s="501"/>
    </row>
    <row r="8544" spans="25:25" hidden="1" x14ac:dyDescent="0.25">
      <c r="Y8544" s="501"/>
    </row>
    <row r="8545" spans="25:25" hidden="1" x14ac:dyDescent="0.25">
      <c r="Y8545" s="501"/>
    </row>
    <row r="8546" spans="25:25" hidden="1" x14ac:dyDescent="0.25">
      <c r="Y8546" s="501"/>
    </row>
    <row r="8547" spans="25:25" hidden="1" x14ac:dyDescent="0.25">
      <c r="Y8547" s="501"/>
    </row>
    <row r="8548" spans="25:25" hidden="1" x14ac:dyDescent="0.25">
      <c r="Y8548" s="501"/>
    </row>
    <row r="8549" spans="25:25" hidden="1" x14ac:dyDescent="0.25">
      <c r="Y8549" s="501"/>
    </row>
    <row r="8550" spans="25:25" hidden="1" x14ac:dyDescent="0.25">
      <c r="Y8550" s="501"/>
    </row>
    <row r="8551" spans="25:25" hidden="1" x14ac:dyDescent="0.25">
      <c r="Y8551" s="501"/>
    </row>
    <row r="8552" spans="25:25" hidden="1" x14ac:dyDescent="0.25">
      <c r="Y8552" s="501"/>
    </row>
    <row r="8553" spans="25:25" hidden="1" x14ac:dyDescent="0.25">
      <c r="Y8553" s="501"/>
    </row>
    <row r="8554" spans="25:25" hidden="1" x14ac:dyDescent="0.25">
      <c r="Y8554" s="501"/>
    </row>
    <row r="8555" spans="25:25" hidden="1" x14ac:dyDescent="0.25">
      <c r="Y8555" s="501"/>
    </row>
    <row r="8556" spans="25:25" hidden="1" x14ac:dyDescent="0.25">
      <c r="Y8556" s="501"/>
    </row>
    <row r="8557" spans="25:25" hidden="1" x14ac:dyDescent="0.25">
      <c r="Y8557" s="501"/>
    </row>
    <row r="8558" spans="25:25" hidden="1" x14ac:dyDescent="0.25">
      <c r="Y8558" s="501"/>
    </row>
    <row r="8559" spans="25:25" hidden="1" x14ac:dyDescent="0.25">
      <c r="Y8559" s="501"/>
    </row>
    <row r="8560" spans="25:25" hidden="1" x14ac:dyDescent="0.25">
      <c r="Y8560" s="501"/>
    </row>
    <row r="8561" spans="25:25" hidden="1" x14ac:dyDescent="0.25">
      <c r="Y8561" s="501"/>
    </row>
    <row r="8562" spans="25:25" hidden="1" x14ac:dyDescent="0.25">
      <c r="Y8562" s="501"/>
    </row>
    <row r="8563" spans="25:25" hidden="1" x14ac:dyDescent="0.25">
      <c r="Y8563" s="501"/>
    </row>
    <row r="8564" spans="25:25" hidden="1" x14ac:dyDescent="0.25">
      <c r="Y8564" s="501"/>
    </row>
    <row r="8565" spans="25:25" hidden="1" x14ac:dyDescent="0.25">
      <c r="Y8565" s="501"/>
    </row>
    <row r="8566" spans="25:25" hidden="1" x14ac:dyDescent="0.25">
      <c r="Y8566" s="501"/>
    </row>
    <row r="8567" spans="25:25" hidden="1" x14ac:dyDescent="0.25">
      <c r="Y8567" s="501"/>
    </row>
    <row r="8568" spans="25:25" hidden="1" x14ac:dyDescent="0.25">
      <c r="Y8568" s="501"/>
    </row>
    <row r="8569" spans="25:25" hidden="1" x14ac:dyDescent="0.25">
      <c r="Y8569" s="501"/>
    </row>
    <row r="8570" spans="25:25" hidden="1" x14ac:dyDescent="0.25">
      <c r="Y8570" s="501"/>
    </row>
    <row r="8571" spans="25:25" hidden="1" x14ac:dyDescent="0.25">
      <c r="Y8571" s="501"/>
    </row>
    <row r="8572" spans="25:25" hidden="1" x14ac:dyDescent="0.25">
      <c r="Y8572" s="501"/>
    </row>
    <row r="8573" spans="25:25" hidden="1" x14ac:dyDescent="0.25">
      <c r="Y8573" s="501"/>
    </row>
    <row r="8574" spans="25:25" hidden="1" x14ac:dyDescent="0.25">
      <c r="Y8574" s="501"/>
    </row>
    <row r="8575" spans="25:25" hidden="1" x14ac:dyDescent="0.25">
      <c r="Y8575" s="501"/>
    </row>
    <row r="8576" spans="25:25" hidden="1" x14ac:dyDescent="0.25">
      <c r="Y8576" s="501"/>
    </row>
    <row r="8577" spans="25:25" hidden="1" x14ac:dyDescent="0.25">
      <c r="Y8577" s="501"/>
    </row>
    <row r="8578" spans="25:25" hidden="1" x14ac:dyDescent="0.25">
      <c r="Y8578" s="501"/>
    </row>
    <row r="8579" spans="25:25" hidden="1" x14ac:dyDescent="0.25">
      <c r="Y8579" s="501"/>
    </row>
    <row r="8580" spans="25:25" hidden="1" x14ac:dyDescent="0.25">
      <c r="Y8580" s="501"/>
    </row>
    <row r="8581" spans="25:25" hidden="1" x14ac:dyDescent="0.25">
      <c r="Y8581" s="501"/>
    </row>
    <row r="8582" spans="25:25" hidden="1" x14ac:dyDescent="0.25">
      <c r="Y8582" s="501"/>
    </row>
    <row r="8583" spans="25:25" hidden="1" x14ac:dyDescent="0.25">
      <c r="Y8583" s="501"/>
    </row>
    <row r="8584" spans="25:25" hidden="1" x14ac:dyDescent="0.25">
      <c r="Y8584" s="501"/>
    </row>
    <row r="8585" spans="25:25" hidden="1" x14ac:dyDescent="0.25">
      <c r="Y8585" s="501"/>
    </row>
    <row r="8586" spans="25:25" hidden="1" x14ac:dyDescent="0.25">
      <c r="Y8586" s="501"/>
    </row>
    <row r="8587" spans="25:25" hidden="1" x14ac:dyDescent="0.25">
      <c r="Y8587" s="501"/>
    </row>
    <row r="8588" spans="25:25" hidden="1" x14ac:dyDescent="0.25">
      <c r="Y8588" s="501"/>
    </row>
    <row r="8589" spans="25:25" hidden="1" x14ac:dyDescent="0.25">
      <c r="Y8589" s="501"/>
    </row>
    <row r="8590" spans="25:25" hidden="1" x14ac:dyDescent="0.25">
      <c r="Y8590" s="501"/>
    </row>
    <row r="8591" spans="25:25" hidden="1" x14ac:dyDescent="0.25">
      <c r="Y8591" s="501"/>
    </row>
    <row r="8592" spans="25:25" hidden="1" x14ac:dyDescent="0.25">
      <c r="Y8592" s="501"/>
    </row>
    <row r="8593" spans="25:25" hidden="1" x14ac:dyDescent="0.25">
      <c r="Y8593" s="501"/>
    </row>
    <row r="8594" spans="25:25" hidden="1" x14ac:dyDescent="0.25">
      <c r="Y8594" s="501"/>
    </row>
    <row r="8595" spans="25:25" hidden="1" x14ac:dyDescent="0.25">
      <c r="Y8595" s="501"/>
    </row>
    <row r="8596" spans="25:25" hidden="1" x14ac:dyDescent="0.25">
      <c r="Y8596" s="501"/>
    </row>
    <row r="8597" spans="25:25" hidden="1" x14ac:dyDescent="0.25">
      <c r="Y8597" s="501"/>
    </row>
    <row r="8598" spans="25:25" hidden="1" x14ac:dyDescent="0.25">
      <c r="Y8598" s="501"/>
    </row>
    <row r="8599" spans="25:25" hidden="1" x14ac:dyDescent="0.25">
      <c r="Y8599" s="501"/>
    </row>
    <row r="8600" spans="25:25" hidden="1" x14ac:dyDescent="0.25">
      <c r="Y8600" s="501"/>
    </row>
    <row r="8601" spans="25:25" hidden="1" x14ac:dyDescent="0.25">
      <c r="Y8601" s="501"/>
    </row>
    <row r="8602" spans="25:25" hidden="1" x14ac:dyDescent="0.25">
      <c r="Y8602" s="501"/>
    </row>
    <row r="8603" spans="25:25" hidden="1" x14ac:dyDescent="0.25">
      <c r="Y8603" s="501"/>
    </row>
    <row r="8604" spans="25:25" hidden="1" x14ac:dyDescent="0.25">
      <c r="Y8604" s="501"/>
    </row>
    <row r="8605" spans="25:25" hidden="1" x14ac:dyDescent="0.25">
      <c r="Y8605" s="501"/>
    </row>
    <row r="8606" spans="25:25" hidden="1" x14ac:dyDescent="0.25">
      <c r="Y8606" s="501"/>
    </row>
    <row r="8607" spans="25:25" hidden="1" x14ac:dyDescent="0.25">
      <c r="Y8607" s="501"/>
    </row>
    <row r="8608" spans="25:25" hidden="1" x14ac:dyDescent="0.25">
      <c r="Y8608" s="501"/>
    </row>
    <row r="8609" spans="25:25" hidden="1" x14ac:dyDescent="0.25">
      <c r="Y8609" s="501"/>
    </row>
    <row r="8610" spans="25:25" hidden="1" x14ac:dyDescent="0.25">
      <c r="Y8610" s="501"/>
    </row>
    <row r="8611" spans="25:25" hidden="1" x14ac:dyDescent="0.25">
      <c r="Y8611" s="501"/>
    </row>
    <row r="8612" spans="25:25" hidden="1" x14ac:dyDescent="0.25">
      <c r="Y8612" s="501"/>
    </row>
    <row r="8613" spans="25:25" hidden="1" x14ac:dyDescent="0.25">
      <c r="Y8613" s="501"/>
    </row>
    <row r="8614" spans="25:25" hidden="1" x14ac:dyDescent="0.25">
      <c r="Y8614" s="501"/>
    </row>
    <row r="8615" spans="25:25" hidden="1" x14ac:dyDescent="0.25">
      <c r="Y8615" s="501"/>
    </row>
    <row r="8616" spans="25:25" hidden="1" x14ac:dyDescent="0.25">
      <c r="Y8616" s="501"/>
    </row>
    <row r="8617" spans="25:25" hidden="1" x14ac:dyDescent="0.25">
      <c r="Y8617" s="501"/>
    </row>
    <row r="8618" spans="25:25" hidden="1" x14ac:dyDescent="0.25">
      <c r="Y8618" s="501"/>
    </row>
    <row r="8619" spans="25:25" hidden="1" x14ac:dyDescent="0.25">
      <c r="Y8619" s="501"/>
    </row>
    <row r="8620" spans="25:25" hidden="1" x14ac:dyDescent="0.25">
      <c r="Y8620" s="501"/>
    </row>
    <row r="8621" spans="25:25" hidden="1" x14ac:dyDescent="0.25">
      <c r="Y8621" s="501"/>
    </row>
    <row r="8622" spans="25:25" hidden="1" x14ac:dyDescent="0.25">
      <c r="Y8622" s="501"/>
    </row>
    <row r="8623" spans="25:25" hidden="1" x14ac:dyDescent="0.25">
      <c r="Y8623" s="501"/>
    </row>
    <row r="8624" spans="25:25" hidden="1" x14ac:dyDescent="0.25">
      <c r="Y8624" s="501"/>
    </row>
    <row r="8625" spans="25:25" hidden="1" x14ac:dyDescent="0.25">
      <c r="Y8625" s="501"/>
    </row>
    <row r="8626" spans="25:25" hidden="1" x14ac:dyDescent="0.25">
      <c r="Y8626" s="501"/>
    </row>
    <row r="8627" spans="25:25" hidden="1" x14ac:dyDescent="0.25">
      <c r="Y8627" s="501"/>
    </row>
    <row r="8628" spans="25:25" hidden="1" x14ac:dyDescent="0.25">
      <c r="Y8628" s="501"/>
    </row>
    <row r="8629" spans="25:25" hidden="1" x14ac:dyDescent="0.25">
      <c r="Y8629" s="501"/>
    </row>
    <row r="8630" spans="25:25" hidden="1" x14ac:dyDescent="0.25">
      <c r="Y8630" s="501"/>
    </row>
    <row r="8631" spans="25:25" hidden="1" x14ac:dyDescent="0.25">
      <c r="Y8631" s="501"/>
    </row>
    <row r="8632" spans="25:25" hidden="1" x14ac:dyDescent="0.25">
      <c r="Y8632" s="501"/>
    </row>
    <row r="8633" spans="25:25" hidden="1" x14ac:dyDescent="0.25">
      <c r="Y8633" s="501"/>
    </row>
    <row r="8634" spans="25:25" hidden="1" x14ac:dyDescent="0.25">
      <c r="Y8634" s="501"/>
    </row>
    <row r="8635" spans="25:25" hidden="1" x14ac:dyDescent="0.25">
      <c r="Y8635" s="501"/>
    </row>
    <row r="8636" spans="25:25" hidden="1" x14ac:dyDescent="0.25">
      <c r="Y8636" s="501"/>
    </row>
    <row r="8637" spans="25:25" hidden="1" x14ac:dyDescent="0.25">
      <c r="Y8637" s="501"/>
    </row>
    <row r="8638" spans="25:25" hidden="1" x14ac:dyDescent="0.25">
      <c r="Y8638" s="501"/>
    </row>
    <row r="8639" spans="25:25" hidden="1" x14ac:dyDescent="0.25">
      <c r="Y8639" s="501"/>
    </row>
    <row r="8640" spans="25:25" hidden="1" x14ac:dyDescent="0.25">
      <c r="Y8640" s="501"/>
    </row>
    <row r="8641" spans="25:25" hidden="1" x14ac:dyDescent="0.25">
      <c r="Y8641" s="501"/>
    </row>
    <row r="8642" spans="25:25" hidden="1" x14ac:dyDescent="0.25">
      <c r="Y8642" s="501"/>
    </row>
    <row r="8643" spans="25:25" hidden="1" x14ac:dyDescent="0.25">
      <c r="Y8643" s="501"/>
    </row>
    <row r="8644" spans="25:25" hidden="1" x14ac:dyDescent="0.25">
      <c r="Y8644" s="501"/>
    </row>
    <row r="8645" spans="25:25" hidden="1" x14ac:dyDescent="0.25">
      <c r="Y8645" s="501"/>
    </row>
    <row r="8646" spans="25:25" hidden="1" x14ac:dyDescent="0.25">
      <c r="Y8646" s="501"/>
    </row>
    <row r="8647" spans="25:25" hidden="1" x14ac:dyDescent="0.25">
      <c r="Y8647" s="501"/>
    </row>
    <row r="8648" spans="25:25" hidden="1" x14ac:dyDescent="0.25">
      <c r="Y8648" s="501"/>
    </row>
    <row r="8649" spans="25:25" hidden="1" x14ac:dyDescent="0.25">
      <c r="Y8649" s="501"/>
    </row>
    <row r="8650" spans="25:25" hidden="1" x14ac:dyDescent="0.25">
      <c r="Y8650" s="501"/>
    </row>
    <row r="8651" spans="25:25" hidden="1" x14ac:dyDescent="0.25">
      <c r="Y8651" s="501"/>
    </row>
    <row r="8652" spans="25:25" hidden="1" x14ac:dyDescent="0.25">
      <c r="Y8652" s="501"/>
    </row>
    <row r="8653" spans="25:25" hidden="1" x14ac:dyDescent="0.25">
      <c r="Y8653" s="501"/>
    </row>
    <row r="8654" spans="25:25" hidden="1" x14ac:dyDescent="0.25">
      <c r="Y8654" s="501"/>
    </row>
    <row r="8655" spans="25:25" hidden="1" x14ac:dyDescent="0.25">
      <c r="Y8655" s="501"/>
    </row>
    <row r="8656" spans="25:25" hidden="1" x14ac:dyDescent="0.25">
      <c r="Y8656" s="501"/>
    </row>
    <row r="8657" spans="25:25" hidden="1" x14ac:dyDescent="0.25">
      <c r="Y8657" s="501"/>
    </row>
    <row r="8658" spans="25:25" hidden="1" x14ac:dyDescent="0.25">
      <c r="Y8658" s="501"/>
    </row>
    <row r="8659" spans="25:25" hidden="1" x14ac:dyDescent="0.25">
      <c r="Y8659" s="501"/>
    </row>
    <row r="8660" spans="25:25" hidden="1" x14ac:dyDescent="0.25">
      <c r="Y8660" s="501"/>
    </row>
    <row r="8661" spans="25:25" hidden="1" x14ac:dyDescent="0.25">
      <c r="Y8661" s="501"/>
    </row>
    <row r="8662" spans="25:25" hidden="1" x14ac:dyDescent="0.25">
      <c r="Y8662" s="501"/>
    </row>
    <row r="8663" spans="25:25" hidden="1" x14ac:dyDescent="0.25">
      <c r="Y8663" s="501"/>
    </row>
    <row r="8664" spans="25:25" hidden="1" x14ac:dyDescent="0.25">
      <c r="Y8664" s="501"/>
    </row>
    <row r="8665" spans="25:25" hidden="1" x14ac:dyDescent="0.25">
      <c r="Y8665" s="501"/>
    </row>
    <row r="8666" spans="25:25" hidden="1" x14ac:dyDescent="0.25">
      <c r="Y8666" s="501"/>
    </row>
    <row r="8667" spans="25:25" hidden="1" x14ac:dyDescent="0.25">
      <c r="Y8667" s="501"/>
    </row>
    <row r="8668" spans="25:25" hidden="1" x14ac:dyDescent="0.25">
      <c r="Y8668" s="501"/>
    </row>
    <row r="8669" spans="25:25" hidden="1" x14ac:dyDescent="0.25">
      <c r="Y8669" s="501"/>
    </row>
    <row r="8670" spans="25:25" hidden="1" x14ac:dyDescent="0.25">
      <c r="Y8670" s="501"/>
    </row>
    <row r="8671" spans="25:25" hidden="1" x14ac:dyDescent="0.25">
      <c r="Y8671" s="501"/>
    </row>
    <row r="8672" spans="25:25" hidden="1" x14ac:dyDescent="0.25">
      <c r="Y8672" s="501"/>
    </row>
    <row r="8673" spans="25:25" hidden="1" x14ac:dyDescent="0.25">
      <c r="Y8673" s="501"/>
    </row>
    <row r="8674" spans="25:25" hidden="1" x14ac:dyDescent="0.25">
      <c r="Y8674" s="501"/>
    </row>
    <row r="8675" spans="25:25" hidden="1" x14ac:dyDescent="0.25">
      <c r="Y8675" s="501"/>
    </row>
    <row r="8676" spans="25:25" hidden="1" x14ac:dyDescent="0.25">
      <c r="Y8676" s="501"/>
    </row>
    <row r="8677" spans="25:25" hidden="1" x14ac:dyDescent="0.25">
      <c r="Y8677" s="501"/>
    </row>
    <row r="8678" spans="25:25" hidden="1" x14ac:dyDescent="0.25">
      <c r="Y8678" s="501"/>
    </row>
    <row r="8679" spans="25:25" hidden="1" x14ac:dyDescent="0.25">
      <c r="Y8679" s="501"/>
    </row>
    <row r="8680" spans="25:25" hidden="1" x14ac:dyDescent="0.25">
      <c r="Y8680" s="501"/>
    </row>
    <row r="8681" spans="25:25" hidden="1" x14ac:dyDescent="0.25">
      <c r="Y8681" s="501"/>
    </row>
    <row r="8682" spans="25:25" hidden="1" x14ac:dyDescent="0.25">
      <c r="Y8682" s="501"/>
    </row>
    <row r="8683" spans="25:25" hidden="1" x14ac:dyDescent="0.25">
      <c r="Y8683" s="501"/>
    </row>
    <row r="8684" spans="25:25" hidden="1" x14ac:dyDescent="0.25">
      <c r="Y8684" s="501"/>
    </row>
    <row r="8685" spans="25:25" hidden="1" x14ac:dyDescent="0.25">
      <c r="Y8685" s="501"/>
    </row>
    <row r="8686" spans="25:25" hidden="1" x14ac:dyDescent="0.25">
      <c r="Y8686" s="501"/>
    </row>
    <row r="8687" spans="25:25" hidden="1" x14ac:dyDescent="0.25">
      <c r="Y8687" s="501"/>
    </row>
    <row r="8688" spans="25:25" hidden="1" x14ac:dyDescent="0.25">
      <c r="Y8688" s="501"/>
    </row>
    <row r="8689" spans="25:25" hidden="1" x14ac:dyDescent="0.25">
      <c r="Y8689" s="501"/>
    </row>
    <row r="8690" spans="25:25" hidden="1" x14ac:dyDescent="0.25">
      <c r="Y8690" s="501"/>
    </row>
    <row r="8691" spans="25:25" hidden="1" x14ac:dyDescent="0.25">
      <c r="Y8691" s="501"/>
    </row>
    <row r="8692" spans="25:25" hidden="1" x14ac:dyDescent="0.25">
      <c r="Y8692" s="501"/>
    </row>
    <row r="8693" spans="25:25" hidden="1" x14ac:dyDescent="0.25">
      <c r="Y8693" s="501"/>
    </row>
    <row r="8694" spans="25:25" hidden="1" x14ac:dyDescent="0.25">
      <c r="Y8694" s="501"/>
    </row>
    <row r="8695" spans="25:25" hidden="1" x14ac:dyDescent="0.25">
      <c r="Y8695" s="501"/>
    </row>
    <row r="8696" spans="25:25" hidden="1" x14ac:dyDescent="0.25">
      <c r="Y8696" s="501"/>
    </row>
    <row r="8697" spans="25:25" hidden="1" x14ac:dyDescent="0.25">
      <c r="Y8697" s="501"/>
    </row>
    <row r="8698" spans="25:25" hidden="1" x14ac:dyDescent="0.25">
      <c r="Y8698" s="501"/>
    </row>
    <row r="8699" spans="25:25" hidden="1" x14ac:dyDescent="0.25">
      <c r="Y8699" s="501"/>
    </row>
    <row r="8700" spans="25:25" hidden="1" x14ac:dyDescent="0.25">
      <c r="Y8700" s="501"/>
    </row>
    <row r="8701" spans="25:25" hidden="1" x14ac:dyDescent="0.25">
      <c r="Y8701" s="501"/>
    </row>
    <row r="8702" spans="25:25" hidden="1" x14ac:dyDescent="0.25">
      <c r="Y8702" s="501"/>
    </row>
    <row r="8703" spans="25:25" hidden="1" x14ac:dyDescent="0.25">
      <c r="Y8703" s="501"/>
    </row>
    <row r="8704" spans="25:25" hidden="1" x14ac:dyDescent="0.25">
      <c r="Y8704" s="501"/>
    </row>
    <row r="8705" spans="25:25" hidden="1" x14ac:dyDescent="0.25">
      <c r="Y8705" s="501"/>
    </row>
    <row r="8706" spans="25:25" hidden="1" x14ac:dyDescent="0.25">
      <c r="Y8706" s="501"/>
    </row>
    <row r="8707" spans="25:25" hidden="1" x14ac:dyDescent="0.25">
      <c r="Y8707" s="501"/>
    </row>
    <row r="8708" spans="25:25" hidden="1" x14ac:dyDescent="0.25">
      <c r="Y8708" s="501"/>
    </row>
    <row r="8709" spans="25:25" hidden="1" x14ac:dyDescent="0.25">
      <c r="Y8709" s="501"/>
    </row>
    <row r="8710" spans="25:25" hidden="1" x14ac:dyDescent="0.25">
      <c r="Y8710" s="501"/>
    </row>
    <row r="8711" spans="25:25" hidden="1" x14ac:dyDescent="0.25">
      <c r="Y8711" s="501"/>
    </row>
    <row r="8712" spans="25:25" hidden="1" x14ac:dyDescent="0.25">
      <c r="Y8712" s="501"/>
    </row>
    <row r="8713" spans="25:25" hidden="1" x14ac:dyDescent="0.25">
      <c r="Y8713" s="501"/>
    </row>
    <row r="8714" spans="25:25" hidden="1" x14ac:dyDescent="0.25">
      <c r="Y8714" s="501"/>
    </row>
    <row r="8715" spans="25:25" hidden="1" x14ac:dyDescent="0.25">
      <c r="Y8715" s="501"/>
    </row>
    <row r="8716" spans="25:25" hidden="1" x14ac:dyDescent="0.25">
      <c r="Y8716" s="501"/>
    </row>
    <row r="8717" spans="25:25" hidden="1" x14ac:dyDescent="0.25">
      <c r="Y8717" s="501"/>
    </row>
    <row r="8718" spans="25:25" hidden="1" x14ac:dyDescent="0.25">
      <c r="Y8718" s="501"/>
    </row>
    <row r="8719" spans="25:25" hidden="1" x14ac:dyDescent="0.25">
      <c r="Y8719" s="501"/>
    </row>
    <row r="8720" spans="25:25" hidden="1" x14ac:dyDescent="0.25">
      <c r="Y8720" s="501"/>
    </row>
    <row r="8721" spans="25:25" hidden="1" x14ac:dyDescent="0.25">
      <c r="Y8721" s="501"/>
    </row>
    <row r="8722" spans="25:25" hidden="1" x14ac:dyDescent="0.25">
      <c r="Y8722" s="501"/>
    </row>
    <row r="8723" spans="25:25" hidden="1" x14ac:dyDescent="0.25">
      <c r="Y8723" s="501"/>
    </row>
    <row r="8724" spans="25:25" hidden="1" x14ac:dyDescent="0.25">
      <c r="Y8724" s="501"/>
    </row>
    <row r="8725" spans="25:25" hidden="1" x14ac:dyDescent="0.25">
      <c r="Y8725" s="501"/>
    </row>
    <row r="8726" spans="25:25" hidden="1" x14ac:dyDescent="0.25">
      <c r="Y8726" s="501"/>
    </row>
    <row r="8727" spans="25:25" hidden="1" x14ac:dyDescent="0.25">
      <c r="Y8727" s="501"/>
    </row>
    <row r="8728" spans="25:25" hidden="1" x14ac:dyDescent="0.25">
      <c r="Y8728" s="501"/>
    </row>
    <row r="8729" spans="25:25" hidden="1" x14ac:dyDescent="0.25">
      <c r="Y8729" s="501"/>
    </row>
    <row r="8730" spans="25:25" hidden="1" x14ac:dyDescent="0.25">
      <c r="Y8730" s="501"/>
    </row>
    <row r="8731" spans="25:25" hidden="1" x14ac:dyDescent="0.25">
      <c r="Y8731" s="501"/>
    </row>
    <row r="8732" spans="25:25" hidden="1" x14ac:dyDescent="0.25">
      <c r="Y8732" s="501"/>
    </row>
    <row r="8733" spans="25:25" hidden="1" x14ac:dyDescent="0.25">
      <c r="Y8733" s="501"/>
    </row>
    <row r="8734" spans="25:25" hidden="1" x14ac:dyDescent="0.25">
      <c r="Y8734" s="501"/>
    </row>
    <row r="8735" spans="25:25" hidden="1" x14ac:dyDescent="0.25">
      <c r="Y8735" s="501"/>
    </row>
    <row r="8736" spans="25:25" hidden="1" x14ac:dyDescent="0.25">
      <c r="Y8736" s="501"/>
    </row>
    <row r="8737" spans="25:25" hidden="1" x14ac:dyDescent="0.25">
      <c r="Y8737" s="501"/>
    </row>
    <row r="8738" spans="25:25" hidden="1" x14ac:dyDescent="0.25">
      <c r="Y8738" s="501"/>
    </row>
    <row r="8739" spans="25:25" hidden="1" x14ac:dyDescent="0.25">
      <c r="Y8739" s="501"/>
    </row>
    <row r="8740" spans="25:25" hidden="1" x14ac:dyDescent="0.25">
      <c r="Y8740" s="501"/>
    </row>
    <row r="8741" spans="25:25" hidden="1" x14ac:dyDescent="0.25">
      <c r="Y8741" s="501"/>
    </row>
    <row r="8742" spans="25:25" hidden="1" x14ac:dyDescent="0.25">
      <c r="Y8742" s="501"/>
    </row>
    <row r="8743" spans="25:25" hidden="1" x14ac:dyDescent="0.25">
      <c r="Y8743" s="501"/>
    </row>
    <row r="8744" spans="25:25" hidden="1" x14ac:dyDescent="0.25">
      <c r="Y8744" s="501"/>
    </row>
    <row r="8745" spans="25:25" hidden="1" x14ac:dyDescent="0.25">
      <c r="Y8745" s="501"/>
    </row>
    <row r="8746" spans="25:25" hidden="1" x14ac:dyDescent="0.25">
      <c r="Y8746" s="501"/>
    </row>
    <row r="8747" spans="25:25" hidden="1" x14ac:dyDescent="0.25">
      <c r="Y8747" s="501"/>
    </row>
    <row r="8748" spans="25:25" hidden="1" x14ac:dyDescent="0.25">
      <c r="Y8748" s="501"/>
    </row>
    <row r="8749" spans="25:25" hidden="1" x14ac:dyDescent="0.25">
      <c r="Y8749" s="501"/>
    </row>
    <row r="8750" spans="25:25" hidden="1" x14ac:dyDescent="0.25">
      <c r="Y8750" s="501"/>
    </row>
    <row r="8751" spans="25:25" hidden="1" x14ac:dyDescent="0.25">
      <c r="Y8751" s="501"/>
    </row>
    <row r="8752" spans="25:25" hidden="1" x14ac:dyDescent="0.25">
      <c r="Y8752" s="501"/>
    </row>
    <row r="8753" spans="25:25" hidden="1" x14ac:dyDescent="0.25">
      <c r="Y8753" s="501"/>
    </row>
    <row r="8754" spans="25:25" hidden="1" x14ac:dyDescent="0.25">
      <c r="Y8754" s="501"/>
    </row>
    <row r="8755" spans="25:25" hidden="1" x14ac:dyDescent="0.25">
      <c r="Y8755" s="501"/>
    </row>
    <row r="8756" spans="25:25" hidden="1" x14ac:dyDescent="0.25">
      <c r="Y8756" s="501"/>
    </row>
    <row r="8757" spans="25:25" hidden="1" x14ac:dyDescent="0.25">
      <c r="Y8757" s="501"/>
    </row>
    <row r="8758" spans="25:25" hidden="1" x14ac:dyDescent="0.25">
      <c r="Y8758" s="501"/>
    </row>
    <row r="8759" spans="25:25" hidden="1" x14ac:dyDescent="0.25">
      <c r="Y8759" s="501"/>
    </row>
    <row r="8760" spans="25:25" hidden="1" x14ac:dyDescent="0.25">
      <c r="Y8760" s="501"/>
    </row>
    <row r="8761" spans="25:25" hidden="1" x14ac:dyDescent="0.25">
      <c r="Y8761" s="501"/>
    </row>
    <row r="8762" spans="25:25" hidden="1" x14ac:dyDescent="0.25">
      <c r="Y8762" s="501"/>
    </row>
    <row r="8763" spans="25:25" hidden="1" x14ac:dyDescent="0.25">
      <c r="Y8763" s="501"/>
    </row>
    <row r="8764" spans="25:25" hidden="1" x14ac:dyDescent="0.25">
      <c r="Y8764" s="501"/>
    </row>
    <row r="8765" spans="25:25" hidden="1" x14ac:dyDescent="0.25">
      <c r="Y8765" s="501"/>
    </row>
    <row r="8766" spans="25:25" hidden="1" x14ac:dyDescent="0.25">
      <c r="Y8766" s="501"/>
    </row>
    <row r="8767" spans="25:25" hidden="1" x14ac:dyDescent="0.25">
      <c r="Y8767" s="501"/>
    </row>
    <row r="8768" spans="25:25" hidden="1" x14ac:dyDescent="0.25">
      <c r="Y8768" s="501"/>
    </row>
    <row r="8769" spans="25:25" hidden="1" x14ac:dyDescent="0.25">
      <c r="Y8769" s="501"/>
    </row>
    <row r="8770" spans="25:25" hidden="1" x14ac:dyDescent="0.25">
      <c r="Y8770" s="501"/>
    </row>
    <row r="8771" spans="25:25" hidden="1" x14ac:dyDescent="0.25">
      <c r="Y8771" s="501"/>
    </row>
    <row r="8772" spans="25:25" hidden="1" x14ac:dyDescent="0.25">
      <c r="Y8772" s="501"/>
    </row>
    <row r="8773" spans="25:25" hidden="1" x14ac:dyDescent="0.25">
      <c r="Y8773" s="501"/>
    </row>
    <row r="8774" spans="25:25" hidden="1" x14ac:dyDescent="0.25">
      <c r="Y8774" s="501"/>
    </row>
    <row r="8775" spans="25:25" hidden="1" x14ac:dyDescent="0.25">
      <c r="Y8775" s="501"/>
    </row>
    <row r="8776" spans="25:25" hidden="1" x14ac:dyDescent="0.25">
      <c r="Y8776" s="501"/>
    </row>
    <row r="8777" spans="25:25" hidden="1" x14ac:dyDescent="0.25">
      <c r="Y8777" s="501"/>
    </row>
    <row r="8778" spans="25:25" hidden="1" x14ac:dyDescent="0.25">
      <c r="Y8778" s="501"/>
    </row>
    <row r="8779" spans="25:25" hidden="1" x14ac:dyDescent="0.25">
      <c r="Y8779" s="501"/>
    </row>
    <row r="8780" spans="25:25" hidden="1" x14ac:dyDescent="0.25">
      <c r="Y8780" s="501"/>
    </row>
    <row r="8781" spans="25:25" hidden="1" x14ac:dyDescent="0.25">
      <c r="Y8781" s="501"/>
    </row>
    <row r="8782" spans="25:25" hidden="1" x14ac:dyDescent="0.25">
      <c r="Y8782" s="501"/>
    </row>
    <row r="8783" spans="25:25" hidden="1" x14ac:dyDescent="0.25">
      <c r="Y8783" s="501"/>
    </row>
    <row r="8784" spans="25:25" hidden="1" x14ac:dyDescent="0.25">
      <c r="Y8784" s="501"/>
    </row>
    <row r="8785" spans="25:25" hidden="1" x14ac:dyDescent="0.25">
      <c r="Y8785" s="501"/>
    </row>
    <row r="8786" spans="25:25" hidden="1" x14ac:dyDescent="0.25">
      <c r="Y8786" s="501"/>
    </row>
    <row r="8787" spans="25:25" hidden="1" x14ac:dyDescent="0.25">
      <c r="Y8787" s="501"/>
    </row>
    <row r="8788" spans="25:25" hidden="1" x14ac:dyDescent="0.25">
      <c r="Y8788" s="501"/>
    </row>
    <row r="8789" spans="25:25" hidden="1" x14ac:dyDescent="0.25">
      <c r="Y8789" s="501"/>
    </row>
    <row r="8790" spans="25:25" hidden="1" x14ac:dyDescent="0.25">
      <c r="Y8790" s="501"/>
    </row>
    <row r="8791" spans="25:25" hidden="1" x14ac:dyDescent="0.25">
      <c r="Y8791" s="501"/>
    </row>
    <row r="8792" spans="25:25" hidden="1" x14ac:dyDescent="0.25">
      <c r="Y8792" s="501"/>
    </row>
    <row r="8793" spans="25:25" hidden="1" x14ac:dyDescent="0.25">
      <c r="Y8793" s="501"/>
    </row>
    <row r="8794" spans="25:25" hidden="1" x14ac:dyDescent="0.25">
      <c r="Y8794" s="501"/>
    </row>
    <row r="8795" spans="25:25" hidden="1" x14ac:dyDescent="0.25">
      <c r="Y8795" s="501"/>
    </row>
    <row r="8796" spans="25:25" hidden="1" x14ac:dyDescent="0.25">
      <c r="Y8796" s="501"/>
    </row>
    <row r="8797" spans="25:25" hidden="1" x14ac:dyDescent="0.25">
      <c r="Y8797" s="501"/>
    </row>
    <row r="8798" spans="25:25" hidden="1" x14ac:dyDescent="0.25">
      <c r="Y8798" s="501"/>
    </row>
    <row r="8799" spans="25:25" hidden="1" x14ac:dyDescent="0.25">
      <c r="Y8799" s="501"/>
    </row>
    <row r="8800" spans="25:25" hidden="1" x14ac:dyDescent="0.25">
      <c r="Y8800" s="501"/>
    </row>
    <row r="8801" spans="25:25" hidden="1" x14ac:dyDescent="0.25">
      <c r="Y8801" s="501"/>
    </row>
    <row r="8802" spans="25:25" hidden="1" x14ac:dyDescent="0.25">
      <c r="Y8802" s="501"/>
    </row>
    <row r="8803" spans="25:25" hidden="1" x14ac:dyDescent="0.25">
      <c r="Y8803" s="501"/>
    </row>
    <row r="8804" spans="25:25" hidden="1" x14ac:dyDescent="0.25">
      <c r="Y8804" s="501"/>
    </row>
    <row r="8805" spans="25:25" hidden="1" x14ac:dyDescent="0.25">
      <c r="Y8805" s="501"/>
    </row>
    <row r="8806" spans="25:25" hidden="1" x14ac:dyDescent="0.25">
      <c r="Y8806" s="501"/>
    </row>
    <row r="8807" spans="25:25" hidden="1" x14ac:dyDescent="0.25">
      <c r="Y8807" s="501"/>
    </row>
    <row r="8808" spans="25:25" hidden="1" x14ac:dyDescent="0.25">
      <c r="Y8808" s="501"/>
    </row>
    <row r="8809" spans="25:25" hidden="1" x14ac:dyDescent="0.25">
      <c r="Y8809" s="501"/>
    </row>
    <row r="8810" spans="25:25" hidden="1" x14ac:dyDescent="0.25">
      <c r="Y8810" s="501"/>
    </row>
    <row r="8811" spans="25:25" hidden="1" x14ac:dyDescent="0.25">
      <c r="Y8811" s="501"/>
    </row>
    <row r="8812" spans="25:25" hidden="1" x14ac:dyDescent="0.25">
      <c r="Y8812" s="501"/>
    </row>
    <row r="8813" spans="25:25" hidden="1" x14ac:dyDescent="0.25">
      <c r="Y8813" s="501"/>
    </row>
    <row r="8814" spans="25:25" hidden="1" x14ac:dyDescent="0.25">
      <c r="Y8814" s="501"/>
    </row>
    <row r="8815" spans="25:25" hidden="1" x14ac:dyDescent="0.25">
      <c r="Y8815" s="501"/>
    </row>
    <row r="8816" spans="25:25" hidden="1" x14ac:dyDescent="0.25">
      <c r="Y8816" s="501"/>
    </row>
    <row r="8817" spans="25:25" hidden="1" x14ac:dyDescent="0.25">
      <c r="Y8817" s="501"/>
    </row>
    <row r="8818" spans="25:25" hidden="1" x14ac:dyDescent="0.25">
      <c r="Y8818" s="501"/>
    </row>
    <row r="8819" spans="25:25" hidden="1" x14ac:dyDescent="0.25">
      <c r="Y8819" s="501"/>
    </row>
    <row r="8820" spans="25:25" hidden="1" x14ac:dyDescent="0.25">
      <c r="Y8820" s="501"/>
    </row>
    <row r="8821" spans="25:25" hidden="1" x14ac:dyDescent="0.25">
      <c r="Y8821" s="501"/>
    </row>
    <row r="8822" spans="25:25" hidden="1" x14ac:dyDescent="0.25">
      <c r="Y8822" s="501"/>
    </row>
    <row r="8823" spans="25:25" hidden="1" x14ac:dyDescent="0.25">
      <c r="Y8823" s="501"/>
    </row>
    <row r="8824" spans="25:25" hidden="1" x14ac:dyDescent="0.25">
      <c r="Y8824" s="501"/>
    </row>
    <row r="8825" spans="25:25" hidden="1" x14ac:dyDescent="0.25">
      <c r="Y8825" s="501"/>
    </row>
    <row r="8826" spans="25:25" hidden="1" x14ac:dyDescent="0.25">
      <c r="Y8826" s="501"/>
    </row>
    <row r="8827" spans="25:25" hidden="1" x14ac:dyDescent="0.25">
      <c r="Y8827" s="501"/>
    </row>
    <row r="8828" spans="25:25" hidden="1" x14ac:dyDescent="0.25">
      <c r="Y8828" s="501"/>
    </row>
    <row r="8829" spans="25:25" hidden="1" x14ac:dyDescent="0.25">
      <c r="Y8829" s="501"/>
    </row>
    <row r="8830" spans="25:25" hidden="1" x14ac:dyDescent="0.25">
      <c r="Y8830" s="501"/>
    </row>
    <row r="8831" spans="25:25" hidden="1" x14ac:dyDescent="0.25">
      <c r="Y8831" s="501"/>
    </row>
    <row r="8832" spans="25:25" hidden="1" x14ac:dyDescent="0.25">
      <c r="Y8832" s="501"/>
    </row>
    <row r="8833" spans="25:25" hidden="1" x14ac:dyDescent="0.25">
      <c r="Y8833" s="501"/>
    </row>
    <row r="8834" spans="25:25" hidden="1" x14ac:dyDescent="0.25">
      <c r="Y8834" s="501"/>
    </row>
    <row r="8835" spans="25:25" hidden="1" x14ac:dyDescent="0.25">
      <c r="Y8835" s="501"/>
    </row>
    <row r="8836" spans="25:25" hidden="1" x14ac:dyDescent="0.25">
      <c r="Y8836" s="501"/>
    </row>
    <row r="8837" spans="25:25" hidden="1" x14ac:dyDescent="0.25">
      <c r="Y8837" s="501"/>
    </row>
    <row r="8838" spans="25:25" hidden="1" x14ac:dyDescent="0.25">
      <c r="Y8838" s="501"/>
    </row>
    <row r="8839" spans="25:25" hidden="1" x14ac:dyDescent="0.25">
      <c r="Y8839" s="501"/>
    </row>
    <row r="8840" spans="25:25" hidden="1" x14ac:dyDescent="0.25">
      <c r="Y8840" s="501"/>
    </row>
    <row r="8841" spans="25:25" hidden="1" x14ac:dyDescent="0.25">
      <c r="Y8841" s="501"/>
    </row>
    <row r="8842" spans="25:25" hidden="1" x14ac:dyDescent="0.25">
      <c r="Y8842" s="501"/>
    </row>
    <row r="8843" spans="25:25" hidden="1" x14ac:dyDescent="0.25">
      <c r="Y8843" s="501"/>
    </row>
    <row r="8844" spans="25:25" hidden="1" x14ac:dyDescent="0.25">
      <c r="Y8844" s="501"/>
    </row>
    <row r="8845" spans="25:25" hidden="1" x14ac:dyDescent="0.25">
      <c r="Y8845" s="501"/>
    </row>
    <row r="8846" spans="25:25" hidden="1" x14ac:dyDescent="0.25">
      <c r="Y8846" s="501"/>
    </row>
    <row r="8847" spans="25:25" hidden="1" x14ac:dyDescent="0.25">
      <c r="Y8847" s="501"/>
    </row>
    <row r="8848" spans="25:25" hidden="1" x14ac:dyDescent="0.25">
      <c r="Y8848" s="501"/>
    </row>
    <row r="8849" spans="25:25" hidden="1" x14ac:dyDescent="0.25">
      <c r="Y8849" s="501"/>
    </row>
    <row r="8850" spans="25:25" hidden="1" x14ac:dyDescent="0.25">
      <c r="Y8850" s="501"/>
    </row>
    <row r="8851" spans="25:25" hidden="1" x14ac:dyDescent="0.25">
      <c r="Y8851" s="501"/>
    </row>
    <row r="8852" spans="25:25" hidden="1" x14ac:dyDescent="0.25">
      <c r="Y8852" s="501"/>
    </row>
    <row r="8853" spans="25:25" hidden="1" x14ac:dyDescent="0.25">
      <c r="Y8853" s="501"/>
    </row>
    <row r="8854" spans="25:25" hidden="1" x14ac:dyDescent="0.25">
      <c r="Y8854" s="501"/>
    </row>
    <row r="8855" spans="25:25" hidden="1" x14ac:dyDescent="0.25">
      <c r="Y8855" s="501"/>
    </row>
    <row r="8856" spans="25:25" hidden="1" x14ac:dyDescent="0.25">
      <c r="Y8856" s="501"/>
    </row>
    <row r="8857" spans="25:25" hidden="1" x14ac:dyDescent="0.25">
      <c r="Y8857" s="501"/>
    </row>
    <row r="8858" spans="25:25" hidden="1" x14ac:dyDescent="0.25">
      <c r="Y8858" s="501"/>
    </row>
    <row r="8859" spans="25:25" hidden="1" x14ac:dyDescent="0.25">
      <c r="Y8859" s="501"/>
    </row>
    <row r="8860" spans="25:25" hidden="1" x14ac:dyDescent="0.25">
      <c r="Y8860" s="501"/>
    </row>
    <row r="8861" spans="25:25" hidden="1" x14ac:dyDescent="0.25">
      <c r="Y8861" s="501"/>
    </row>
    <row r="8862" spans="25:25" hidden="1" x14ac:dyDescent="0.25">
      <c r="Y8862" s="501"/>
    </row>
    <row r="8863" spans="25:25" hidden="1" x14ac:dyDescent="0.25">
      <c r="Y8863" s="501"/>
    </row>
    <row r="8864" spans="25:25" hidden="1" x14ac:dyDescent="0.25">
      <c r="Y8864" s="501"/>
    </row>
    <row r="8865" spans="25:25" hidden="1" x14ac:dyDescent="0.25">
      <c r="Y8865" s="501"/>
    </row>
    <row r="8866" spans="25:25" hidden="1" x14ac:dyDescent="0.25">
      <c r="Y8866" s="501"/>
    </row>
    <row r="8867" spans="25:25" hidden="1" x14ac:dyDescent="0.25">
      <c r="Y8867" s="501"/>
    </row>
    <row r="8868" spans="25:25" hidden="1" x14ac:dyDescent="0.25">
      <c r="Y8868" s="501"/>
    </row>
    <row r="8869" spans="25:25" hidden="1" x14ac:dyDescent="0.25">
      <c r="Y8869" s="501"/>
    </row>
    <row r="8870" spans="25:25" hidden="1" x14ac:dyDescent="0.25">
      <c r="Y8870" s="501"/>
    </row>
    <row r="8871" spans="25:25" hidden="1" x14ac:dyDescent="0.25">
      <c r="Y8871" s="501"/>
    </row>
    <row r="8872" spans="25:25" hidden="1" x14ac:dyDescent="0.25">
      <c r="Y8872" s="501"/>
    </row>
    <row r="8873" spans="25:25" hidden="1" x14ac:dyDescent="0.25">
      <c r="Y8873" s="501"/>
    </row>
    <row r="8874" spans="25:25" hidden="1" x14ac:dyDescent="0.25">
      <c r="Y8874" s="501"/>
    </row>
    <row r="8875" spans="25:25" hidden="1" x14ac:dyDescent="0.25">
      <c r="Y8875" s="501"/>
    </row>
    <row r="8876" spans="25:25" hidden="1" x14ac:dyDescent="0.25">
      <c r="Y8876" s="501"/>
    </row>
    <row r="8877" spans="25:25" hidden="1" x14ac:dyDescent="0.25">
      <c r="Y8877" s="501"/>
    </row>
    <row r="8878" spans="25:25" hidden="1" x14ac:dyDescent="0.25">
      <c r="Y8878" s="501"/>
    </row>
    <row r="8879" spans="25:25" hidden="1" x14ac:dyDescent="0.25">
      <c r="Y8879" s="501"/>
    </row>
    <row r="8880" spans="25:25" hidden="1" x14ac:dyDescent="0.25">
      <c r="Y8880" s="501"/>
    </row>
    <row r="8881" spans="25:25" hidden="1" x14ac:dyDescent="0.25">
      <c r="Y8881" s="501"/>
    </row>
    <row r="8882" spans="25:25" hidden="1" x14ac:dyDescent="0.25">
      <c r="Y8882" s="501"/>
    </row>
    <row r="8883" spans="25:25" hidden="1" x14ac:dyDescent="0.25">
      <c r="Y8883" s="501"/>
    </row>
    <row r="8884" spans="25:25" hidden="1" x14ac:dyDescent="0.25">
      <c r="Y8884" s="501"/>
    </row>
    <row r="8885" spans="25:25" hidden="1" x14ac:dyDescent="0.25">
      <c r="Y8885" s="501"/>
    </row>
    <row r="8886" spans="25:25" hidden="1" x14ac:dyDescent="0.25">
      <c r="Y8886" s="501"/>
    </row>
    <row r="8887" spans="25:25" hidden="1" x14ac:dyDescent="0.25">
      <c r="Y8887" s="501"/>
    </row>
    <row r="8888" spans="25:25" hidden="1" x14ac:dyDescent="0.25">
      <c r="Y8888" s="501"/>
    </row>
    <row r="8889" spans="25:25" hidden="1" x14ac:dyDescent="0.25">
      <c r="Y8889" s="501"/>
    </row>
    <row r="8890" spans="25:25" hidden="1" x14ac:dyDescent="0.25">
      <c r="Y8890" s="501"/>
    </row>
    <row r="8891" spans="25:25" hidden="1" x14ac:dyDescent="0.25">
      <c r="Y8891" s="501"/>
    </row>
    <row r="8892" spans="25:25" hidden="1" x14ac:dyDescent="0.25">
      <c r="Y8892" s="501"/>
    </row>
    <row r="8893" spans="25:25" hidden="1" x14ac:dyDescent="0.25">
      <c r="Y8893" s="501"/>
    </row>
    <row r="8894" spans="25:25" hidden="1" x14ac:dyDescent="0.25">
      <c r="Y8894" s="501"/>
    </row>
    <row r="8895" spans="25:25" hidden="1" x14ac:dyDescent="0.25">
      <c r="Y8895" s="501"/>
    </row>
    <row r="8896" spans="25:25" hidden="1" x14ac:dyDescent="0.25">
      <c r="Y8896" s="501"/>
    </row>
    <row r="8897" spans="25:25" hidden="1" x14ac:dyDescent="0.25">
      <c r="Y8897" s="501"/>
    </row>
    <row r="8898" spans="25:25" hidden="1" x14ac:dyDescent="0.25">
      <c r="Y8898" s="501"/>
    </row>
    <row r="8899" spans="25:25" hidden="1" x14ac:dyDescent="0.25">
      <c r="Y8899" s="501"/>
    </row>
    <row r="8900" spans="25:25" hidden="1" x14ac:dyDescent="0.25">
      <c r="Y8900" s="501"/>
    </row>
    <row r="8901" spans="25:25" hidden="1" x14ac:dyDescent="0.25">
      <c r="Y8901" s="501"/>
    </row>
    <row r="8902" spans="25:25" hidden="1" x14ac:dyDescent="0.25">
      <c r="Y8902" s="501"/>
    </row>
    <row r="8903" spans="25:25" hidden="1" x14ac:dyDescent="0.25">
      <c r="Y8903" s="501"/>
    </row>
    <row r="8904" spans="25:25" hidden="1" x14ac:dyDescent="0.25">
      <c r="Y8904" s="501"/>
    </row>
    <row r="8905" spans="25:25" hidden="1" x14ac:dyDescent="0.25">
      <c r="Y8905" s="501"/>
    </row>
    <row r="8906" spans="25:25" hidden="1" x14ac:dyDescent="0.25">
      <c r="Y8906" s="501"/>
    </row>
    <row r="8907" spans="25:25" hidden="1" x14ac:dyDescent="0.25">
      <c r="Y8907" s="501"/>
    </row>
    <row r="8908" spans="25:25" hidden="1" x14ac:dyDescent="0.25">
      <c r="Y8908" s="501"/>
    </row>
    <row r="8909" spans="25:25" hidden="1" x14ac:dyDescent="0.25">
      <c r="Y8909" s="501"/>
    </row>
    <row r="8910" spans="25:25" hidden="1" x14ac:dyDescent="0.25">
      <c r="Y8910" s="501"/>
    </row>
    <row r="8911" spans="25:25" hidden="1" x14ac:dyDescent="0.25">
      <c r="Y8911" s="501"/>
    </row>
    <row r="8912" spans="25:25" hidden="1" x14ac:dyDescent="0.25">
      <c r="Y8912" s="501"/>
    </row>
    <row r="8913" spans="25:25" hidden="1" x14ac:dyDescent="0.25">
      <c r="Y8913" s="501"/>
    </row>
    <row r="8914" spans="25:25" hidden="1" x14ac:dyDescent="0.25">
      <c r="Y8914" s="501"/>
    </row>
    <row r="8915" spans="25:25" hidden="1" x14ac:dyDescent="0.25">
      <c r="Y8915" s="501"/>
    </row>
    <row r="8916" spans="25:25" hidden="1" x14ac:dyDescent="0.25">
      <c r="Y8916" s="501"/>
    </row>
    <row r="8917" spans="25:25" hidden="1" x14ac:dyDescent="0.25">
      <c r="Y8917" s="501"/>
    </row>
    <row r="8918" spans="25:25" hidden="1" x14ac:dyDescent="0.25">
      <c r="Y8918" s="501"/>
    </row>
    <row r="8919" spans="25:25" hidden="1" x14ac:dyDescent="0.25">
      <c r="Y8919" s="501"/>
    </row>
    <row r="8920" spans="25:25" hidden="1" x14ac:dyDescent="0.25">
      <c r="Y8920" s="501"/>
    </row>
    <row r="8921" spans="25:25" hidden="1" x14ac:dyDescent="0.25">
      <c r="Y8921" s="501"/>
    </row>
    <row r="8922" spans="25:25" hidden="1" x14ac:dyDescent="0.25">
      <c r="Y8922" s="501"/>
    </row>
    <row r="8923" spans="25:25" hidden="1" x14ac:dyDescent="0.25">
      <c r="Y8923" s="501"/>
    </row>
    <row r="8924" spans="25:25" hidden="1" x14ac:dyDescent="0.25">
      <c r="Y8924" s="501"/>
    </row>
    <row r="8925" spans="25:25" hidden="1" x14ac:dyDescent="0.25">
      <c r="Y8925" s="501"/>
    </row>
    <row r="8926" spans="25:25" hidden="1" x14ac:dyDescent="0.25">
      <c r="Y8926" s="501"/>
    </row>
    <row r="8927" spans="25:25" hidden="1" x14ac:dyDescent="0.25">
      <c r="Y8927" s="501"/>
    </row>
    <row r="8928" spans="25:25" hidden="1" x14ac:dyDescent="0.25">
      <c r="Y8928" s="501"/>
    </row>
    <row r="8929" spans="25:25" hidden="1" x14ac:dyDescent="0.25">
      <c r="Y8929" s="501"/>
    </row>
    <row r="8930" spans="25:25" hidden="1" x14ac:dyDescent="0.25">
      <c r="Y8930" s="501"/>
    </row>
    <row r="8931" spans="25:25" hidden="1" x14ac:dyDescent="0.25">
      <c r="Y8931" s="501"/>
    </row>
    <row r="8932" spans="25:25" hidden="1" x14ac:dyDescent="0.25">
      <c r="Y8932" s="501"/>
    </row>
    <row r="8933" spans="25:25" hidden="1" x14ac:dyDescent="0.25">
      <c r="Y8933" s="501"/>
    </row>
    <row r="8934" spans="25:25" hidden="1" x14ac:dyDescent="0.25">
      <c r="Y8934" s="501"/>
    </row>
    <row r="8935" spans="25:25" hidden="1" x14ac:dyDescent="0.25">
      <c r="Y8935" s="501"/>
    </row>
    <row r="8936" spans="25:25" hidden="1" x14ac:dyDescent="0.25">
      <c r="Y8936" s="501"/>
    </row>
    <row r="8937" spans="25:25" hidden="1" x14ac:dyDescent="0.25">
      <c r="Y8937" s="501"/>
    </row>
    <row r="8938" spans="25:25" hidden="1" x14ac:dyDescent="0.25">
      <c r="Y8938" s="501"/>
    </row>
    <row r="8939" spans="25:25" hidden="1" x14ac:dyDescent="0.25">
      <c r="Y8939" s="501"/>
    </row>
    <row r="8940" spans="25:25" hidden="1" x14ac:dyDescent="0.25">
      <c r="Y8940" s="501"/>
    </row>
    <row r="8941" spans="25:25" hidden="1" x14ac:dyDescent="0.25">
      <c r="Y8941" s="501"/>
    </row>
    <row r="8942" spans="25:25" hidden="1" x14ac:dyDescent="0.25">
      <c r="Y8942" s="501"/>
    </row>
    <row r="8943" spans="25:25" hidden="1" x14ac:dyDescent="0.25">
      <c r="Y8943" s="501"/>
    </row>
    <row r="8944" spans="25:25" hidden="1" x14ac:dyDescent="0.25">
      <c r="Y8944" s="501"/>
    </row>
    <row r="8945" spans="25:25" hidden="1" x14ac:dyDescent="0.25">
      <c r="Y8945" s="501"/>
    </row>
    <row r="8946" spans="25:25" hidden="1" x14ac:dyDescent="0.25">
      <c r="Y8946" s="501"/>
    </row>
    <row r="8947" spans="25:25" hidden="1" x14ac:dyDescent="0.25">
      <c r="Y8947" s="501"/>
    </row>
    <row r="8948" spans="25:25" hidden="1" x14ac:dyDescent="0.25">
      <c r="Y8948" s="501"/>
    </row>
    <row r="8949" spans="25:25" hidden="1" x14ac:dyDescent="0.25">
      <c r="Y8949" s="501"/>
    </row>
    <row r="8950" spans="25:25" hidden="1" x14ac:dyDescent="0.25">
      <c r="Y8950" s="501"/>
    </row>
    <row r="8951" spans="25:25" hidden="1" x14ac:dyDescent="0.25">
      <c r="Y8951" s="501"/>
    </row>
    <row r="8952" spans="25:25" hidden="1" x14ac:dyDescent="0.25">
      <c r="Y8952" s="501"/>
    </row>
    <row r="8953" spans="25:25" hidden="1" x14ac:dyDescent="0.25">
      <c r="Y8953" s="501"/>
    </row>
    <row r="8954" spans="25:25" hidden="1" x14ac:dyDescent="0.25">
      <c r="Y8954" s="501"/>
    </row>
    <row r="8955" spans="25:25" hidden="1" x14ac:dyDescent="0.25">
      <c r="Y8955" s="501"/>
    </row>
    <row r="8956" spans="25:25" hidden="1" x14ac:dyDescent="0.25">
      <c r="Y8956" s="501"/>
    </row>
    <row r="8957" spans="25:25" hidden="1" x14ac:dyDescent="0.25">
      <c r="Y8957" s="501"/>
    </row>
    <row r="8958" spans="25:25" hidden="1" x14ac:dyDescent="0.25">
      <c r="Y8958" s="501"/>
    </row>
    <row r="8959" spans="25:25" hidden="1" x14ac:dyDescent="0.25">
      <c r="Y8959" s="501"/>
    </row>
    <row r="8960" spans="25:25" hidden="1" x14ac:dyDescent="0.25">
      <c r="Y8960" s="501"/>
    </row>
    <row r="8961" spans="25:25" hidden="1" x14ac:dyDescent="0.25">
      <c r="Y8961" s="501"/>
    </row>
    <row r="8962" spans="25:25" hidden="1" x14ac:dyDescent="0.25">
      <c r="Y8962" s="501"/>
    </row>
    <row r="8963" spans="25:25" hidden="1" x14ac:dyDescent="0.25">
      <c r="Y8963" s="501"/>
    </row>
    <row r="8964" spans="25:25" hidden="1" x14ac:dyDescent="0.25">
      <c r="Y8964" s="501"/>
    </row>
    <row r="8965" spans="25:25" hidden="1" x14ac:dyDescent="0.25">
      <c r="Y8965" s="501"/>
    </row>
    <row r="8966" spans="25:25" hidden="1" x14ac:dyDescent="0.25">
      <c r="Y8966" s="501"/>
    </row>
    <row r="8967" spans="25:25" hidden="1" x14ac:dyDescent="0.25">
      <c r="Y8967" s="501"/>
    </row>
    <row r="8968" spans="25:25" hidden="1" x14ac:dyDescent="0.25">
      <c r="Y8968" s="501"/>
    </row>
    <row r="8969" spans="25:25" hidden="1" x14ac:dyDescent="0.25">
      <c r="Y8969" s="501"/>
    </row>
    <row r="8970" spans="25:25" hidden="1" x14ac:dyDescent="0.25">
      <c r="Y8970" s="501"/>
    </row>
    <row r="8971" spans="25:25" hidden="1" x14ac:dyDescent="0.25">
      <c r="Y8971" s="501"/>
    </row>
    <row r="8972" spans="25:25" hidden="1" x14ac:dyDescent="0.25">
      <c r="Y8972" s="501"/>
    </row>
    <row r="8973" spans="25:25" hidden="1" x14ac:dyDescent="0.25">
      <c r="Y8973" s="501"/>
    </row>
    <row r="8974" spans="25:25" hidden="1" x14ac:dyDescent="0.25">
      <c r="Y8974" s="501"/>
    </row>
    <row r="8975" spans="25:25" hidden="1" x14ac:dyDescent="0.25">
      <c r="Y8975" s="501"/>
    </row>
    <row r="8976" spans="25:25" hidden="1" x14ac:dyDescent="0.25">
      <c r="Y8976" s="501"/>
    </row>
    <row r="8977" spans="25:25" hidden="1" x14ac:dyDescent="0.25">
      <c r="Y8977" s="501"/>
    </row>
    <row r="8978" spans="25:25" hidden="1" x14ac:dyDescent="0.25">
      <c r="Y8978" s="501"/>
    </row>
    <row r="8979" spans="25:25" hidden="1" x14ac:dyDescent="0.25">
      <c r="Y8979" s="501"/>
    </row>
    <row r="8980" spans="25:25" hidden="1" x14ac:dyDescent="0.25">
      <c r="Y8980" s="501"/>
    </row>
    <row r="8981" spans="25:25" hidden="1" x14ac:dyDescent="0.25">
      <c r="Y8981" s="501"/>
    </row>
    <row r="8982" spans="25:25" hidden="1" x14ac:dyDescent="0.25">
      <c r="Y8982" s="501"/>
    </row>
    <row r="8983" spans="25:25" hidden="1" x14ac:dyDescent="0.25">
      <c r="Y8983" s="501"/>
    </row>
    <row r="8984" spans="25:25" hidden="1" x14ac:dyDescent="0.25">
      <c r="Y8984" s="501"/>
    </row>
    <row r="8985" spans="25:25" hidden="1" x14ac:dyDescent="0.25">
      <c r="Y8985" s="501"/>
    </row>
    <row r="8986" spans="25:25" hidden="1" x14ac:dyDescent="0.25">
      <c r="Y8986" s="501"/>
    </row>
    <row r="8987" spans="25:25" hidden="1" x14ac:dyDescent="0.25">
      <c r="Y8987" s="501"/>
    </row>
    <row r="8988" spans="25:25" hidden="1" x14ac:dyDescent="0.25">
      <c r="Y8988" s="501"/>
    </row>
    <row r="8989" spans="25:25" hidden="1" x14ac:dyDescent="0.25">
      <c r="Y8989" s="501"/>
    </row>
    <row r="8990" spans="25:25" hidden="1" x14ac:dyDescent="0.25">
      <c r="Y8990" s="501"/>
    </row>
    <row r="8991" spans="25:25" hidden="1" x14ac:dyDescent="0.25">
      <c r="Y8991" s="501"/>
    </row>
    <row r="8992" spans="25:25" hidden="1" x14ac:dyDescent="0.25">
      <c r="Y8992" s="501"/>
    </row>
    <row r="8993" spans="25:25" hidden="1" x14ac:dyDescent="0.25">
      <c r="Y8993" s="501"/>
    </row>
    <row r="8994" spans="25:25" hidden="1" x14ac:dyDescent="0.25">
      <c r="Y8994" s="501"/>
    </row>
    <row r="8995" spans="25:25" hidden="1" x14ac:dyDescent="0.25">
      <c r="Y8995" s="501"/>
    </row>
    <row r="8996" spans="25:25" hidden="1" x14ac:dyDescent="0.25">
      <c r="Y8996" s="501"/>
    </row>
    <row r="8997" spans="25:25" hidden="1" x14ac:dyDescent="0.25">
      <c r="Y8997" s="501"/>
    </row>
    <row r="8998" spans="25:25" hidden="1" x14ac:dyDescent="0.25">
      <c r="Y8998" s="501"/>
    </row>
    <row r="8999" spans="25:25" hidden="1" x14ac:dyDescent="0.25">
      <c r="Y8999" s="501"/>
    </row>
    <row r="9000" spans="25:25" hidden="1" x14ac:dyDescent="0.25">
      <c r="Y9000" s="501"/>
    </row>
    <row r="9001" spans="25:25" hidden="1" x14ac:dyDescent="0.25">
      <c r="Y9001" s="501"/>
    </row>
    <row r="9002" spans="25:25" hidden="1" x14ac:dyDescent="0.25">
      <c r="Y9002" s="501"/>
    </row>
    <row r="9003" spans="25:25" hidden="1" x14ac:dyDescent="0.25">
      <c r="Y9003" s="501"/>
    </row>
    <row r="9004" spans="25:25" hidden="1" x14ac:dyDescent="0.25">
      <c r="Y9004" s="501"/>
    </row>
    <row r="9005" spans="25:25" hidden="1" x14ac:dyDescent="0.25">
      <c r="Y9005" s="501"/>
    </row>
    <row r="9006" spans="25:25" hidden="1" x14ac:dyDescent="0.25">
      <c r="Y9006" s="501"/>
    </row>
    <row r="9007" spans="25:25" hidden="1" x14ac:dyDescent="0.25">
      <c r="Y9007" s="501"/>
    </row>
    <row r="9008" spans="25:25" hidden="1" x14ac:dyDescent="0.25">
      <c r="Y9008" s="501"/>
    </row>
    <row r="9009" spans="25:25" hidden="1" x14ac:dyDescent="0.25">
      <c r="Y9009" s="501"/>
    </row>
    <row r="9010" spans="25:25" hidden="1" x14ac:dyDescent="0.25">
      <c r="Y9010" s="501"/>
    </row>
    <row r="9011" spans="25:25" hidden="1" x14ac:dyDescent="0.25">
      <c r="Y9011" s="501"/>
    </row>
    <row r="9012" spans="25:25" hidden="1" x14ac:dyDescent="0.25">
      <c r="Y9012" s="501"/>
    </row>
    <row r="9013" spans="25:25" hidden="1" x14ac:dyDescent="0.25">
      <c r="Y9013" s="501"/>
    </row>
    <row r="9014" spans="25:25" hidden="1" x14ac:dyDescent="0.25">
      <c r="Y9014" s="501"/>
    </row>
    <row r="9015" spans="25:25" hidden="1" x14ac:dyDescent="0.25">
      <c r="Y9015" s="501"/>
    </row>
    <row r="9016" spans="25:25" hidden="1" x14ac:dyDescent="0.25">
      <c r="Y9016" s="501"/>
    </row>
    <row r="9017" spans="25:25" hidden="1" x14ac:dyDescent="0.25">
      <c r="Y9017" s="501"/>
    </row>
    <row r="9018" spans="25:25" hidden="1" x14ac:dyDescent="0.25">
      <c r="Y9018" s="501"/>
    </row>
    <row r="9019" spans="25:25" hidden="1" x14ac:dyDescent="0.25">
      <c r="Y9019" s="501"/>
    </row>
    <row r="9020" spans="25:25" hidden="1" x14ac:dyDescent="0.25">
      <c r="Y9020" s="501"/>
    </row>
    <row r="9021" spans="25:25" hidden="1" x14ac:dyDescent="0.25">
      <c r="Y9021" s="501"/>
    </row>
    <row r="9022" spans="25:25" hidden="1" x14ac:dyDescent="0.25">
      <c r="Y9022" s="501"/>
    </row>
    <row r="9023" spans="25:25" hidden="1" x14ac:dyDescent="0.25">
      <c r="Y9023" s="501"/>
    </row>
    <row r="9024" spans="25:25" hidden="1" x14ac:dyDescent="0.25">
      <c r="Y9024" s="501"/>
    </row>
    <row r="9025" spans="25:25" hidden="1" x14ac:dyDescent="0.25">
      <c r="Y9025" s="501"/>
    </row>
    <row r="9026" spans="25:25" hidden="1" x14ac:dyDescent="0.25">
      <c r="Y9026" s="501"/>
    </row>
    <row r="9027" spans="25:25" hidden="1" x14ac:dyDescent="0.25">
      <c r="Y9027" s="501"/>
    </row>
    <row r="9028" spans="25:25" hidden="1" x14ac:dyDescent="0.25">
      <c r="Y9028" s="501"/>
    </row>
    <row r="9029" spans="25:25" hidden="1" x14ac:dyDescent="0.25">
      <c r="Y9029" s="501"/>
    </row>
    <row r="9030" spans="25:25" hidden="1" x14ac:dyDescent="0.25">
      <c r="Y9030" s="501"/>
    </row>
    <row r="9031" spans="25:25" hidden="1" x14ac:dyDescent="0.25">
      <c r="Y9031" s="501"/>
    </row>
    <row r="9032" spans="25:25" hidden="1" x14ac:dyDescent="0.25">
      <c r="Y9032" s="501"/>
    </row>
    <row r="9033" spans="25:25" hidden="1" x14ac:dyDescent="0.25">
      <c r="Y9033" s="501"/>
    </row>
    <row r="9034" spans="25:25" hidden="1" x14ac:dyDescent="0.25">
      <c r="Y9034" s="501"/>
    </row>
    <row r="9035" spans="25:25" hidden="1" x14ac:dyDescent="0.25">
      <c r="Y9035" s="501"/>
    </row>
    <row r="9036" spans="25:25" hidden="1" x14ac:dyDescent="0.25">
      <c r="Y9036" s="501"/>
    </row>
    <row r="9037" spans="25:25" hidden="1" x14ac:dyDescent="0.25">
      <c r="Y9037" s="501"/>
    </row>
    <row r="9038" spans="25:25" hidden="1" x14ac:dyDescent="0.25">
      <c r="Y9038" s="501"/>
    </row>
    <row r="9039" spans="25:25" hidden="1" x14ac:dyDescent="0.25">
      <c r="Y9039" s="501"/>
    </row>
    <row r="9040" spans="25:25" hidden="1" x14ac:dyDescent="0.25">
      <c r="Y9040" s="501"/>
    </row>
    <row r="9041" spans="25:25" hidden="1" x14ac:dyDescent="0.25">
      <c r="Y9041" s="501"/>
    </row>
    <row r="9042" spans="25:25" hidden="1" x14ac:dyDescent="0.25">
      <c r="Y9042" s="501"/>
    </row>
    <row r="9043" spans="25:25" hidden="1" x14ac:dyDescent="0.25">
      <c r="Y9043" s="501"/>
    </row>
    <row r="9044" spans="25:25" hidden="1" x14ac:dyDescent="0.25">
      <c r="Y9044" s="501"/>
    </row>
    <row r="9045" spans="25:25" hidden="1" x14ac:dyDescent="0.25">
      <c r="Y9045" s="501"/>
    </row>
    <row r="9046" spans="25:25" hidden="1" x14ac:dyDescent="0.25">
      <c r="Y9046" s="501"/>
    </row>
    <row r="9047" spans="25:25" hidden="1" x14ac:dyDescent="0.25">
      <c r="Y9047" s="501"/>
    </row>
    <row r="9048" spans="25:25" hidden="1" x14ac:dyDescent="0.25">
      <c r="Y9048" s="501"/>
    </row>
    <row r="9049" spans="25:25" hidden="1" x14ac:dyDescent="0.25">
      <c r="Y9049" s="501"/>
    </row>
    <row r="9050" spans="25:25" hidden="1" x14ac:dyDescent="0.25">
      <c r="Y9050" s="501"/>
    </row>
    <row r="9051" spans="25:25" hidden="1" x14ac:dyDescent="0.25">
      <c r="Y9051" s="501"/>
    </row>
    <row r="9052" spans="25:25" hidden="1" x14ac:dyDescent="0.25">
      <c r="Y9052" s="501"/>
    </row>
    <row r="9053" spans="25:25" hidden="1" x14ac:dyDescent="0.25">
      <c r="Y9053" s="501"/>
    </row>
    <row r="9054" spans="25:25" hidden="1" x14ac:dyDescent="0.25">
      <c r="Y9054" s="501"/>
    </row>
    <row r="9055" spans="25:25" hidden="1" x14ac:dyDescent="0.25">
      <c r="Y9055" s="501"/>
    </row>
    <row r="9056" spans="25:25" hidden="1" x14ac:dyDescent="0.25">
      <c r="Y9056" s="501"/>
    </row>
    <row r="9057" spans="25:25" hidden="1" x14ac:dyDescent="0.25">
      <c r="Y9057" s="501"/>
    </row>
    <row r="9058" spans="25:25" hidden="1" x14ac:dyDescent="0.25">
      <c r="Y9058" s="501"/>
    </row>
    <row r="9059" spans="25:25" hidden="1" x14ac:dyDescent="0.25">
      <c r="Y9059" s="501"/>
    </row>
    <row r="9060" spans="25:25" hidden="1" x14ac:dyDescent="0.25">
      <c r="Y9060" s="501"/>
    </row>
    <row r="9061" spans="25:25" hidden="1" x14ac:dyDescent="0.25">
      <c r="Y9061" s="501"/>
    </row>
    <row r="9062" spans="25:25" hidden="1" x14ac:dyDescent="0.25">
      <c r="Y9062" s="501"/>
    </row>
    <row r="9063" spans="25:25" hidden="1" x14ac:dyDescent="0.25">
      <c r="Y9063" s="501"/>
    </row>
    <row r="9064" spans="25:25" hidden="1" x14ac:dyDescent="0.25">
      <c r="Y9064" s="501"/>
    </row>
    <row r="9065" spans="25:25" hidden="1" x14ac:dyDescent="0.25">
      <c r="Y9065" s="501"/>
    </row>
    <row r="9066" spans="25:25" hidden="1" x14ac:dyDescent="0.25">
      <c r="Y9066" s="501"/>
    </row>
    <row r="9067" spans="25:25" hidden="1" x14ac:dyDescent="0.25">
      <c r="Y9067" s="501"/>
    </row>
    <row r="9068" spans="25:25" hidden="1" x14ac:dyDescent="0.25">
      <c r="Y9068" s="501"/>
    </row>
    <row r="9069" spans="25:25" hidden="1" x14ac:dyDescent="0.25">
      <c r="Y9069" s="501"/>
    </row>
    <row r="9070" spans="25:25" hidden="1" x14ac:dyDescent="0.25">
      <c r="Y9070" s="501"/>
    </row>
    <row r="9071" spans="25:25" hidden="1" x14ac:dyDescent="0.25">
      <c r="Y9071" s="501"/>
    </row>
    <row r="9072" spans="25:25" hidden="1" x14ac:dyDescent="0.25">
      <c r="Y9072" s="501"/>
    </row>
    <row r="9073" spans="25:25" hidden="1" x14ac:dyDescent="0.25">
      <c r="Y9073" s="501"/>
    </row>
    <row r="9074" spans="25:25" hidden="1" x14ac:dyDescent="0.25">
      <c r="Y9074" s="501"/>
    </row>
    <row r="9075" spans="25:25" hidden="1" x14ac:dyDescent="0.25">
      <c r="Y9075" s="501"/>
    </row>
    <row r="9076" spans="25:25" hidden="1" x14ac:dyDescent="0.25">
      <c r="Y9076" s="501"/>
    </row>
    <row r="9077" spans="25:25" hidden="1" x14ac:dyDescent="0.25">
      <c r="Y9077" s="501"/>
    </row>
    <row r="9078" spans="25:25" hidden="1" x14ac:dyDescent="0.25">
      <c r="Y9078" s="501"/>
    </row>
    <row r="9079" spans="25:25" hidden="1" x14ac:dyDescent="0.25">
      <c r="Y9079" s="501"/>
    </row>
    <row r="9080" spans="25:25" hidden="1" x14ac:dyDescent="0.25">
      <c r="Y9080" s="501"/>
    </row>
    <row r="9081" spans="25:25" hidden="1" x14ac:dyDescent="0.25">
      <c r="Y9081" s="501"/>
    </row>
    <row r="9082" spans="25:25" hidden="1" x14ac:dyDescent="0.25">
      <c r="Y9082" s="501"/>
    </row>
    <row r="9083" spans="25:25" hidden="1" x14ac:dyDescent="0.25">
      <c r="Y9083" s="501"/>
    </row>
    <row r="9084" spans="25:25" hidden="1" x14ac:dyDescent="0.25">
      <c r="Y9084" s="501"/>
    </row>
    <row r="9085" spans="25:25" hidden="1" x14ac:dyDescent="0.25">
      <c r="Y9085" s="501"/>
    </row>
    <row r="9086" spans="25:25" hidden="1" x14ac:dyDescent="0.25">
      <c r="Y9086" s="501"/>
    </row>
    <row r="9087" spans="25:25" hidden="1" x14ac:dyDescent="0.25">
      <c r="Y9087" s="501"/>
    </row>
    <row r="9088" spans="25:25" hidden="1" x14ac:dyDescent="0.25">
      <c r="Y9088" s="501"/>
    </row>
    <row r="9089" spans="25:25" hidden="1" x14ac:dyDescent="0.25">
      <c r="Y9089" s="501"/>
    </row>
    <row r="9090" spans="25:25" hidden="1" x14ac:dyDescent="0.25">
      <c r="Y9090" s="501"/>
    </row>
    <row r="9091" spans="25:25" hidden="1" x14ac:dyDescent="0.25">
      <c r="Y9091" s="501"/>
    </row>
    <row r="9092" spans="25:25" hidden="1" x14ac:dyDescent="0.25">
      <c r="Y9092" s="501"/>
    </row>
    <row r="9093" spans="25:25" hidden="1" x14ac:dyDescent="0.25">
      <c r="Y9093" s="501"/>
    </row>
    <row r="9094" spans="25:25" hidden="1" x14ac:dyDescent="0.25">
      <c r="Y9094" s="501"/>
    </row>
    <row r="9095" spans="25:25" hidden="1" x14ac:dyDescent="0.25">
      <c r="Y9095" s="501"/>
    </row>
    <row r="9096" spans="25:25" hidden="1" x14ac:dyDescent="0.25">
      <c r="Y9096" s="501"/>
    </row>
    <row r="9097" spans="25:25" hidden="1" x14ac:dyDescent="0.25">
      <c r="Y9097" s="501"/>
    </row>
    <row r="9098" spans="25:25" hidden="1" x14ac:dyDescent="0.25">
      <c r="Y9098" s="501"/>
    </row>
    <row r="9099" spans="25:25" hidden="1" x14ac:dyDescent="0.25">
      <c r="Y9099" s="501"/>
    </row>
    <row r="9100" spans="25:25" hidden="1" x14ac:dyDescent="0.25">
      <c r="Y9100" s="501"/>
    </row>
    <row r="9101" spans="25:25" hidden="1" x14ac:dyDescent="0.25">
      <c r="Y9101" s="501"/>
    </row>
    <row r="9102" spans="25:25" hidden="1" x14ac:dyDescent="0.25">
      <c r="Y9102" s="501"/>
    </row>
    <row r="9103" spans="25:25" hidden="1" x14ac:dyDescent="0.25">
      <c r="Y9103" s="501"/>
    </row>
    <row r="9104" spans="25:25" hidden="1" x14ac:dyDescent="0.25">
      <c r="Y9104" s="501"/>
    </row>
    <row r="9105" spans="25:25" hidden="1" x14ac:dyDescent="0.25">
      <c r="Y9105" s="501"/>
    </row>
    <row r="9106" spans="25:25" hidden="1" x14ac:dyDescent="0.25">
      <c r="Y9106" s="501"/>
    </row>
    <row r="9107" spans="25:25" hidden="1" x14ac:dyDescent="0.25">
      <c r="Y9107" s="501"/>
    </row>
    <row r="9108" spans="25:25" hidden="1" x14ac:dyDescent="0.25">
      <c r="Y9108" s="501"/>
    </row>
    <row r="9109" spans="25:25" hidden="1" x14ac:dyDescent="0.25">
      <c r="Y9109" s="501"/>
    </row>
    <row r="9110" spans="25:25" hidden="1" x14ac:dyDescent="0.25">
      <c r="Y9110" s="501"/>
    </row>
    <row r="9111" spans="25:25" hidden="1" x14ac:dyDescent="0.25">
      <c r="Y9111" s="501"/>
    </row>
    <row r="9112" spans="25:25" hidden="1" x14ac:dyDescent="0.25">
      <c r="Y9112" s="501"/>
    </row>
    <row r="9113" spans="25:25" hidden="1" x14ac:dyDescent="0.25">
      <c r="Y9113" s="501"/>
    </row>
    <row r="9114" spans="25:25" hidden="1" x14ac:dyDescent="0.25">
      <c r="Y9114" s="501"/>
    </row>
    <row r="9115" spans="25:25" hidden="1" x14ac:dyDescent="0.25">
      <c r="Y9115" s="501"/>
    </row>
    <row r="9116" spans="25:25" hidden="1" x14ac:dyDescent="0.25">
      <c r="Y9116" s="501"/>
    </row>
    <row r="9117" spans="25:25" hidden="1" x14ac:dyDescent="0.25">
      <c r="Y9117" s="501"/>
    </row>
    <row r="9118" spans="25:25" hidden="1" x14ac:dyDescent="0.25">
      <c r="Y9118" s="501"/>
    </row>
    <row r="9119" spans="25:25" hidden="1" x14ac:dyDescent="0.25">
      <c r="Y9119" s="501"/>
    </row>
    <row r="9120" spans="25:25" hidden="1" x14ac:dyDescent="0.25">
      <c r="Y9120" s="501"/>
    </row>
    <row r="9121" spans="25:25" hidden="1" x14ac:dyDescent="0.25">
      <c r="Y9121" s="501"/>
    </row>
    <row r="9122" spans="25:25" hidden="1" x14ac:dyDescent="0.25">
      <c r="Y9122" s="501"/>
    </row>
    <row r="9123" spans="25:25" hidden="1" x14ac:dyDescent="0.25">
      <c r="Y9123" s="501"/>
    </row>
    <row r="9124" spans="25:25" hidden="1" x14ac:dyDescent="0.25">
      <c r="Y9124" s="501"/>
    </row>
    <row r="9125" spans="25:25" hidden="1" x14ac:dyDescent="0.25">
      <c r="Y9125" s="501"/>
    </row>
    <row r="9126" spans="25:25" hidden="1" x14ac:dyDescent="0.25">
      <c r="Y9126" s="501"/>
    </row>
    <row r="9127" spans="25:25" hidden="1" x14ac:dyDescent="0.25">
      <c r="Y9127" s="501"/>
    </row>
    <row r="9128" spans="25:25" hidden="1" x14ac:dyDescent="0.25">
      <c r="Y9128" s="501"/>
    </row>
    <row r="9129" spans="25:25" hidden="1" x14ac:dyDescent="0.25">
      <c r="Y9129" s="501"/>
    </row>
    <row r="9130" spans="25:25" hidden="1" x14ac:dyDescent="0.25">
      <c r="Y9130" s="501"/>
    </row>
    <row r="9131" spans="25:25" hidden="1" x14ac:dyDescent="0.25">
      <c r="Y9131" s="501"/>
    </row>
    <row r="9132" spans="25:25" hidden="1" x14ac:dyDescent="0.25">
      <c r="Y9132" s="501"/>
    </row>
    <row r="9133" spans="25:25" hidden="1" x14ac:dyDescent="0.25">
      <c r="Y9133" s="501"/>
    </row>
    <row r="9134" spans="25:25" hidden="1" x14ac:dyDescent="0.25">
      <c r="Y9134" s="501"/>
    </row>
    <row r="9135" spans="25:25" hidden="1" x14ac:dyDescent="0.25">
      <c r="Y9135" s="501"/>
    </row>
    <row r="9136" spans="25:25" hidden="1" x14ac:dyDescent="0.25">
      <c r="Y9136" s="501"/>
    </row>
    <row r="9137" spans="25:25" hidden="1" x14ac:dyDescent="0.25">
      <c r="Y9137" s="501"/>
    </row>
    <row r="9138" spans="25:25" hidden="1" x14ac:dyDescent="0.25">
      <c r="Y9138" s="501"/>
    </row>
    <row r="9139" spans="25:25" hidden="1" x14ac:dyDescent="0.25">
      <c r="Y9139" s="501"/>
    </row>
    <row r="9140" spans="25:25" hidden="1" x14ac:dyDescent="0.25">
      <c r="Y9140" s="501"/>
    </row>
    <row r="9141" spans="25:25" hidden="1" x14ac:dyDescent="0.25">
      <c r="Y9141" s="501"/>
    </row>
    <row r="9142" spans="25:25" hidden="1" x14ac:dyDescent="0.25">
      <c r="Y9142" s="501"/>
    </row>
    <row r="9143" spans="25:25" hidden="1" x14ac:dyDescent="0.25">
      <c r="Y9143" s="501"/>
    </row>
    <row r="9144" spans="25:25" hidden="1" x14ac:dyDescent="0.25">
      <c r="Y9144" s="501"/>
    </row>
    <row r="9145" spans="25:25" hidden="1" x14ac:dyDescent="0.25">
      <c r="Y9145" s="501"/>
    </row>
    <row r="9146" spans="25:25" hidden="1" x14ac:dyDescent="0.25">
      <c r="Y9146" s="501"/>
    </row>
    <row r="9147" spans="25:25" hidden="1" x14ac:dyDescent="0.25">
      <c r="Y9147" s="501"/>
    </row>
    <row r="9148" spans="25:25" hidden="1" x14ac:dyDescent="0.25">
      <c r="Y9148" s="501"/>
    </row>
    <row r="9149" spans="25:25" hidden="1" x14ac:dyDescent="0.25">
      <c r="Y9149" s="501"/>
    </row>
    <row r="9150" spans="25:25" hidden="1" x14ac:dyDescent="0.25">
      <c r="Y9150" s="501"/>
    </row>
    <row r="9151" spans="25:25" hidden="1" x14ac:dyDescent="0.25">
      <c r="Y9151" s="501"/>
    </row>
    <row r="9152" spans="25:25" hidden="1" x14ac:dyDescent="0.25">
      <c r="Y9152" s="501"/>
    </row>
    <row r="9153" spans="25:25" hidden="1" x14ac:dyDescent="0.25">
      <c r="Y9153" s="501"/>
    </row>
    <row r="9154" spans="25:25" hidden="1" x14ac:dyDescent="0.25">
      <c r="Y9154" s="501"/>
    </row>
    <row r="9155" spans="25:25" hidden="1" x14ac:dyDescent="0.25">
      <c r="Y9155" s="501"/>
    </row>
    <row r="9156" spans="25:25" hidden="1" x14ac:dyDescent="0.25">
      <c r="Y9156" s="501"/>
    </row>
    <row r="9157" spans="25:25" hidden="1" x14ac:dyDescent="0.25">
      <c r="Y9157" s="501"/>
    </row>
    <row r="9158" spans="25:25" hidden="1" x14ac:dyDescent="0.25">
      <c r="Y9158" s="501"/>
    </row>
    <row r="9159" spans="25:25" hidden="1" x14ac:dyDescent="0.25">
      <c r="Y9159" s="501"/>
    </row>
    <row r="9160" spans="25:25" hidden="1" x14ac:dyDescent="0.25">
      <c r="Y9160" s="501"/>
    </row>
    <row r="9161" spans="25:25" hidden="1" x14ac:dyDescent="0.25">
      <c r="Y9161" s="501"/>
    </row>
    <row r="9162" spans="25:25" hidden="1" x14ac:dyDescent="0.25">
      <c r="Y9162" s="501"/>
    </row>
    <row r="9163" spans="25:25" hidden="1" x14ac:dyDescent="0.25">
      <c r="Y9163" s="501"/>
    </row>
    <row r="9164" spans="25:25" hidden="1" x14ac:dyDescent="0.25">
      <c r="Y9164" s="501"/>
    </row>
    <row r="9165" spans="25:25" hidden="1" x14ac:dyDescent="0.25">
      <c r="Y9165" s="501"/>
    </row>
    <row r="9166" spans="25:25" hidden="1" x14ac:dyDescent="0.25">
      <c r="Y9166" s="501"/>
    </row>
    <row r="9167" spans="25:25" hidden="1" x14ac:dyDescent="0.25">
      <c r="Y9167" s="501"/>
    </row>
    <row r="9168" spans="25:25" hidden="1" x14ac:dyDescent="0.25">
      <c r="Y9168" s="501"/>
    </row>
    <row r="9169" spans="25:25" hidden="1" x14ac:dyDescent="0.25">
      <c r="Y9169" s="501"/>
    </row>
    <row r="9170" spans="25:25" hidden="1" x14ac:dyDescent="0.25">
      <c r="Y9170" s="501"/>
    </row>
    <row r="9171" spans="25:25" hidden="1" x14ac:dyDescent="0.25">
      <c r="Y9171" s="501"/>
    </row>
    <row r="9172" spans="25:25" hidden="1" x14ac:dyDescent="0.25">
      <c r="Y9172" s="501"/>
    </row>
    <row r="9173" spans="25:25" hidden="1" x14ac:dyDescent="0.25">
      <c r="Y9173" s="501"/>
    </row>
    <row r="9174" spans="25:25" hidden="1" x14ac:dyDescent="0.25">
      <c r="Y9174" s="501"/>
    </row>
    <row r="9175" spans="25:25" hidden="1" x14ac:dyDescent="0.25">
      <c r="Y9175" s="501"/>
    </row>
    <row r="9176" spans="25:25" hidden="1" x14ac:dyDescent="0.25">
      <c r="Y9176" s="501"/>
    </row>
    <row r="9177" spans="25:25" hidden="1" x14ac:dyDescent="0.25">
      <c r="Y9177" s="501"/>
    </row>
    <row r="9178" spans="25:25" hidden="1" x14ac:dyDescent="0.25">
      <c r="Y9178" s="501"/>
    </row>
    <row r="9179" spans="25:25" hidden="1" x14ac:dyDescent="0.25">
      <c r="Y9179" s="501"/>
    </row>
    <row r="9180" spans="25:25" hidden="1" x14ac:dyDescent="0.25">
      <c r="Y9180" s="501"/>
    </row>
    <row r="9181" spans="25:25" hidden="1" x14ac:dyDescent="0.25">
      <c r="Y9181" s="501"/>
    </row>
    <row r="9182" spans="25:25" hidden="1" x14ac:dyDescent="0.25">
      <c r="Y9182" s="501"/>
    </row>
    <row r="9183" spans="25:25" hidden="1" x14ac:dyDescent="0.25">
      <c r="Y9183" s="501"/>
    </row>
    <row r="9184" spans="25:25" hidden="1" x14ac:dyDescent="0.25">
      <c r="Y9184" s="501"/>
    </row>
    <row r="9185" spans="25:25" hidden="1" x14ac:dyDescent="0.25">
      <c r="Y9185" s="501"/>
    </row>
    <row r="9186" spans="25:25" hidden="1" x14ac:dyDescent="0.25">
      <c r="Y9186" s="501"/>
    </row>
    <row r="9187" spans="25:25" hidden="1" x14ac:dyDescent="0.25">
      <c r="Y9187" s="501"/>
    </row>
    <row r="9188" spans="25:25" hidden="1" x14ac:dyDescent="0.25">
      <c r="Y9188" s="501"/>
    </row>
    <row r="9189" spans="25:25" hidden="1" x14ac:dyDescent="0.25">
      <c r="Y9189" s="501"/>
    </row>
    <row r="9190" spans="25:25" hidden="1" x14ac:dyDescent="0.25">
      <c r="Y9190" s="501"/>
    </row>
    <row r="9191" spans="25:25" hidden="1" x14ac:dyDescent="0.25">
      <c r="Y9191" s="501"/>
    </row>
    <row r="9192" spans="25:25" hidden="1" x14ac:dyDescent="0.25">
      <c r="Y9192" s="501"/>
    </row>
    <row r="9193" spans="25:25" hidden="1" x14ac:dyDescent="0.25">
      <c r="Y9193" s="501"/>
    </row>
    <row r="9194" spans="25:25" hidden="1" x14ac:dyDescent="0.25">
      <c r="Y9194" s="501"/>
    </row>
    <row r="9195" spans="25:25" hidden="1" x14ac:dyDescent="0.25">
      <c r="Y9195" s="501"/>
    </row>
    <row r="9196" spans="25:25" hidden="1" x14ac:dyDescent="0.25">
      <c r="Y9196" s="501"/>
    </row>
    <row r="9197" spans="25:25" hidden="1" x14ac:dyDescent="0.25">
      <c r="Y9197" s="501"/>
    </row>
    <row r="9198" spans="25:25" hidden="1" x14ac:dyDescent="0.25">
      <c r="Y9198" s="501"/>
    </row>
    <row r="9199" spans="25:25" hidden="1" x14ac:dyDescent="0.25">
      <c r="Y9199" s="501"/>
    </row>
    <row r="9200" spans="25:25" hidden="1" x14ac:dyDescent="0.25">
      <c r="Y9200" s="501"/>
    </row>
    <row r="9201" spans="25:25" hidden="1" x14ac:dyDescent="0.25">
      <c r="Y9201" s="501"/>
    </row>
    <row r="9202" spans="25:25" hidden="1" x14ac:dyDescent="0.25">
      <c r="Y9202" s="501"/>
    </row>
    <row r="9203" spans="25:25" hidden="1" x14ac:dyDescent="0.25">
      <c r="Y9203" s="501"/>
    </row>
    <row r="9204" spans="25:25" hidden="1" x14ac:dyDescent="0.25">
      <c r="Y9204" s="501"/>
    </row>
    <row r="9205" spans="25:25" hidden="1" x14ac:dyDescent="0.25">
      <c r="Y9205" s="501"/>
    </row>
    <row r="9206" spans="25:25" hidden="1" x14ac:dyDescent="0.25">
      <c r="Y9206" s="501"/>
    </row>
    <row r="9207" spans="25:25" hidden="1" x14ac:dyDescent="0.25">
      <c r="Y9207" s="501"/>
    </row>
    <row r="9208" spans="25:25" hidden="1" x14ac:dyDescent="0.25">
      <c r="Y9208" s="501"/>
    </row>
    <row r="9209" spans="25:25" hidden="1" x14ac:dyDescent="0.25">
      <c r="Y9209" s="501"/>
    </row>
    <row r="9210" spans="25:25" hidden="1" x14ac:dyDescent="0.25">
      <c r="Y9210" s="501"/>
    </row>
    <row r="9211" spans="25:25" hidden="1" x14ac:dyDescent="0.25">
      <c r="Y9211" s="501"/>
    </row>
    <row r="9212" spans="25:25" hidden="1" x14ac:dyDescent="0.25">
      <c r="Y9212" s="501"/>
    </row>
    <row r="9213" spans="25:25" hidden="1" x14ac:dyDescent="0.25">
      <c r="Y9213" s="501"/>
    </row>
    <row r="9214" spans="25:25" hidden="1" x14ac:dyDescent="0.25">
      <c r="Y9214" s="501"/>
    </row>
    <row r="9215" spans="25:25" hidden="1" x14ac:dyDescent="0.25">
      <c r="Y9215" s="501"/>
    </row>
    <row r="9216" spans="25:25" hidden="1" x14ac:dyDescent="0.25">
      <c r="Y9216" s="501"/>
    </row>
    <row r="9217" spans="25:25" hidden="1" x14ac:dyDescent="0.25">
      <c r="Y9217" s="501"/>
    </row>
    <row r="9218" spans="25:25" hidden="1" x14ac:dyDescent="0.25">
      <c r="Y9218" s="501"/>
    </row>
    <row r="9219" spans="25:25" hidden="1" x14ac:dyDescent="0.25">
      <c r="Y9219" s="501"/>
    </row>
    <row r="9220" spans="25:25" hidden="1" x14ac:dyDescent="0.25">
      <c r="Y9220" s="501"/>
    </row>
    <row r="9221" spans="25:25" hidden="1" x14ac:dyDescent="0.25">
      <c r="Y9221" s="501"/>
    </row>
    <row r="9222" spans="25:25" hidden="1" x14ac:dyDescent="0.25">
      <c r="Y9222" s="501"/>
    </row>
    <row r="9223" spans="25:25" hidden="1" x14ac:dyDescent="0.25">
      <c r="Y9223" s="501"/>
    </row>
    <row r="9224" spans="25:25" hidden="1" x14ac:dyDescent="0.25">
      <c r="Y9224" s="501"/>
    </row>
    <row r="9225" spans="25:25" hidden="1" x14ac:dyDescent="0.25">
      <c r="Y9225" s="501"/>
    </row>
    <row r="9226" spans="25:25" hidden="1" x14ac:dyDescent="0.25">
      <c r="Y9226" s="501"/>
    </row>
    <row r="9227" spans="25:25" hidden="1" x14ac:dyDescent="0.25">
      <c r="Y9227" s="501"/>
    </row>
    <row r="9228" spans="25:25" hidden="1" x14ac:dyDescent="0.25">
      <c r="Y9228" s="501"/>
    </row>
    <row r="9229" spans="25:25" hidden="1" x14ac:dyDescent="0.25">
      <c r="Y9229" s="501"/>
    </row>
    <row r="9230" spans="25:25" hidden="1" x14ac:dyDescent="0.25">
      <c r="Y9230" s="501"/>
    </row>
    <row r="9231" spans="25:25" hidden="1" x14ac:dyDescent="0.25">
      <c r="Y9231" s="501"/>
    </row>
    <row r="9232" spans="25:25" hidden="1" x14ac:dyDescent="0.25">
      <c r="Y9232" s="501"/>
    </row>
    <row r="9233" spans="25:25" hidden="1" x14ac:dyDescent="0.25">
      <c r="Y9233" s="501"/>
    </row>
    <row r="9234" spans="25:25" hidden="1" x14ac:dyDescent="0.25">
      <c r="Y9234" s="501"/>
    </row>
    <row r="9235" spans="25:25" hidden="1" x14ac:dyDescent="0.25">
      <c r="Y9235" s="501"/>
    </row>
    <row r="9236" spans="25:25" hidden="1" x14ac:dyDescent="0.25">
      <c r="Y9236" s="501"/>
    </row>
    <row r="9237" spans="25:25" hidden="1" x14ac:dyDescent="0.25">
      <c r="Y9237" s="501"/>
    </row>
    <row r="9238" spans="25:25" hidden="1" x14ac:dyDescent="0.25">
      <c r="Y9238" s="501"/>
    </row>
    <row r="9239" spans="25:25" hidden="1" x14ac:dyDescent="0.25">
      <c r="Y9239" s="501"/>
    </row>
    <row r="9240" spans="25:25" hidden="1" x14ac:dyDescent="0.25">
      <c r="Y9240" s="501"/>
    </row>
    <row r="9241" spans="25:25" hidden="1" x14ac:dyDescent="0.25">
      <c r="Y9241" s="501"/>
    </row>
    <row r="9242" spans="25:25" hidden="1" x14ac:dyDescent="0.25">
      <c r="Y9242" s="501"/>
    </row>
    <row r="9243" spans="25:25" hidden="1" x14ac:dyDescent="0.25">
      <c r="Y9243" s="501"/>
    </row>
    <row r="9244" spans="25:25" hidden="1" x14ac:dyDescent="0.25">
      <c r="Y9244" s="501"/>
    </row>
    <row r="9245" spans="25:25" hidden="1" x14ac:dyDescent="0.25">
      <c r="Y9245" s="501"/>
    </row>
    <row r="9246" spans="25:25" hidden="1" x14ac:dyDescent="0.25">
      <c r="Y9246" s="501"/>
    </row>
    <row r="9247" spans="25:25" hidden="1" x14ac:dyDescent="0.25">
      <c r="Y9247" s="501"/>
    </row>
    <row r="9248" spans="25:25" hidden="1" x14ac:dyDescent="0.25">
      <c r="Y9248" s="501"/>
    </row>
    <row r="9249" spans="25:25" hidden="1" x14ac:dyDescent="0.25">
      <c r="Y9249" s="501"/>
    </row>
    <row r="9250" spans="25:25" hidden="1" x14ac:dyDescent="0.25">
      <c r="Y9250" s="501"/>
    </row>
    <row r="9251" spans="25:25" hidden="1" x14ac:dyDescent="0.25">
      <c r="Y9251" s="501"/>
    </row>
    <row r="9252" spans="25:25" hidden="1" x14ac:dyDescent="0.25">
      <c r="Y9252" s="501"/>
    </row>
    <row r="9253" spans="25:25" hidden="1" x14ac:dyDescent="0.25">
      <c r="Y9253" s="501"/>
    </row>
    <row r="9254" spans="25:25" hidden="1" x14ac:dyDescent="0.25">
      <c r="Y9254" s="501"/>
    </row>
    <row r="9255" spans="25:25" hidden="1" x14ac:dyDescent="0.25">
      <c r="Y9255" s="501"/>
    </row>
    <row r="9256" spans="25:25" hidden="1" x14ac:dyDescent="0.25">
      <c r="Y9256" s="501"/>
    </row>
    <row r="9257" spans="25:25" hidden="1" x14ac:dyDescent="0.25">
      <c r="Y9257" s="501"/>
    </row>
    <row r="9258" spans="25:25" hidden="1" x14ac:dyDescent="0.25">
      <c r="Y9258" s="501"/>
    </row>
    <row r="9259" spans="25:25" hidden="1" x14ac:dyDescent="0.25">
      <c r="Y9259" s="501"/>
    </row>
    <row r="9260" spans="25:25" hidden="1" x14ac:dyDescent="0.25">
      <c r="Y9260" s="501"/>
    </row>
    <row r="9261" spans="25:25" hidden="1" x14ac:dyDescent="0.25">
      <c r="Y9261" s="501"/>
    </row>
    <row r="9262" spans="25:25" hidden="1" x14ac:dyDescent="0.25">
      <c r="Y9262" s="501"/>
    </row>
    <row r="9263" spans="25:25" hidden="1" x14ac:dyDescent="0.25">
      <c r="Y9263" s="501"/>
    </row>
    <row r="9264" spans="25:25" hidden="1" x14ac:dyDescent="0.25">
      <c r="Y9264" s="501"/>
    </row>
    <row r="9265" spans="25:25" hidden="1" x14ac:dyDescent="0.25">
      <c r="Y9265" s="501"/>
    </row>
    <row r="9266" spans="25:25" hidden="1" x14ac:dyDescent="0.25">
      <c r="Y9266" s="501"/>
    </row>
    <row r="9267" spans="25:25" hidden="1" x14ac:dyDescent="0.25">
      <c r="Y9267" s="501"/>
    </row>
    <row r="9268" spans="25:25" hidden="1" x14ac:dyDescent="0.25">
      <c r="Y9268" s="501"/>
    </row>
    <row r="9269" spans="25:25" hidden="1" x14ac:dyDescent="0.25">
      <c r="Y9269" s="501"/>
    </row>
    <row r="9270" spans="25:25" hidden="1" x14ac:dyDescent="0.25">
      <c r="Y9270" s="501"/>
    </row>
    <row r="9271" spans="25:25" hidden="1" x14ac:dyDescent="0.25">
      <c r="Y9271" s="501"/>
    </row>
    <row r="9272" spans="25:25" hidden="1" x14ac:dyDescent="0.25">
      <c r="Y9272" s="501"/>
    </row>
    <row r="9273" spans="25:25" hidden="1" x14ac:dyDescent="0.25">
      <c r="Y9273" s="501"/>
    </row>
    <row r="9274" spans="25:25" hidden="1" x14ac:dyDescent="0.25">
      <c r="Y9274" s="501"/>
    </row>
    <row r="9275" spans="25:25" hidden="1" x14ac:dyDescent="0.25">
      <c r="Y9275" s="501"/>
    </row>
    <row r="9276" spans="25:25" hidden="1" x14ac:dyDescent="0.25">
      <c r="Y9276" s="501"/>
    </row>
    <row r="9277" spans="25:25" hidden="1" x14ac:dyDescent="0.25">
      <c r="Y9277" s="501"/>
    </row>
    <row r="9278" spans="25:25" hidden="1" x14ac:dyDescent="0.25">
      <c r="Y9278" s="501"/>
    </row>
    <row r="9279" spans="25:25" hidden="1" x14ac:dyDescent="0.25">
      <c r="Y9279" s="501"/>
    </row>
    <row r="9280" spans="25:25" hidden="1" x14ac:dyDescent="0.25">
      <c r="Y9280" s="501"/>
    </row>
    <row r="9281" spans="25:25" hidden="1" x14ac:dyDescent="0.25">
      <c r="Y9281" s="501"/>
    </row>
    <row r="9282" spans="25:25" hidden="1" x14ac:dyDescent="0.25">
      <c r="Y9282" s="501"/>
    </row>
    <row r="9283" spans="25:25" hidden="1" x14ac:dyDescent="0.25">
      <c r="Y9283" s="501"/>
    </row>
    <row r="9284" spans="25:25" hidden="1" x14ac:dyDescent="0.25">
      <c r="Y9284" s="501"/>
    </row>
    <row r="9285" spans="25:25" hidden="1" x14ac:dyDescent="0.25">
      <c r="Y9285" s="501"/>
    </row>
    <row r="9286" spans="25:25" hidden="1" x14ac:dyDescent="0.25">
      <c r="Y9286" s="501"/>
    </row>
    <row r="9287" spans="25:25" hidden="1" x14ac:dyDescent="0.25">
      <c r="Y9287" s="501"/>
    </row>
    <row r="9288" spans="25:25" hidden="1" x14ac:dyDescent="0.25">
      <c r="Y9288" s="501"/>
    </row>
    <row r="9289" spans="25:25" hidden="1" x14ac:dyDescent="0.25">
      <c r="Y9289" s="501"/>
    </row>
    <row r="9290" spans="25:25" hidden="1" x14ac:dyDescent="0.25">
      <c r="Y9290" s="501"/>
    </row>
    <row r="9291" spans="25:25" hidden="1" x14ac:dyDescent="0.25">
      <c r="Y9291" s="501"/>
    </row>
    <row r="9292" spans="25:25" hidden="1" x14ac:dyDescent="0.25">
      <c r="Y9292" s="501"/>
    </row>
    <row r="9293" spans="25:25" hidden="1" x14ac:dyDescent="0.25">
      <c r="Y9293" s="501"/>
    </row>
    <row r="9294" spans="25:25" hidden="1" x14ac:dyDescent="0.25">
      <c r="Y9294" s="501"/>
    </row>
    <row r="9295" spans="25:25" hidden="1" x14ac:dyDescent="0.25">
      <c r="Y9295" s="501"/>
    </row>
    <row r="9296" spans="25:25" hidden="1" x14ac:dyDescent="0.25">
      <c r="Y9296" s="501"/>
    </row>
    <row r="9297" spans="25:25" hidden="1" x14ac:dyDescent="0.25">
      <c r="Y9297" s="501"/>
    </row>
    <row r="9298" spans="25:25" hidden="1" x14ac:dyDescent="0.25">
      <c r="Y9298" s="501"/>
    </row>
    <row r="9299" spans="25:25" hidden="1" x14ac:dyDescent="0.25">
      <c r="Y9299" s="501"/>
    </row>
    <row r="9300" spans="25:25" hidden="1" x14ac:dyDescent="0.25">
      <c r="Y9300" s="501"/>
    </row>
    <row r="9301" spans="25:25" hidden="1" x14ac:dyDescent="0.25">
      <c r="Y9301" s="501"/>
    </row>
    <row r="9302" spans="25:25" hidden="1" x14ac:dyDescent="0.25">
      <c r="Y9302" s="501"/>
    </row>
    <row r="9303" spans="25:25" hidden="1" x14ac:dyDescent="0.25">
      <c r="Y9303" s="501"/>
    </row>
    <row r="9304" spans="25:25" hidden="1" x14ac:dyDescent="0.25">
      <c r="Y9304" s="501"/>
    </row>
    <row r="9305" spans="25:25" hidden="1" x14ac:dyDescent="0.25">
      <c r="Y9305" s="501"/>
    </row>
    <row r="9306" spans="25:25" hidden="1" x14ac:dyDescent="0.25">
      <c r="Y9306" s="501"/>
    </row>
    <row r="9307" spans="25:25" hidden="1" x14ac:dyDescent="0.25">
      <c r="Y9307" s="501"/>
    </row>
    <row r="9308" spans="25:25" hidden="1" x14ac:dyDescent="0.25">
      <c r="Y9308" s="501"/>
    </row>
    <row r="9309" spans="25:25" hidden="1" x14ac:dyDescent="0.25">
      <c r="Y9309" s="501"/>
    </row>
    <row r="9310" spans="25:25" hidden="1" x14ac:dyDescent="0.25">
      <c r="Y9310" s="501"/>
    </row>
    <row r="9311" spans="25:25" hidden="1" x14ac:dyDescent="0.25">
      <c r="Y9311" s="501"/>
    </row>
    <row r="9312" spans="25:25" hidden="1" x14ac:dyDescent="0.25">
      <c r="Y9312" s="501"/>
    </row>
    <row r="9313" spans="25:25" hidden="1" x14ac:dyDescent="0.25">
      <c r="Y9313" s="501"/>
    </row>
    <row r="9314" spans="25:25" hidden="1" x14ac:dyDescent="0.25">
      <c r="Y9314" s="501"/>
    </row>
    <row r="9315" spans="25:25" hidden="1" x14ac:dyDescent="0.25">
      <c r="Y9315" s="501"/>
    </row>
    <row r="9316" spans="25:25" hidden="1" x14ac:dyDescent="0.25">
      <c r="Y9316" s="501"/>
    </row>
    <row r="9317" spans="25:25" hidden="1" x14ac:dyDescent="0.25">
      <c r="Y9317" s="501"/>
    </row>
    <row r="9318" spans="25:25" hidden="1" x14ac:dyDescent="0.25">
      <c r="Y9318" s="501"/>
    </row>
    <row r="9319" spans="25:25" hidden="1" x14ac:dyDescent="0.25">
      <c r="Y9319" s="501"/>
    </row>
    <row r="9320" spans="25:25" hidden="1" x14ac:dyDescent="0.25">
      <c r="Y9320" s="501"/>
    </row>
    <row r="9321" spans="25:25" hidden="1" x14ac:dyDescent="0.25">
      <c r="Y9321" s="501"/>
    </row>
    <row r="9322" spans="25:25" hidden="1" x14ac:dyDescent="0.25">
      <c r="Y9322" s="501"/>
    </row>
    <row r="9323" spans="25:25" hidden="1" x14ac:dyDescent="0.25">
      <c r="Y9323" s="501"/>
    </row>
    <row r="9324" spans="25:25" hidden="1" x14ac:dyDescent="0.25">
      <c r="Y9324" s="501"/>
    </row>
    <row r="9325" spans="25:25" hidden="1" x14ac:dyDescent="0.25">
      <c r="Y9325" s="501"/>
    </row>
    <row r="9326" spans="25:25" hidden="1" x14ac:dyDescent="0.25">
      <c r="Y9326" s="501"/>
    </row>
    <row r="9327" spans="25:25" hidden="1" x14ac:dyDescent="0.25">
      <c r="Y9327" s="501"/>
    </row>
    <row r="9328" spans="25:25" hidden="1" x14ac:dyDescent="0.25">
      <c r="Y9328" s="501"/>
    </row>
    <row r="9329" spans="25:25" hidden="1" x14ac:dyDescent="0.25">
      <c r="Y9329" s="501"/>
    </row>
    <row r="9330" spans="25:25" hidden="1" x14ac:dyDescent="0.25">
      <c r="Y9330" s="501"/>
    </row>
    <row r="9331" spans="25:25" hidden="1" x14ac:dyDescent="0.25">
      <c r="Y9331" s="501"/>
    </row>
    <row r="9332" spans="25:25" hidden="1" x14ac:dyDescent="0.25">
      <c r="Y9332" s="501"/>
    </row>
    <row r="9333" spans="25:25" hidden="1" x14ac:dyDescent="0.25">
      <c r="Y9333" s="501"/>
    </row>
    <row r="9334" spans="25:25" hidden="1" x14ac:dyDescent="0.25">
      <c r="Y9334" s="501"/>
    </row>
    <row r="9335" spans="25:25" hidden="1" x14ac:dyDescent="0.25">
      <c r="Y9335" s="501"/>
    </row>
    <row r="9336" spans="25:25" hidden="1" x14ac:dyDescent="0.25">
      <c r="Y9336" s="501"/>
    </row>
    <row r="9337" spans="25:25" hidden="1" x14ac:dyDescent="0.25">
      <c r="Y9337" s="501"/>
    </row>
    <row r="9338" spans="25:25" hidden="1" x14ac:dyDescent="0.25">
      <c r="Y9338" s="501"/>
    </row>
    <row r="9339" spans="25:25" hidden="1" x14ac:dyDescent="0.25">
      <c r="Y9339" s="501"/>
    </row>
    <row r="9340" spans="25:25" hidden="1" x14ac:dyDescent="0.25">
      <c r="Y9340" s="501"/>
    </row>
    <row r="9341" spans="25:25" hidden="1" x14ac:dyDescent="0.25">
      <c r="Y9341" s="501"/>
    </row>
    <row r="9342" spans="25:25" hidden="1" x14ac:dyDescent="0.25">
      <c r="Y9342" s="501"/>
    </row>
    <row r="9343" spans="25:25" hidden="1" x14ac:dyDescent="0.25">
      <c r="Y9343" s="501"/>
    </row>
    <row r="9344" spans="25:25" hidden="1" x14ac:dyDescent="0.25">
      <c r="Y9344" s="501"/>
    </row>
    <row r="9345" spans="25:25" hidden="1" x14ac:dyDescent="0.25">
      <c r="Y9345" s="501"/>
    </row>
    <row r="9346" spans="25:25" hidden="1" x14ac:dyDescent="0.25">
      <c r="Y9346" s="501"/>
    </row>
    <row r="9347" spans="25:25" hidden="1" x14ac:dyDescent="0.25">
      <c r="Y9347" s="501"/>
    </row>
    <row r="9348" spans="25:25" hidden="1" x14ac:dyDescent="0.25">
      <c r="Y9348" s="501"/>
    </row>
    <row r="9349" spans="25:25" hidden="1" x14ac:dyDescent="0.25">
      <c r="Y9349" s="501"/>
    </row>
    <row r="9350" spans="25:25" hidden="1" x14ac:dyDescent="0.25">
      <c r="Y9350" s="501"/>
    </row>
    <row r="9351" spans="25:25" hidden="1" x14ac:dyDescent="0.25">
      <c r="Y9351" s="501"/>
    </row>
    <row r="9352" spans="25:25" hidden="1" x14ac:dyDescent="0.25">
      <c r="Y9352" s="501"/>
    </row>
    <row r="9353" spans="25:25" hidden="1" x14ac:dyDescent="0.25">
      <c r="Y9353" s="501"/>
    </row>
    <row r="9354" spans="25:25" hidden="1" x14ac:dyDescent="0.25">
      <c r="Y9354" s="501"/>
    </row>
    <row r="9355" spans="25:25" hidden="1" x14ac:dyDescent="0.25">
      <c r="Y9355" s="501"/>
    </row>
    <row r="9356" spans="25:25" hidden="1" x14ac:dyDescent="0.25">
      <c r="Y9356" s="501"/>
    </row>
    <row r="9357" spans="25:25" hidden="1" x14ac:dyDescent="0.25">
      <c r="Y9357" s="501"/>
    </row>
    <row r="9358" spans="25:25" hidden="1" x14ac:dyDescent="0.25">
      <c r="Y9358" s="501"/>
    </row>
    <row r="9359" spans="25:25" hidden="1" x14ac:dyDescent="0.25">
      <c r="Y9359" s="501"/>
    </row>
    <row r="9360" spans="25:25" hidden="1" x14ac:dyDescent="0.25">
      <c r="Y9360" s="501"/>
    </row>
    <row r="9361" spans="25:25" hidden="1" x14ac:dyDescent="0.25">
      <c r="Y9361" s="501"/>
    </row>
    <row r="9362" spans="25:25" hidden="1" x14ac:dyDescent="0.25">
      <c r="Y9362" s="501"/>
    </row>
    <row r="9363" spans="25:25" hidden="1" x14ac:dyDescent="0.25">
      <c r="Y9363" s="501"/>
    </row>
    <row r="9364" spans="25:25" hidden="1" x14ac:dyDescent="0.25">
      <c r="Y9364" s="501"/>
    </row>
    <row r="9365" spans="25:25" hidden="1" x14ac:dyDescent="0.25">
      <c r="Y9365" s="501"/>
    </row>
    <row r="9366" spans="25:25" hidden="1" x14ac:dyDescent="0.25">
      <c r="Y9366" s="501"/>
    </row>
    <row r="9367" spans="25:25" hidden="1" x14ac:dyDescent="0.25">
      <c r="Y9367" s="501"/>
    </row>
    <row r="9368" spans="25:25" hidden="1" x14ac:dyDescent="0.25">
      <c r="Y9368" s="501"/>
    </row>
    <row r="9369" spans="25:25" hidden="1" x14ac:dyDescent="0.25">
      <c r="Y9369" s="501"/>
    </row>
    <row r="9370" spans="25:25" hidden="1" x14ac:dyDescent="0.25">
      <c r="Y9370" s="501"/>
    </row>
    <row r="9371" spans="25:25" hidden="1" x14ac:dyDescent="0.25">
      <c r="Y9371" s="501"/>
    </row>
    <row r="9372" spans="25:25" hidden="1" x14ac:dyDescent="0.25">
      <c r="Y9372" s="501"/>
    </row>
    <row r="9373" spans="25:25" hidden="1" x14ac:dyDescent="0.25">
      <c r="Y9373" s="501"/>
    </row>
    <row r="9374" spans="25:25" hidden="1" x14ac:dyDescent="0.25">
      <c r="Y9374" s="501"/>
    </row>
    <row r="9375" spans="25:25" hidden="1" x14ac:dyDescent="0.25">
      <c r="Y9375" s="501"/>
    </row>
    <row r="9376" spans="25:25" hidden="1" x14ac:dyDescent="0.25">
      <c r="Y9376" s="501"/>
    </row>
    <row r="9377" spans="25:25" hidden="1" x14ac:dyDescent="0.25">
      <c r="Y9377" s="501"/>
    </row>
    <row r="9378" spans="25:25" hidden="1" x14ac:dyDescent="0.25">
      <c r="Y9378" s="501"/>
    </row>
    <row r="9379" spans="25:25" hidden="1" x14ac:dyDescent="0.25">
      <c r="Y9379" s="501"/>
    </row>
    <row r="9380" spans="25:25" hidden="1" x14ac:dyDescent="0.25">
      <c r="Y9380" s="501"/>
    </row>
    <row r="9381" spans="25:25" hidden="1" x14ac:dyDescent="0.25">
      <c r="Y9381" s="501"/>
    </row>
    <row r="9382" spans="25:25" hidden="1" x14ac:dyDescent="0.25">
      <c r="Y9382" s="501"/>
    </row>
    <row r="9383" spans="25:25" hidden="1" x14ac:dyDescent="0.25">
      <c r="Y9383" s="501"/>
    </row>
    <row r="9384" spans="25:25" hidden="1" x14ac:dyDescent="0.25">
      <c r="Y9384" s="501"/>
    </row>
    <row r="9385" spans="25:25" hidden="1" x14ac:dyDescent="0.25">
      <c r="Y9385" s="501"/>
    </row>
    <row r="9386" spans="25:25" hidden="1" x14ac:dyDescent="0.25">
      <c r="Y9386" s="501"/>
    </row>
    <row r="9387" spans="25:25" hidden="1" x14ac:dyDescent="0.25">
      <c r="Y9387" s="501"/>
    </row>
    <row r="9388" spans="25:25" hidden="1" x14ac:dyDescent="0.25">
      <c r="Y9388" s="501"/>
    </row>
    <row r="9389" spans="25:25" hidden="1" x14ac:dyDescent="0.25">
      <c r="Y9389" s="501"/>
    </row>
    <row r="9390" spans="25:25" hidden="1" x14ac:dyDescent="0.25">
      <c r="Y9390" s="501"/>
    </row>
    <row r="9391" spans="25:25" hidden="1" x14ac:dyDescent="0.25">
      <c r="Y9391" s="501"/>
    </row>
    <row r="9392" spans="25:25" hidden="1" x14ac:dyDescent="0.25">
      <c r="Y9392" s="501"/>
    </row>
    <row r="9393" spans="25:25" hidden="1" x14ac:dyDescent="0.25">
      <c r="Y9393" s="501"/>
    </row>
    <row r="9394" spans="25:25" hidden="1" x14ac:dyDescent="0.25">
      <c r="Y9394" s="501"/>
    </row>
    <row r="9395" spans="25:25" hidden="1" x14ac:dyDescent="0.25">
      <c r="Y9395" s="501"/>
    </row>
    <row r="9396" spans="25:25" hidden="1" x14ac:dyDescent="0.25">
      <c r="Y9396" s="501"/>
    </row>
    <row r="9397" spans="25:25" hidden="1" x14ac:dyDescent="0.25">
      <c r="Y9397" s="501"/>
    </row>
    <row r="9398" spans="25:25" hidden="1" x14ac:dyDescent="0.25">
      <c r="Y9398" s="501"/>
    </row>
    <row r="9399" spans="25:25" hidden="1" x14ac:dyDescent="0.25">
      <c r="Y9399" s="501"/>
    </row>
    <row r="9400" spans="25:25" hidden="1" x14ac:dyDescent="0.25">
      <c r="Y9400" s="501"/>
    </row>
    <row r="9401" spans="25:25" hidden="1" x14ac:dyDescent="0.25">
      <c r="Y9401" s="501"/>
    </row>
    <row r="9402" spans="25:25" hidden="1" x14ac:dyDescent="0.25">
      <c r="Y9402" s="501"/>
    </row>
    <row r="9403" spans="25:25" hidden="1" x14ac:dyDescent="0.25">
      <c r="Y9403" s="501"/>
    </row>
    <row r="9404" spans="25:25" hidden="1" x14ac:dyDescent="0.25">
      <c r="Y9404" s="501"/>
    </row>
    <row r="9405" spans="25:25" hidden="1" x14ac:dyDescent="0.25">
      <c r="Y9405" s="501"/>
    </row>
    <row r="9406" spans="25:25" hidden="1" x14ac:dyDescent="0.25">
      <c r="Y9406" s="501"/>
    </row>
    <row r="9407" spans="25:25" hidden="1" x14ac:dyDescent="0.25">
      <c r="Y9407" s="501"/>
    </row>
    <row r="9408" spans="25:25" hidden="1" x14ac:dyDescent="0.25">
      <c r="Y9408" s="501"/>
    </row>
    <row r="9409" spans="25:25" hidden="1" x14ac:dyDescent="0.25">
      <c r="Y9409" s="501"/>
    </row>
    <row r="9410" spans="25:25" hidden="1" x14ac:dyDescent="0.25">
      <c r="Y9410" s="501"/>
    </row>
    <row r="9411" spans="25:25" hidden="1" x14ac:dyDescent="0.25">
      <c r="Y9411" s="501"/>
    </row>
    <row r="9412" spans="25:25" hidden="1" x14ac:dyDescent="0.25">
      <c r="Y9412" s="501"/>
    </row>
    <row r="9413" spans="25:25" hidden="1" x14ac:dyDescent="0.25">
      <c r="Y9413" s="501"/>
    </row>
    <row r="9414" spans="25:25" hidden="1" x14ac:dyDescent="0.25">
      <c r="Y9414" s="501"/>
    </row>
    <row r="9415" spans="25:25" hidden="1" x14ac:dyDescent="0.25">
      <c r="Y9415" s="501"/>
    </row>
    <row r="9416" spans="25:25" hidden="1" x14ac:dyDescent="0.25">
      <c r="Y9416" s="501"/>
    </row>
    <row r="9417" spans="25:25" hidden="1" x14ac:dyDescent="0.25">
      <c r="Y9417" s="501"/>
    </row>
    <row r="9418" spans="25:25" hidden="1" x14ac:dyDescent="0.25">
      <c r="Y9418" s="501"/>
    </row>
    <row r="9419" spans="25:25" hidden="1" x14ac:dyDescent="0.25">
      <c r="Y9419" s="501"/>
    </row>
    <row r="9420" spans="25:25" hidden="1" x14ac:dyDescent="0.25">
      <c r="Y9420" s="501"/>
    </row>
    <row r="9421" spans="25:25" hidden="1" x14ac:dyDescent="0.25">
      <c r="Y9421" s="501"/>
    </row>
    <row r="9422" spans="25:25" hidden="1" x14ac:dyDescent="0.25">
      <c r="Y9422" s="501"/>
    </row>
    <row r="9423" spans="25:25" hidden="1" x14ac:dyDescent="0.25">
      <c r="Y9423" s="501"/>
    </row>
    <row r="9424" spans="25:25" hidden="1" x14ac:dyDescent="0.25">
      <c r="Y9424" s="501"/>
    </row>
    <row r="9425" spans="25:25" hidden="1" x14ac:dyDescent="0.25">
      <c r="Y9425" s="501"/>
    </row>
    <row r="9426" spans="25:25" hidden="1" x14ac:dyDescent="0.25">
      <c r="Y9426" s="501"/>
    </row>
    <row r="9427" spans="25:25" hidden="1" x14ac:dyDescent="0.25">
      <c r="Y9427" s="501"/>
    </row>
    <row r="9428" spans="25:25" hidden="1" x14ac:dyDescent="0.25">
      <c r="Y9428" s="501"/>
    </row>
    <row r="9429" spans="25:25" hidden="1" x14ac:dyDescent="0.25">
      <c r="Y9429" s="501"/>
    </row>
    <row r="9430" spans="25:25" hidden="1" x14ac:dyDescent="0.25">
      <c r="Y9430" s="501"/>
    </row>
    <row r="9431" spans="25:25" hidden="1" x14ac:dyDescent="0.25">
      <c r="Y9431" s="501"/>
    </row>
    <row r="9432" spans="25:25" hidden="1" x14ac:dyDescent="0.25">
      <c r="Y9432" s="501"/>
    </row>
    <row r="9433" spans="25:25" hidden="1" x14ac:dyDescent="0.25">
      <c r="Y9433" s="501"/>
    </row>
    <row r="9434" spans="25:25" hidden="1" x14ac:dyDescent="0.25">
      <c r="Y9434" s="501"/>
    </row>
    <row r="9435" spans="25:25" hidden="1" x14ac:dyDescent="0.25">
      <c r="Y9435" s="501"/>
    </row>
    <row r="9436" spans="25:25" hidden="1" x14ac:dyDescent="0.25">
      <c r="Y9436" s="501"/>
    </row>
    <row r="9437" spans="25:25" hidden="1" x14ac:dyDescent="0.25">
      <c r="Y9437" s="501"/>
    </row>
    <row r="9438" spans="25:25" hidden="1" x14ac:dyDescent="0.25">
      <c r="Y9438" s="501"/>
    </row>
    <row r="9439" spans="25:25" hidden="1" x14ac:dyDescent="0.25">
      <c r="Y9439" s="501"/>
    </row>
    <row r="9440" spans="25:25" hidden="1" x14ac:dyDescent="0.25">
      <c r="Y9440" s="501"/>
    </row>
    <row r="9441" spans="25:25" hidden="1" x14ac:dyDescent="0.25">
      <c r="Y9441" s="501"/>
    </row>
    <row r="9442" spans="25:25" hidden="1" x14ac:dyDescent="0.25">
      <c r="Y9442" s="501"/>
    </row>
    <row r="9443" spans="25:25" hidden="1" x14ac:dyDescent="0.25">
      <c r="Y9443" s="501"/>
    </row>
    <row r="9444" spans="25:25" hidden="1" x14ac:dyDescent="0.25">
      <c r="Y9444" s="501"/>
    </row>
    <row r="9445" spans="25:25" hidden="1" x14ac:dyDescent="0.25">
      <c r="Y9445" s="501"/>
    </row>
    <row r="9446" spans="25:25" hidden="1" x14ac:dyDescent="0.25">
      <c r="Y9446" s="501"/>
    </row>
    <row r="9447" spans="25:25" hidden="1" x14ac:dyDescent="0.25">
      <c r="Y9447" s="501"/>
    </row>
    <row r="9448" spans="25:25" hidden="1" x14ac:dyDescent="0.25">
      <c r="Y9448" s="501"/>
    </row>
    <row r="9449" spans="25:25" hidden="1" x14ac:dyDescent="0.25">
      <c r="Y9449" s="501"/>
    </row>
    <row r="9450" spans="25:25" hidden="1" x14ac:dyDescent="0.25">
      <c r="Y9450" s="501"/>
    </row>
    <row r="9451" spans="25:25" hidden="1" x14ac:dyDescent="0.25">
      <c r="Y9451" s="501"/>
    </row>
    <row r="9452" spans="25:25" hidden="1" x14ac:dyDescent="0.25">
      <c r="Y9452" s="501"/>
    </row>
    <row r="9453" spans="25:25" hidden="1" x14ac:dyDescent="0.25">
      <c r="Y9453" s="501"/>
    </row>
    <row r="9454" spans="25:25" hidden="1" x14ac:dyDescent="0.25">
      <c r="Y9454" s="501"/>
    </row>
    <row r="9455" spans="25:25" hidden="1" x14ac:dyDescent="0.25">
      <c r="Y9455" s="501"/>
    </row>
    <row r="9456" spans="25:25" hidden="1" x14ac:dyDescent="0.25">
      <c r="Y9456" s="501"/>
    </row>
    <row r="9457" spans="25:25" hidden="1" x14ac:dyDescent="0.25">
      <c r="Y9457" s="501"/>
    </row>
    <row r="9458" spans="25:25" hidden="1" x14ac:dyDescent="0.25">
      <c r="Y9458" s="501"/>
    </row>
    <row r="9459" spans="25:25" hidden="1" x14ac:dyDescent="0.25">
      <c r="Y9459" s="501"/>
    </row>
    <row r="9460" spans="25:25" hidden="1" x14ac:dyDescent="0.25">
      <c r="Y9460" s="501"/>
    </row>
    <row r="9461" spans="25:25" hidden="1" x14ac:dyDescent="0.25">
      <c r="Y9461" s="501"/>
    </row>
    <row r="9462" spans="25:25" hidden="1" x14ac:dyDescent="0.25">
      <c r="Y9462" s="501"/>
    </row>
    <row r="9463" spans="25:25" hidden="1" x14ac:dyDescent="0.25">
      <c r="Y9463" s="501"/>
    </row>
    <row r="9464" spans="25:25" hidden="1" x14ac:dyDescent="0.25">
      <c r="Y9464" s="501"/>
    </row>
    <row r="9465" spans="25:25" hidden="1" x14ac:dyDescent="0.25">
      <c r="Y9465" s="501"/>
    </row>
    <row r="9466" spans="25:25" hidden="1" x14ac:dyDescent="0.25">
      <c r="Y9466" s="501"/>
    </row>
    <row r="9467" spans="25:25" hidden="1" x14ac:dyDescent="0.25">
      <c r="Y9467" s="501"/>
    </row>
    <row r="9468" spans="25:25" hidden="1" x14ac:dyDescent="0.25">
      <c r="Y9468" s="501"/>
    </row>
    <row r="9469" spans="25:25" hidden="1" x14ac:dyDescent="0.25">
      <c r="Y9469" s="501"/>
    </row>
    <row r="9470" spans="25:25" hidden="1" x14ac:dyDescent="0.25">
      <c r="Y9470" s="501"/>
    </row>
    <row r="9471" spans="25:25" hidden="1" x14ac:dyDescent="0.25">
      <c r="Y9471" s="501"/>
    </row>
    <row r="9472" spans="25:25" hidden="1" x14ac:dyDescent="0.25">
      <c r="Y9472" s="501"/>
    </row>
    <row r="9473" spans="25:25" hidden="1" x14ac:dyDescent="0.25">
      <c r="Y9473" s="501"/>
    </row>
    <row r="9474" spans="25:25" hidden="1" x14ac:dyDescent="0.25">
      <c r="Y9474" s="501"/>
    </row>
    <row r="9475" spans="25:25" hidden="1" x14ac:dyDescent="0.25">
      <c r="Y9475" s="501"/>
    </row>
    <row r="9476" spans="25:25" hidden="1" x14ac:dyDescent="0.25">
      <c r="Y9476" s="501"/>
    </row>
    <row r="9477" spans="25:25" hidden="1" x14ac:dyDescent="0.25">
      <c r="Y9477" s="501"/>
    </row>
    <row r="9478" spans="25:25" hidden="1" x14ac:dyDescent="0.25">
      <c r="Y9478" s="501"/>
    </row>
    <row r="9479" spans="25:25" hidden="1" x14ac:dyDescent="0.25">
      <c r="Y9479" s="501"/>
    </row>
    <row r="9480" spans="25:25" hidden="1" x14ac:dyDescent="0.25">
      <c r="Y9480" s="501"/>
    </row>
    <row r="9481" spans="25:25" hidden="1" x14ac:dyDescent="0.25">
      <c r="Y9481" s="501"/>
    </row>
    <row r="9482" spans="25:25" hidden="1" x14ac:dyDescent="0.25">
      <c r="Y9482" s="501"/>
    </row>
    <row r="9483" spans="25:25" hidden="1" x14ac:dyDescent="0.25">
      <c r="Y9483" s="501"/>
    </row>
    <row r="9484" spans="25:25" hidden="1" x14ac:dyDescent="0.25">
      <c r="Y9484" s="501"/>
    </row>
    <row r="9485" spans="25:25" hidden="1" x14ac:dyDescent="0.25">
      <c r="Y9485" s="501"/>
    </row>
    <row r="9486" spans="25:25" hidden="1" x14ac:dyDescent="0.25">
      <c r="Y9486" s="501"/>
    </row>
    <row r="9487" spans="25:25" hidden="1" x14ac:dyDescent="0.25">
      <c r="Y9487" s="501"/>
    </row>
    <row r="9488" spans="25:25" hidden="1" x14ac:dyDescent="0.25">
      <c r="Y9488" s="501"/>
    </row>
    <row r="9489" spans="25:25" hidden="1" x14ac:dyDescent="0.25">
      <c r="Y9489" s="501"/>
    </row>
    <row r="9490" spans="25:25" hidden="1" x14ac:dyDescent="0.25">
      <c r="Y9490" s="501"/>
    </row>
    <row r="9491" spans="25:25" hidden="1" x14ac:dyDescent="0.25">
      <c r="Y9491" s="501"/>
    </row>
    <row r="9492" spans="25:25" hidden="1" x14ac:dyDescent="0.25">
      <c r="Y9492" s="501"/>
    </row>
    <row r="9493" spans="25:25" hidden="1" x14ac:dyDescent="0.25">
      <c r="Y9493" s="501"/>
    </row>
    <row r="9494" spans="25:25" hidden="1" x14ac:dyDescent="0.25">
      <c r="Y9494" s="501"/>
    </row>
    <row r="9495" spans="25:25" hidden="1" x14ac:dyDescent="0.25">
      <c r="Y9495" s="501"/>
    </row>
    <row r="9496" spans="25:25" hidden="1" x14ac:dyDescent="0.25">
      <c r="Y9496" s="501"/>
    </row>
    <row r="9497" spans="25:25" hidden="1" x14ac:dyDescent="0.25">
      <c r="Y9497" s="501"/>
    </row>
    <row r="9498" spans="25:25" hidden="1" x14ac:dyDescent="0.25">
      <c r="Y9498" s="501"/>
    </row>
    <row r="9499" spans="25:25" hidden="1" x14ac:dyDescent="0.25">
      <c r="Y9499" s="501"/>
    </row>
    <row r="9500" spans="25:25" hidden="1" x14ac:dyDescent="0.25">
      <c r="Y9500" s="501"/>
    </row>
    <row r="9501" spans="25:25" hidden="1" x14ac:dyDescent="0.25">
      <c r="Y9501" s="501"/>
    </row>
    <row r="9502" spans="25:25" hidden="1" x14ac:dyDescent="0.25">
      <c r="Y9502" s="501"/>
    </row>
    <row r="9503" spans="25:25" hidden="1" x14ac:dyDescent="0.25">
      <c r="Y9503" s="501"/>
    </row>
    <row r="9504" spans="25:25" hidden="1" x14ac:dyDescent="0.25">
      <c r="Y9504" s="501"/>
    </row>
    <row r="9505" spans="25:25" hidden="1" x14ac:dyDescent="0.25">
      <c r="Y9505" s="501"/>
    </row>
    <row r="9506" spans="25:25" hidden="1" x14ac:dyDescent="0.25">
      <c r="Y9506" s="501"/>
    </row>
    <row r="9507" spans="25:25" hidden="1" x14ac:dyDescent="0.25">
      <c r="Y9507" s="501"/>
    </row>
    <row r="9508" spans="25:25" hidden="1" x14ac:dyDescent="0.25">
      <c r="Y9508" s="501"/>
    </row>
    <row r="9509" spans="25:25" hidden="1" x14ac:dyDescent="0.25">
      <c r="Y9509" s="501"/>
    </row>
    <row r="9510" spans="25:25" hidden="1" x14ac:dyDescent="0.25">
      <c r="Y9510" s="501"/>
    </row>
    <row r="9511" spans="25:25" hidden="1" x14ac:dyDescent="0.25">
      <c r="Y9511" s="501"/>
    </row>
    <row r="9512" spans="25:25" hidden="1" x14ac:dyDescent="0.25">
      <c r="Y9512" s="501"/>
    </row>
    <row r="9513" spans="25:25" hidden="1" x14ac:dyDescent="0.25">
      <c r="Y9513" s="501"/>
    </row>
    <row r="9514" spans="25:25" hidden="1" x14ac:dyDescent="0.25">
      <c r="Y9514" s="501"/>
    </row>
    <row r="9515" spans="25:25" hidden="1" x14ac:dyDescent="0.25">
      <c r="Y9515" s="501"/>
    </row>
    <row r="9516" spans="25:25" hidden="1" x14ac:dyDescent="0.25">
      <c r="Y9516" s="501"/>
    </row>
    <row r="9517" spans="25:25" hidden="1" x14ac:dyDescent="0.25">
      <c r="Y9517" s="501"/>
    </row>
    <row r="9518" spans="25:25" hidden="1" x14ac:dyDescent="0.25">
      <c r="Y9518" s="501"/>
    </row>
    <row r="9519" spans="25:25" hidden="1" x14ac:dyDescent="0.25">
      <c r="Y9519" s="501"/>
    </row>
    <row r="9520" spans="25:25" hidden="1" x14ac:dyDescent="0.25">
      <c r="Y9520" s="501"/>
    </row>
    <row r="9521" spans="25:25" hidden="1" x14ac:dyDescent="0.25">
      <c r="Y9521" s="501"/>
    </row>
    <row r="9522" spans="25:25" hidden="1" x14ac:dyDescent="0.25">
      <c r="Y9522" s="501"/>
    </row>
    <row r="9523" spans="25:25" hidden="1" x14ac:dyDescent="0.25">
      <c r="Y9523" s="501"/>
    </row>
    <row r="9524" spans="25:25" hidden="1" x14ac:dyDescent="0.25">
      <c r="Y9524" s="501"/>
    </row>
    <row r="9525" spans="25:25" hidden="1" x14ac:dyDescent="0.25">
      <c r="Y9525" s="501"/>
    </row>
    <row r="9526" spans="25:25" hidden="1" x14ac:dyDescent="0.25">
      <c r="Y9526" s="501"/>
    </row>
    <row r="9527" spans="25:25" hidden="1" x14ac:dyDescent="0.25">
      <c r="Y9527" s="501"/>
    </row>
    <row r="9528" spans="25:25" hidden="1" x14ac:dyDescent="0.25">
      <c r="Y9528" s="501"/>
    </row>
    <row r="9529" spans="25:25" hidden="1" x14ac:dyDescent="0.25">
      <c r="Y9529" s="501"/>
    </row>
    <row r="9530" spans="25:25" hidden="1" x14ac:dyDescent="0.25">
      <c r="Y9530" s="501"/>
    </row>
    <row r="9531" spans="25:25" hidden="1" x14ac:dyDescent="0.25">
      <c r="Y9531" s="501"/>
    </row>
    <row r="9532" spans="25:25" hidden="1" x14ac:dyDescent="0.25">
      <c r="Y9532" s="501"/>
    </row>
    <row r="9533" spans="25:25" hidden="1" x14ac:dyDescent="0.25">
      <c r="Y9533" s="501"/>
    </row>
    <row r="9534" spans="25:25" hidden="1" x14ac:dyDescent="0.25">
      <c r="Y9534" s="501"/>
    </row>
    <row r="9535" spans="25:25" hidden="1" x14ac:dyDescent="0.25">
      <c r="Y9535" s="501"/>
    </row>
    <row r="9536" spans="25:25" hidden="1" x14ac:dyDescent="0.25">
      <c r="Y9536" s="501"/>
    </row>
    <row r="9537" spans="25:25" hidden="1" x14ac:dyDescent="0.25">
      <c r="Y9537" s="501"/>
    </row>
    <row r="9538" spans="25:25" hidden="1" x14ac:dyDescent="0.25">
      <c r="Y9538" s="501"/>
    </row>
    <row r="9539" spans="25:25" hidden="1" x14ac:dyDescent="0.25">
      <c r="Y9539" s="501"/>
    </row>
    <row r="9540" spans="25:25" hidden="1" x14ac:dyDescent="0.25">
      <c r="Y9540" s="501"/>
    </row>
    <row r="9541" spans="25:25" hidden="1" x14ac:dyDescent="0.25">
      <c r="Y9541" s="501"/>
    </row>
    <row r="9542" spans="25:25" hidden="1" x14ac:dyDescent="0.25">
      <c r="Y9542" s="501"/>
    </row>
    <row r="9543" spans="25:25" hidden="1" x14ac:dyDescent="0.25">
      <c r="Y9543" s="501"/>
    </row>
    <row r="9544" spans="25:25" hidden="1" x14ac:dyDescent="0.25">
      <c r="Y9544" s="501"/>
    </row>
    <row r="9545" spans="25:25" hidden="1" x14ac:dyDescent="0.25">
      <c r="Y9545" s="501"/>
    </row>
    <row r="9546" spans="25:25" hidden="1" x14ac:dyDescent="0.25">
      <c r="Y9546" s="501"/>
    </row>
    <row r="9547" spans="25:25" hidden="1" x14ac:dyDescent="0.25">
      <c r="Y9547" s="501"/>
    </row>
    <row r="9548" spans="25:25" hidden="1" x14ac:dyDescent="0.25">
      <c r="Y9548" s="501"/>
    </row>
    <row r="9549" spans="25:25" hidden="1" x14ac:dyDescent="0.25">
      <c r="Y9549" s="501"/>
    </row>
    <row r="9550" spans="25:25" hidden="1" x14ac:dyDescent="0.25">
      <c r="Y9550" s="501"/>
    </row>
    <row r="9551" spans="25:25" hidden="1" x14ac:dyDescent="0.25">
      <c r="Y9551" s="501"/>
    </row>
    <row r="9552" spans="25:25" hidden="1" x14ac:dyDescent="0.25">
      <c r="Y9552" s="501"/>
    </row>
    <row r="9553" spans="25:25" hidden="1" x14ac:dyDescent="0.25">
      <c r="Y9553" s="501"/>
    </row>
    <row r="9554" spans="25:25" hidden="1" x14ac:dyDescent="0.25">
      <c r="Y9554" s="501"/>
    </row>
    <row r="9555" spans="25:25" hidden="1" x14ac:dyDescent="0.25">
      <c r="Y9555" s="501"/>
    </row>
    <row r="9556" spans="25:25" hidden="1" x14ac:dyDescent="0.25">
      <c r="Y9556" s="501"/>
    </row>
    <row r="9557" spans="25:25" hidden="1" x14ac:dyDescent="0.25">
      <c r="Y9557" s="501"/>
    </row>
    <row r="9558" spans="25:25" hidden="1" x14ac:dyDescent="0.25">
      <c r="Y9558" s="501"/>
    </row>
    <row r="9559" spans="25:25" hidden="1" x14ac:dyDescent="0.25">
      <c r="Y9559" s="501"/>
    </row>
    <row r="9560" spans="25:25" hidden="1" x14ac:dyDescent="0.25">
      <c r="Y9560" s="501"/>
    </row>
    <row r="9561" spans="25:25" hidden="1" x14ac:dyDescent="0.25">
      <c r="Y9561" s="501"/>
    </row>
    <row r="9562" spans="25:25" hidden="1" x14ac:dyDescent="0.25">
      <c r="Y9562" s="501"/>
    </row>
    <row r="9563" spans="25:25" hidden="1" x14ac:dyDescent="0.25">
      <c r="Y9563" s="501"/>
    </row>
    <row r="9564" spans="25:25" hidden="1" x14ac:dyDescent="0.25">
      <c r="Y9564" s="501"/>
    </row>
    <row r="9565" spans="25:25" hidden="1" x14ac:dyDescent="0.25">
      <c r="Y9565" s="501"/>
    </row>
    <row r="9566" spans="25:25" hidden="1" x14ac:dyDescent="0.25">
      <c r="Y9566" s="501"/>
    </row>
    <row r="9567" spans="25:25" hidden="1" x14ac:dyDescent="0.25">
      <c r="Y9567" s="501"/>
    </row>
    <row r="9568" spans="25:25" hidden="1" x14ac:dyDescent="0.25">
      <c r="Y9568" s="501"/>
    </row>
    <row r="9569" spans="25:25" hidden="1" x14ac:dyDescent="0.25">
      <c r="Y9569" s="501"/>
    </row>
    <row r="9570" spans="25:25" hidden="1" x14ac:dyDescent="0.25">
      <c r="Y9570" s="501"/>
    </row>
    <row r="9571" spans="25:25" hidden="1" x14ac:dyDescent="0.25">
      <c r="Y9571" s="501"/>
    </row>
    <row r="9572" spans="25:25" hidden="1" x14ac:dyDescent="0.25">
      <c r="Y9572" s="501"/>
    </row>
    <row r="9573" spans="25:25" hidden="1" x14ac:dyDescent="0.25">
      <c r="Y9573" s="501"/>
    </row>
    <row r="9574" spans="25:25" hidden="1" x14ac:dyDescent="0.25">
      <c r="Y9574" s="501"/>
    </row>
    <row r="9575" spans="25:25" hidden="1" x14ac:dyDescent="0.25">
      <c r="Y9575" s="501"/>
    </row>
    <row r="9576" spans="25:25" hidden="1" x14ac:dyDescent="0.25">
      <c r="Y9576" s="501"/>
    </row>
    <row r="9577" spans="25:25" hidden="1" x14ac:dyDescent="0.25">
      <c r="Y9577" s="501"/>
    </row>
    <row r="9578" spans="25:25" hidden="1" x14ac:dyDescent="0.25">
      <c r="Y9578" s="501"/>
    </row>
    <row r="9579" spans="25:25" hidden="1" x14ac:dyDescent="0.25">
      <c r="Y9579" s="501"/>
    </row>
    <row r="9580" spans="25:25" hidden="1" x14ac:dyDescent="0.25">
      <c r="Y9580" s="501"/>
    </row>
    <row r="9581" spans="25:25" hidden="1" x14ac:dyDescent="0.25">
      <c r="Y9581" s="501"/>
    </row>
    <row r="9582" spans="25:25" hidden="1" x14ac:dyDescent="0.25">
      <c r="Y9582" s="501"/>
    </row>
    <row r="9583" spans="25:25" hidden="1" x14ac:dyDescent="0.25">
      <c r="Y9583" s="501"/>
    </row>
    <row r="9584" spans="25:25" hidden="1" x14ac:dyDescent="0.25">
      <c r="Y9584" s="501"/>
    </row>
    <row r="9585" spans="25:25" hidden="1" x14ac:dyDescent="0.25">
      <c r="Y9585" s="501"/>
    </row>
    <row r="9586" spans="25:25" hidden="1" x14ac:dyDescent="0.25">
      <c r="Y9586" s="501"/>
    </row>
    <row r="9587" spans="25:25" hidden="1" x14ac:dyDescent="0.25">
      <c r="Y9587" s="501"/>
    </row>
    <row r="9588" spans="25:25" hidden="1" x14ac:dyDescent="0.25">
      <c r="Y9588" s="501"/>
    </row>
    <row r="9589" spans="25:25" hidden="1" x14ac:dyDescent="0.25">
      <c r="Y9589" s="501"/>
    </row>
    <row r="9590" spans="25:25" hidden="1" x14ac:dyDescent="0.25">
      <c r="Y9590" s="501"/>
    </row>
    <row r="9591" spans="25:25" hidden="1" x14ac:dyDescent="0.25">
      <c r="Y9591" s="501"/>
    </row>
    <row r="9592" spans="25:25" hidden="1" x14ac:dyDescent="0.25">
      <c r="Y9592" s="501"/>
    </row>
    <row r="9593" spans="25:25" hidden="1" x14ac:dyDescent="0.25">
      <c r="Y9593" s="501"/>
    </row>
    <row r="9594" spans="25:25" hidden="1" x14ac:dyDescent="0.25">
      <c r="Y9594" s="501"/>
    </row>
    <row r="9595" spans="25:25" hidden="1" x14ac:dyDescent="0.25">
      <c r="Y9595" s="501"/>
    </row>
    <row r="9596" spans="25:25" hidden="1" x14ac:dyDescent="0.25">
      <c r="Y9596" s="501"/>
    </row>
    <row r="9597" spans="25:25" hidden="1" x14ac:dyDescent="0.25">
      <c r="Y9597" s="501"/>
    </row>
    <row r="9598" spans="25:25" hidden="1" x14ac:dyDescent="0.25">
      <c r="Y9598" s="501"/>
    </row>
    <row r="9599" spans="25:25" hidden="1" x14ac:dyDescent="0.25">
      <c r="Y9599" s="501"/>
    </row>
    <row r="9600" spans="25:25" hidden="1" x14ac:dyDescent="0.25">
      <c r="Y9600" s="501"/>
    </row>
    <row r="9601" spans="25:25" hidden="1" x14ac:dyDescent="0.25">
      <c r="Y9601" s="501"/>
    </row>
    <row r="9602" spans="25:25" hidden="1" x14ac:dyDescent="0.25">
      <c r="Y9602" s="501"/>
    </row>
    <row r="9603" spans="25:25" hidden="1" x14ac:dyDescent="0.25">
      <c r="Y9603" s="501"/>
    </row>
    <row r="9604" spans="25:25" hidden="1" x14ac:dyDescent="0.25">
      <c r="Y9604" s="501"/>
    </row>
    <row r="9605" spans="25:25" hidden="1" x14ac:dyDescent="0.25">
      <c r="Y9605" s="501"/>
    </row>
    <row r="9606" spans="25:25" hidden="1" x14ac:dyDescent="0.25">
      <c r="Y9606" s="501"/>
    </row>
    <row r="9607" spans="25:25" hidden="1" x14ac:dyDescent="0.25">
      <c r="Y9607" s="501"/>
    </row>
    <row r="9608" spans="25:25" hidden="1" x14ac:dyDescent="0.25">
      <c r="Y9608" s="501"/>
    </row>
    <row r="9609" spans="25:25" hidden="1" x14ac:dyDescent="0.25">
      <c r="Y9609" s="501"/>
    </row>
    <row r="9610" spans="25:25" hidden="1" x14ac:dyDescent="0.25">
      <c r="Y9610" s="501"/>
    </row>
    <row r="9611" spans="25:25" hidden="1" x14ac:dyDescent="0.25">
      <c r="Y9611" s="501"/>
    </row>
    <row r="9612" spans="25:25" hidden="1" x14ac:dyDescent="0.25">
      <c r="Y9612" s="501"/>
    </row>
    <row r="9613" spans="25:25" hidden="1" x14ac:dyDescent="0.25">
      <c r="Y9613" s="501"/>
    </row>
    <row r="9614" spans="25:25" hidden="1" x14ac:dyDescent="0.25">
      <c r="Y9614" s="501"/>
    </row>
    <row r="9615" spans="25:25" hidden="1" x14ac:dyDescent="0.25">
      <c r="Y9615" s="501"/>
    </row>
    <row r="9616" spans="25:25" hidden="1" x14ac:dyDescent="0.25">
      <c r="Y9616" s="501"/>
    </row>
    <row r="9617" spans="25:25" hidden="1" x14ac:dyDescent="0.25">
      <c r="Y9617" s="501"/>
    </row>
    <row r="9618" spans="25:25" hidden="1" x14ac:dyDescent="0.25">
      <c r="Y9618" s="501"/>
    </row>
    <row r="9619" spans="25:25" hidden="1" x14ac:dyDescent="0.25">
      <c r="Y9619" s="501"/>
    </row>
    <row r="9620" spans="25:25" hidden="1" x14ac:dyDescent="0.25">
      <c r="Y9620" s="501"/>
    </row>
    <row r="9621" spans="25:25" hidden="1" x14ac:dyDescent="0.25">
      <c r="Y9621" s="501"/>
    </row>
    <row r="9622" spans="25:25" hidden="1" x14ac:dyDescent="0.25">
      <c r="Y9622" s="501"/>
    </row>
    <row r="9623" spans="25:25" hidden="1" x14ac:dyDescent="0.25">
      <c r="Y9623" s="501"/>
    </row>
    <row r="9624" spans="25:25" hidden="1" x14ac:dyDescent="0.25">
      <c r="Y9624" s="501"/>
    </row>
    <row r="9625" spans="25:25" hidden="1" x14ac:dyDescent="0.25">
      <c r="Y9625" s="501"/>
    </row>
    <row r="9626" spans="25:25" hidden="1" x14ac:dyDescent="0.25">
      <c r="Y9626" s="501"/>
    </row>
    <row r="9627" spans="25:25" hidden="1" x14ac:dyDescent="0.25">
      <c r="Y9627" s="501"/>
    </row>
    <row r="9628" spans="25:25" hidden="1" x14ac:dyDescent="0.25">
      <c r="Y9628" s="501"/>
    </row>
    <row r="9629" spans="25:25" hidden="1" x14ac:dyDescent="0.25">
      <c r="Y9629" s="501"/>
    </row>
    <row r="9630" spans="25:25" hidden="1" x14ac:dyDescent="0.25">
      <c r="Y9630" s="501"/>
    </row>
    <row r="9631" spans="25:25" hidden="1" x14ac:dyDescent="0.25">
      <c r="Y9631" s="501"/>
    </row>
    <row r="9632" spans="25:25" hidden="1" x14ac:dyDescent="0.25">
      <c r="Y9632" s="501"/>
    </row>
    <row r="9633" spans="25:25" hidden="1" x14ac:dyDescent="0.25">
      <c r="Y9633" s="501"/>
    </row>
    <row r="9634" spans="25:25" hidden="1" x14ac:dyDescent="0.25">
      <c r="Y9634" s="501"/>
    </row>
    <row r="9635" spans="25:25" hidden="1" x14ac:dyDescent="0.25">
      <c r="Y9635" s="501"/>
    </row>
    <row r="9636" spans="25:25" hidden="1" x14ac:dyDescent="0.25">
      <c r="Y9636" s="501"/>
    </row>
    <row r="9637" spans="25:25" hidden="1" x14ac:dyDescent="0.25">
      <c r="Y9637" s="501"/>
    </row>
    <row r="9638" spans="25:25" hidden="1" x14ac:dyDescent="0.25">
      <c r="Y9638" s="501"/>
    </row>
    <row r="9639" spans="25:25" hidden="1" x14ac:dyDescent="0.25">
      <c r="Y9639" s="501"/>
    </row>
    <row r="9640" spans="25:25" hidden="1" x14ac:dyDescent="0.25">
      <c r="Y9640" s="501"/>
    </row>
    <row r="9641" spans="25:25" hidden="1" x14ac:dyDescent="0.25">
      <c r="Y9641" s="501"/>
    </row>
    <row r="9642" spans="25:25" hidden="1" x14ac:dyDescent="0.25">
      <c r="Y9642" s="501"/>
    </row>
    <row r="9643" spans="25:25" hidden="1" x14ac:dyDescent="0.25">
      <c r="Y9643" s="501"/>
    </row>
    <row r="9644" spans="25:25" hidden="1" x14ac:dyDescent="0.25">
      <c r="Y9644" s="501"/>
    </row>
    <row r="9645" spans="25:25" hidden="1" x14ac:dyDescent="0.25">
      <c r="Y9645" s="501"/>
    </row>
    <row r="9646" spans="25:25" hidden="1" x14ac:dyDescent="0.25">
      <c r="Y9646" s="501"/>
    </row>
    <row r="9647" spans="25:25" hidden="1" x14ac:dyDescent="0.25">
      <c r="Y9647" s="501"/>
    </row>
    <row r="9648" spans="25:25" hidden="1" x14ac:dyDescent="0.25">
      <c r="Y9648" s="501"/>
    </row>
    <row r="9649" spans="25:25" hidden="1" x14ac:dyDescent="0.25">
      <c r="Y9649" s="501"/>
    </row>
    <row r="9650" spans="25:25" hidden="1" x14ac:dyDescent="0.25">
      <c r="Y9650" s="501"/>
    </row>
    <row r="9651" spans="25:25" hidden="1" x14ac:dyDescent="0.25">
      <c r="Y9651" s="501"/>
    </row>
    <row r="9652" spans="25:25" hidden="1" x14ac:dyDescent="0.25">
      <c r="Y9652" s="501"/>
    </row>
    <row r="9653" spans="25:25" hidden="1" x14ac:dyDescent="0.25">
      <c r="Y9653" s="501"/>
    </row>
    <row r="9654" spans="25:25" hidden="1" x14ac:dyDescent="0.25">
      <c r="Y9654" s="501"/>
    </row>
    <row r="9655" spans="25:25" hidden="1" x14ac:dyDescent="0.25">
      <c r="Y9655" s="501"/>
    </row>
    <row r="9656" spans="25:25" hidden="1" x14ac:dyDescent="0.25">
      <c r="Y9656" s="501"/>
    </row>
    <row r="9657" spans="25:25" hidden="1" x14ac:dyDescent="0.25">
      <c r="Y9657" s="501"/>
    </row>
    <row r="9658" spans="25:25" hidden="1" x14ac:dyDescent="0.25">
      <c r="Y9658" s="501"/>
    </row>
    <row r="9659" spans="25:25" hidden="1" x14ac:dyDescent="0.25">
      <c r="Y9659" s="501"/>
    </row>
    <row r="9660" spans="25:25" hidden="1" x14ac:dyDescent="0.25">
      <c r="Y9660" s="501"/>
    </row>
    <row r="9661" spans="25:25" hidden="1" x14ac:dyDescent="0.25">
      <c r="Y9661" s="501"/>
    </row>
    <row r="9662" spans="25:25" hidden="1" x14ac:dyDescent="0.25">
      <c r="Y9662" s="501"/>
    </row>
    <row r="9663" spans="25:25" hidden="1" x14ac:dyDescent="0.25">
      <c r="Y9663" s="501"/>
    </row>
    <row r="9664" spans="25:25" hidden="1" x14ac:dyDescent="0.25">
      <c r="Y9664" s="501"/>
    </row>
    <row r="9665" spans="25:25" hidden="1" x14ac:dyDescent="0.25">
      <c r="Y9665" s="501"/>
    </row>
    <row r="9666" spans="25:25" hidden="1" x14ac:dyDescent="0.25">
      <c r="Y9666" s="501"/>
    </row>
    <row r="9667" spans="25:25" hidden="1" x14ac:dyDescent="0.25">
      <c r="Y9667" s="501"/>
    </row>
    <row r="9668" spans="25:25" hidden="1" x14ac:dyDescent="0.25">
      <c r="Y9668" s="501"/>
    </row>
    <row r="9669" spans="25:25" hidden="1" x14ac:dyDescent="0.25">
      <c r="Y9669" s="501"/>
    </row>
    <row r="9670" spans="25:25" hidden="1" x14ac:dyDescent="0.25">
      <c r="Y9670" s="501"/>
    </row>
    <row r="9671" spans="25:25" hidden="1" x14ac:dyDescent="0.25">
      <c r="Y9671" s="501"/>
    </row>
    <row r="9672" spans="25:25" hidden="1" x14ac:dyDescent="0.25">
      <c r="Y9672" s="501"/>
    </row>
    <row r="9673" spans="25:25" hidden="1" x14ac:dyDescent="0.25">
      <c r="Y9673" s="501"/>
    </row>
    <row r="9674" spans="25:25" hidden="1" x14ac:dyDescent="0.25">
      <c r="Y9674" s="501"/>
    </row>
    <row r="9675" spans="25:25" hidden="1" x14ac:dyDescent="0.25">
      <c r="Y9675" s="501"/>
    </row>
    <row r="9676" spans="25:25" hidden="1" x14ac:dyDescent="0.25">
      <c r="Y9676" s="501"/>
    </row>
    <row r="9677" spans="25:25" hidden="1" x14ac:dyDescent="0.25">
      <c r="Y9677" s="501"/>
    </row>
    <row r="9678" spans="25:25" hidden="1" x14ac:dyDescent="0.25">
      <c r="Y9678" s="501"/>
    </row>
    <row r="9679" spans="25:25" hidden="1" x14ac:dyDescent="0.25">
      <c r="Y9679" s="501"/>
    </row>
    <row r="9680" spans="25:25" hidden="1" x14ac:dyDescent="0.25">
      <c r="Y9680" s="501"/>
    </row>
    <row r="9681" spans="25:25" hidden="1" x14ac:dyDescent="0.25">
      <c r="Y9681" s="501"/>
    </row>
    <row r="9682" spans="25:25" hidden="1" x14ac:dyDescent="0.25">
      <c r="Y9682" s="501"/>
    </row>
    <row r="9683" spans="25:25" hidden="1" x14ac:dyDescent="0.25">
      <c r="Y9683" s="501"/>
    </row>
    <row r="9684" spans="25:25" hidden="1" x14ac:dyDescent="0.25">
      <c r="Y9684" s="501"/>
    </row>
    <row r="9685" spans="25:25" hidden="1" x14ac:dyDescent="0.25">
      <c r="Y9685" s="501"/>
    </row>
    <row r="9686" spans="25:25" hidden="1" x14ac:dyDescent="0.25">
      <c r="Y9686" s="501"/>
    </row>
    <row r="9687" spans="25:25" hidden="1" x14ac:dyDescent="0.25">
      <c r="Y9687" s="501"/>
    </row>
    <row r="9688" spans="25:25" hidden="1" x14ac:dyDescent="0.25">
      <c r="Y9688" s="501"/>
    </row>
    <row r="9689" spans="25:25" hidden="1" x14ac:dyDescent="0.25">
      <c r="Y9689" s="501"/>
    </row>
    <row r="9690" spans="25:25" hidden="1" x14ac:dyDescent="0.25">
      <c r="Y9690" s="501"/>
    </row>
    <row r="9691" spans="25:25" hidden="1" x14ac:dyDescent="0.25">
      <c r="Y9691" s="501"/>
    </row>
    <row r="9692" spans="25:25" hidden="1" x14ac:dyDescent="0.25">
      <c r="Y9692" s="501"/>
    </row>
    <row r="9693" spans="25:25" hidden="1" x14ac:dyDescent="0.25">
      <c r="Y9693" s="501"/>
    </row>
    <row r="9694" spans="25:25" hidden="1" x14ac:dyDescent="0.25">
      <c r="Y9694" s="501"/>
    </row>
    <row r="9695" spans="25:25" hidden="1" x14ac:dyDescent="0.25">
      <c r="Y9695" s="501"/>
    </row>
    <row r="9696" spans="25:25" hidden="1" x14ac:dyDescent="0.25">
      <c r="Y9696" s="501"/>
    </row>
    <row r="9697" spans="25:25" hidden="1" x14ac:dyDescent="0.25">
      <c r="Y9697" s="501"/>
    </row>
    <row r="9698" spans="25:25" hidden="1" x14ac:dyDescent="0.25">
      <c r="Y9698" s="501"/>
    </row>
    <row r="9699" spans="25:25" hidden="1" x14ac:dyDescent="0.25">
      <c r="Y9699" s="501"/>
    </row>
    <row r="9700" spans="25:25" hidden="1" x14ac:dyDescent="0.25">
      <c r="Y9700" s="501"/>
    </row>
    <row r="9701" spans="25:25" hidden="1" x14ac:dyDescent="0.25">
      <c r="Y9701" s="501"/>
    </row>
    <row r="9702" spans="25:25" hidden="1" x14ac:dyDescent="0.25">
      <c r="Y9702" s="501"/>
    </row>
    <row r="9703" spans="25:25" hidden="1" x14ac:dyDescent="0.25">
      <c r="Y9703" s="501"/>
    </row>
    <row r="9704" spans="25:25" hidden="1" x14ac:dyDescent="0.25">
      <c r="Y9704" s="501"/>
    </row>
    <row r="9705" spans="25:25" hidden="1" x14ac:dyDescent="0.25">
      <c r="Y9705" s="501"/>
    </row>
    <row r="9706" spans="25:25" hidden="1" x14ac:dyDescent="0.25">
      <c r="Y9706" s="501"/>
    </row>
    <row r="9707" spans="25:25" hidden="1" x14ac:dyDescent="0.25">
      <c r="Y9707" s="501"/>
    </row>
    <row r="9708" spans="25:25" hidden="1" x14ac:dyDescent="0.25">
      <c r="Y9708" s="501"/>
    </row>
    <row r="9709" spans="25:25" hidden="1" x14ac:dyDescent="0.25">
      <c r="Y9709" s="501"/>
    </row>
    <row r="9710" spans="25:25" hidden="1" x14ac:dyDescent="0.25">
      <c r="Y9710" s="501"/>
    </row>
    <row r="9711" spans="25:25" hidden="1" x14ac:dyDescent="0.25">
      <c r="Y9711" s="501"/>
    </row>
    <row r="9712" spans="25:25" hidden="1" x14ac:dyDescent="0.25">
      <c r="Y9712" s="501"/>
    </row>
    <row r="9713" spans="25:25" hidden="1" x14ac:dyDescent="0.25">
      <c r="Y9713" s="501"/>
    </row>
    <row r="9714" spans="25:25" hidden="1" x14ac:dyDescent="0.25">
      <c r="Y9714" s="501"/>
    </row>
    <row r="9715" spans="25:25" hidden="1" x14ac:dyDescent="0.25">
      <c r="Y9715" s="501"/>
    </row>
    <row r="9716" spans="25:25" hidden="1" x14ac:dyDescent="0.25">
      <c r="Y9716" s="501"/>
    </row>
    <row r="9717" spans="25:25" hidden="1" x14ac:dyDescent="0.25">
      <c r="Y9717" s="501"/>
    </row>
    <row r="9718" spans="25:25" hidden="1" x14ac:dyDescent="0.25">
      <c r="Y9718" s="501"/>
    </row>
    <row r="9719" spans="25:25" hidden="1" x14ac:dyDescent="0.25">
      <c r="Y9719" s="501"/>
    </row>
    <row r="9720" spans="25:25" hidden="1" x14ac:dyDescent="0.25">
      <c r="Y9720" s="501"/>
    </row>
    <row r="9721" spans="25:25" hidden="1" x14ac:dyDescent="0.25">
      <c r="Y9721" s="501"/>
    </row>
    <row r="9722" spans="25:25" hidden="1" x14ac:dyDescent="0.25">
      <c r="Y9722" s="501"/>
    </row>
    <row r="9723" spans="25:25" hidden="1" x14ac:dyDescent="0.25">
      <c r="Y9723" s="501"/>
    </row>
    <row r="9724" spans="25:25" hidden="1" x14ac:dyDescent="0.25">
      <c r="Y9724" s="501"/>
    </row>
    <row r="9725" spans="25:25" hidden="1" x14ac:dyDescent="0.25">
      <c r="Y9725" s="501"/>
    </row>
    <row r="9726" spans="25:25" hidden="1" x14ac:dyDescent="0.25">
      <c r="Y9726" s="501"/>
    </row>
    <row r="9727" spans="25:25" hidden="1" x14ac:dyDescent="0.25">
      <c r="Y9727" s="501"/>
    </row>
    <row r="9728" spans="25:25" hidden="1" x14ac:dyDescent="0.25">
      <c r="Y9728" s="501"/>
    </row>
    <row r="9729" spans="25:25" hidden="1" x14ac:dyDescent="0.25">
      <c r="Y9729" s="501"/>
    </row>
    <row r="9730" spans="25:25" hidden="1" x14ac:dyDescent="0.25">
      <c r="Y9730" s="501"/>
    </row>
    <row r="9731" spans="25:25" hidden="1" x14ac:dyDescent="0.25">
      <c r="Y9731" s="501"/>
    </row>
    <row r="9732" spans="25:25" hidden="1" x14ac:dyDescent="0.25">
      <c r="Y9732" s="501"/>
    </row>
    <row r="9733" spans="25:25" hidden="1" x14ac:dyDescent="0.25">
      <c r="Y9733" s="501"/>
    </row>
    <row r="9734" spans="25:25" hidden="1" x14ac:dyDescent="0.25">
      <c r="Y9734" s="501"/>
    </row>
    <row r="9735" spans="25:25" hidden="1" x14ac:dyDescent="0.25">
      <c r="Y9735" s="501"/>
    </row>
    <row r="9736" spans="25:25" hidden="1" x14ac:dyDescent="0.25">
      <c r="Y9736" s="501"/>
    </row>
    <row r="9737" spans="25:25" hidden="1" x14ac:dyDescent="0.25">
      <c r="Y9737" s="501"/>
    </row>
    <row r="9738" spans="25:25" hidden="1" x14ac:dyDescent="0.25">
      <c r="Y9738" s="501"/>
    </row>
    <row r="9739" spans="25:25" hidden="1" x14ac:dyDescent="0.25">
      <c r="Y9739" s="501"/>
    </row>
    <row r="9740" spans="25:25" hidden="1" x14ac:dyDescent="0.25">
      <c r="Y9740" s="501"/>
    </row>
    <row r="9741" spans="25:25" hidden="1" x14ac:dyDescent="0.25">
      <c r="Y9741" s="501"/>
    </row>
    <row r="9742" spans="25:25" hidden="1" x14ac:dyDescent="0.25">
      <c r="Y9742" s="501"/>
    </row>
    <row r="9743" spans="25:25" hidden="1" x14ac:dyDescent="0.25">
      <c r="Y9743" s="501"/>
    </row>
    <row r="9744" spans="25:25" hidden="1" x14ac:dyDescent="0.25">
      <c r="Y9744" s="501"/>
    </row>
    <row r="9745" spans="25:25" hidden="1" x14ac:dyDescent="0.25">
      <c r="Y9745" s="501"/>
    </row>
    <row r="9746" spans="25:25" hidden="1" x14ac:dyDescent="0.25">
      <c r="Y9746" s="501"/>
    </row>
    <row r="9747" spans="25:25" hidden="1" x14ac:dyDescent="0.25">
      <c r="Y9747" s="501"/>
    </row>
    <row r="9748" spans="25:25" hidden="1" x14ac:dyDescent="0.25">
      <c r="Y9748" s="501"/>
    </row>
    <row r="9749" spans="25:25" hidden="1" x14ac:dyDescent="0.25">
      <c r="Y9749" s="501"/>
    </row>
    <row r="9750" spans="25:25" hidden="1" x14ac:dyDescent="0.25">
      <c r="Y9750" s="501"/>
    </row>
    <row r="9751" spans="25:25" hidden="1" x14ac:dyDescent="0.25">
      <c r="Y9751" s="501"/>
    </row>
    <row r="9752" spans="25:25" hidden="1" x14ac:dyDescent="0.25">
      <c r="Y9752" s="501"/>
    </row>
    <row r="9753" spans="25:25" hidden="1" x14ac:dyDescent="0.25">
      <c r="Y9753" s="501"/>
    </row>
    <row r="9754" spans="25:25" hidden="1" x14ac:dyDescent="0.25">
      <c r="Y9754" s="501"/>
    </row>
    <row r="9755" spans="25:25" hidden="1" x14ac:dyDescent="0.25">
      <c r="Y9755" s="501"/>
    </row>
    <row r="9756" spans="25:25" hidden="1" x14ac:dyDescent="0.25">
      <c r="Y9756" s="501"/>
    </row>
    <row r="9757" spans="25:25" hidden="1" x14ac:dyDescent="0.25">
      <c r="Y9757" s="501"/>
    </row>
    <row r="9758" spans="25:25" hidden="1" x14ac:dyDescent="0.25">
      <c r="Y9758" s="501"/>
    </row>
    <row r="9759" spans="25:25" hidden="1" x14ac:dyDescent="0.25">
      <c r="Y9759" s="501"/>
    </row>
    <row r="9760" spans="25:25" hidden="1" x14ac:dyDescent="0.25">
      <c r="Y9760" s="501"/>
    </row>
    <row r="9761" spans="25:25" hidden="1" x14ac:dyDescent="0.25">
      <c r="Y9761" s="501"/>
    </row>
    <row r="9762" spans="25:25" hidden="1" x14ac:dyDescent="0.25">
      <c r="Y9762" s="501"/>
    </row>
    <row r="9763" spans="25:25" hidden="1" x14ac:dyDescent="0.25">
      <c r="Y9763" s="501"/>
    </row>
    <row r="9764" spans="25:25" hidden="1" x14ac:dyDescent="0.25">
      <c r="Y9764" s="501"/>
    </row>
    <row r="9765" spans="25:25" hidden="1" x14ac:dyDescent="0.25">
      <c r="Y9765" s="501"/>
    </row>
    <row r="9766" spans="25:25" hidden="1" x14ac:dyDescent="0.25">
      <c r="Y9766" s="501"/>
    </row>
    <row r="9767" spans="25:25" hidden="1" x14ac:dyDescent="0.25">
      <c r="Y9767" s="501"/>
    </row>
    <row r="9768" spans="25:25" hidden="1" x14ac:dyDescent="0.25">
      <c r="Y9768" s="501"/>
    </row>
    <row r="9769" spans="25:25" hidden="1" x14ac:dyDescent="0.25">
      <c r="Y9769" s="501"/>
    </row>
    <row r="9770" spans="25:25" hidden="1" x14ac:dyDescent="0.25">
      <c r="Y9770" s="501"/>
    </row>
    <row r="9771" spans="25:25" hidden="1" x14ac:dyDescent="0.25">
      <c r="Y9771" s="501"/>
    </row>
    <row r="9772" spans="25:25" hidden="1" x14ac:dyDescent="0.25">
      <c r="Y9772" s="501"/>
    </row>
    <row r="9773" spans="25:25" hidden="1" x14ac:dyDescent="0.25">
      <c r="Y9773" s="501"/>
    </row>
    <row r="9774" spans="25:25" hidden="1" x14ac:dyDescent="0.25">
      <c r="Y9774" s="501"/>
    </row>
    <row r="9775" spans="25:25" hidden="1" x14ac:dyDescent="0.25">
      <c r="Y9775" s="501"/>
    </row>
    <row r="9776" spans="25:25" hidden="1" x14ac:dyDescent="0.25">
      <c r="Y9776" s="501"/>
    </row>
    <row r="9777" spans="25:25" hidden="1" x14ac:dyDescent="0.25">
      <c r="Y9777" s="501"/>
    </row>
    <row r="9778" spans="25:25" hidden="1" x14ac:dyDescent="0.25">
      <c r="Y9778" s="501"/>
    </row>
    <row r="9779" spans="25:25" hidden="1" x14ac:dyDescent="0.25">
      <c r="Y9779" s="501"/>
    </row>
    <row r="9780" spans="25:25" hidden="1" x14ac:dyDescent="0.25">
      <c r="Y9780" s="501"/>
    </row>
    <row r="9781" spans="25:25" hidden="1" x14ac:dyDescent="0.25">
      <c r="Y9781" s="501"/>
    </row>
    <row r="9782" spans="25:25" hidden="1" x14ac:dyDescent="0.25">
      <c r="Y9782" s="501"/>
    </row>
    <row r="9783" spans="25:25" hidden="1" x14ac:dyDescent="0.25">
      <c r="Y9783" s="501"/>
    </row>
    <row r="9784" spans="25:25" hidden="1" x14ac:dyDescent="0.25">
      <c r="Y9784" s="501"/>
    </row>
    <row r="9785" spans="25:25" hidden="1" x14ac:dyDescent="0.25">
      <c r="Y9785" s="501"/>
    </row>
    <row r="9786" spans="25:25" hidden="1" x14ac:dyDescent="0.25">
      <c r="Y9786" s="501"/>
    </row>
    <row r="9787" spans="25:25" hidden="1" x14ac:dyDescent="0.25">
      <c r="Y9787" s="501"/>
    </row>
    <row r="9788" spans="25:25" hidden="1" x14ac:dyDescent="0.25">
      <c r="Y9788" s="501"/>
    </row>
    <row r="9789" spans="25:25" hidden="1" x14ac:dyDescent="0.25">
      <c r="Y9789" s="501"/>
    </row>
    <row r="9790" spans="25:25" hidden="1" x14ac:dyDescent="0.25">
      <c r="Y9790" s="501"/>
    </row>
    <row r="9791" spans="25:25" hidden="1" x14ac:dyDescent="0.25">
      <c r="Y9791" s="501"/>
    </row>
    <row r="9792" spans="25:25" hidden="1" x14ac:dyDescent="0.25">
      <c r="Y9792" s="501"/>
    </row>
    <row r="9793" spans="25:25" hidden="1" x14ac:dyDescent="0.25">
      <c r="Y9793" s="501"/>
    </row>
    <row r="9794" spans="25:25" hidden="1" x14ac:dyDescent="0.25">
      <c r="Y9794" s="501"/>
    </row>
    <row r="9795" spans="25:25" hidden="1" x14ac:dyDescent="0.25">
      <c r="Y9795" s="501"/>
    </row>
    <row r="9796" spans="25:25" hidden="1" x14ac:dyDescent="0.25">
      <c r="Y9796" s="501"/>
    </row>
    <row r="9797" spans="25:25" hidden="1" x14ac:dyDescent="0.25">
      <c r="Y9797" s="501"/>
    </row>
    <row r="9798" spans="25:25" hidden="1" x14ac:dyDescent="0.25">
      <c r="Y9798" s="501"/>
    </row>
    <row r="9799" spans="25:25" hidden="1" x14ac:dyDescent="0.25">
      <c r="Y9799" s="501"/>
    </row>
    <row r="9800" spans="25:25" hidden="1" x14ac:dyDescent="0.25">
      <c r="Y9800" s="501"/>
    </row>
    <row r="9801" spans="25:25" hidden="1" x14ac:dyDescent="0.25">
      <c r="Y9801" s="501"/>
    </row>
    <row r="9802" spans="25:25" hidden="1" x14ac:dyDescent="0.25">
      <c r="Y9802" s="501"/>
    </row>
    <row r="9803" spans="25:25" hidden="1" x14ac:dyDescent="0.25">
      <c r="Y9803" s="501"/>
    </row>
    <row r="9804" spans="25:25" hidden="1" x14ac:dyDescent="0.25">
      <c r="Y9804" s="501"/>
    </row>
    <row r="9805" spans="25:25" hidden="1" x14ac:dyDescent="0.25">
      <c r="Y9805" s="501"/>
    </row>
    <row r="9806" spans="25:25" hidden="1" x14ac:dyDescent="0.25">
      <c r="Y9806" s="501"/>
    </row>
    <row r="9807" spans="25:25" hidden="1" x14ac:dyDescent="0.25">
      <c r="Y9807" s="501"/>
    </row>
    <row r="9808" spans="25:25" hidden="1" x14ac:dyDescent="0.25">
      <c r="Y9808" s="501"/>
    </row>
    <row r="9809" spans="25:25" hidden="1" x14ac:dyDescent="0.25">
      <c r="Y9809" s="501"/>
    </row>
    <row r="9810" spans="25:25" hidden="1" x14ac:dyDescent="0.25">
      <c r="Y9810" s="501"/>
    </row>
    <row r="9811" spans="25:25" hidden="1" x14ac:dyDescent="0.25">
      <c r="Y9811" s="501"/>
    </row>
    <row r="9812" spans="25:25" hidden="1" x14ac:dyDescent="0.25">
      <c r="Y9812" s="501"/>
    </row>
    <row r="9813" spans="25:25" hidden="1" x14ac:dyDescent="0.25">
      <c r="Y9813" s="501"/>
    </row>
    <row r="9814" spans="25:25" hidden="1" x14ac:dyDescent="0.25">
      <c r="Y9814" s="501"/>
    </row>
    <row r="9815" spans="25:25" hidden="1" x14ac:dyDescent="0.25">
      <c r="Y9815" s="501"/>
    </row>
    <row r="9816" spans="25:25" hidden="1" x14ac:dyDescent="0.25">
      <c r="Y9816" s="501"/>
    </row>
    <row r="9817" spans="25:25" hidden="1" x14ac:dyDescent="0.25">
      <c r="Y9817" s="501"/>
    </row>
    <row r="9818" spans="25:25" hidden="1" x14ac:dyDescent="0.25">
      <c r="Y9818" s="501"/>
    </row>
    <row r="9819" spans="25:25" hidden="1" x14ac:dyDescent="0.25">
      <c r="Y9819" s="501"/>
    </row>
    <row r="9820" spans="25:25" hidden="1" x14ac:dyDescent="0.25">
      <c r="Y9820" s="501"/>
    </row>
    <row r="9821" spans="25:25" hidden="1" x14ac:dyDescent="0.25">
      <c r="Y9821" s="501"/>
    </row>
    <row r="9822" spans="25:25" hidden="1" x14ac:dyDescent="0.25">
      <c r="Y9822" s="501"/>
    </row>
    <row r="9823" spans="25:25" hidden="1" x14ac:dyDescent="0.25">
      <c r="Y9823" s="501"/>
    </row>
    <row r="9824" spans="25:25" hidden="1" x14ac:dyDescent="0.25">
      <c r="Y9824" s="501"/>
    </row>
    <row r="9825" spans="25:25" hidden="1" x14ac:dyDescent="0.25">
      <c r="Y9825" s="501"/>
    </row>
    <row r="9826" spans="25:25" hidden="1" x14ac:dyDescent="0.25">
      <c r="Y9826" s="501"/>
    </row>
    <row r="9827" spans="25:25" hidden="1" x14ac:dyDescent="0.25">
      <c r="Y9827" s="501"/>
    </row>
    <row r="9828" spans="25:25" hidden="1" x14ac:dyDescent="0.25">
      <c r="Y9828" s="501"/>
    </row>
    <row r="9829" spans="25:25" hidden="1" x14ac:dyDescent="0.25">
      <c r="Y9829" s="501"/>
    </row>
    <row r="9830" spans="25:25" hidden="1" x14ac:dyDescent="0.25">
      <c r="Y9830" s="501"/>
    </row>
    <row r="9831" spans="25:25" hidden="1" x14ac:dyDescent="0.25">
      <c r="Y9831" s="501"/>
    </row>
    <row r="9832" spans="25:25" hidden="1" x14ac:dyDescent="0.25">
      <c r="Y9832" s="501"/>
    </row>
    <row r="9833" spans="25:25" hidden="1" x14ac:dyDescent="0.25">
      <c r="Y9833" s="501"/>
    </row>
    <row r="9834" spans="25:25" hidden="1" x14ac:dyDescent="0.25">
      <c r="Y9834" s="501"/>
    </row>
    <row r="9835" spans="25:25" hidden="1" x14ac:dyDescent="0.25">
      <c r="Y9835" s="501"/>
    </row>
    <row r="9836" spans="25:25" hidden="1" x14ac:dyDescent="0.25">
      <c r="Y9836" s="501"/>
    </row>
    <row r="9837" spans="25:25" hidden="1" x14ac:dyDescent="0.25">
      <c r="Y9837" s="501"/>
    </row>
    <row r="9838" spans="25:25" hidden="1" x14ac:dyDescent="0.25">
      <c r="Y9838" s="501"/>
    </row>
    <row r="9839" spans="25:25" hidden="1" x14ac:dyDescent="0.25">
      <c r="Y9839" s="501"/>
    </row>
    <row r="9840" spans="25:25" hidden="1" x14ac:dyDescent="0.25">
      <c r="Y9840" s="501"/>
    </row>
    <row r="9841" spans="25:25" hidden="1" x14ac:dyDescent="0.25">
      <c r="Y9841" s="501"/>
    </row>
    <row r="9842" spans="25:25" hidden="1" x14ac:dyDescent="0.25">
      <c r="Y9842" s="501"/>
    </row>
    <row r="9843" spans="25:25" hidden="1" x14ac:dyDescent="0.25">
      <c r="Y9843" s="501"/>
    </row>
    <row r="9844" spans="25:25" hidden="1" x14ac:dyDescent="0.25">
      <c r="Y9844" s="501"/>
    </row>
    <row r="9845" spans="25:25" hidden="1" x14ac:dyDescent="0.25">
      <c r="Y9845" s="501"/>
    </row>
    <row r="9846" spans="25:25" hidden="1" x14ac:dyDescent="0.25">
      <c r="Y9846" s="501"/>
    </row>
    <row r="9847" spans="25:25" hidden="1" x14ac:dyDescent="0.25">
      <c r="Y9847" s="501"/>
    </row>
    <row r="9848" spans="25:25" hidden="1" x14ac:dyDescent="0.25">
      <c r="Y9848" s="501"/>
    </row>
    <row r="9849" spans="25:25" hidden="1" x14ac:dyDescent="0.25">
      <c r="Y9849" s="501"/>
    </row>
    <row r="9850" spans="25:25" hidden="1" x14ac:dyDescent="0.25">
      <c r="Y9850" s="501"/>
    </row>
    <row r="9851" spans="25:25" hidden="1" x14ac:dyDescent="0.25">
      <c r="Y9851" s="501"/>
    </row>
    <row r="9852" spans="25:25" hidden="1" x14ac:dyDescent="0.25">
      <c r="Y9852" s="501"/>
    </row>
    <row r="9853" spans="25:25" hidden="1" x14ac:dyDescent="0.25">
      <c r="Y9853" s="501"/>
    </row>
    <row r="9854" spans="25:25" hidden="1" x14ac:dyDescent="0.25">
      <c r="Y9854" s="501"/>
    </row>
    <row r="9855" spans="25:25" hidden="1" x14ac:dyDescent="0.25">
      <c r="Y9855" s="501"/>
    </row>
    <row r="9856" spans="25:25" hidden="1" x14ac:dyDescent="0.25">
      <c r="Y9856" s="501"/>
    </row>
    <row r="9857" spans="25:25" hidden="1" x14ac:dyDescent="0.25">
      <c r="Y9857" s="501"/>
    </row>
    <row r="9858" spans="25:25" hidden="1" x14ac:dyDescent="0.25">
      <c r="Y9858" s="501"/>
    </row>
    <row r="9859" spans="25:25" hidden="1" x14ac:dyDescent="0.25">
      <c r="Y9859" s="501"/>
    </row>
    <row r="9860" spans="25:25" hidden="1" x14ac:dyDescent="0.25">
      <c r="Y9860" s="501"/>
    </row>
    <row r="9861" spans="25:25" hidden="1" x14ac:dyDescent="0.25">
      <c r="Y9861" s="501"/>
    </row>
    <row r="9862" spans="25:25" hidden="1" x14ac:dyDescent="0.25">
      <c r="Y9862" s="501"/>
    </row>
    <row r="9863" spans="25:25" hidden="1" x14ac:dyDescent="0.25">
      <c r="Y9863" s="501"/>
    </row>
    <row r="9864" spans="25:25" hidden="1" x14ac:dyDescent="0.25">
      <c r="Y9864" s="501"/>
    </row>
    <row r="9865" spans="25:25" hidden="1" x14ac:dyDescent="0.25">
      <c r="Y9865" s="501"/>
    </row>
    <row r="9866" spans="25:25" hidden="1" x14ac:dyDescent="0.25">
      <c r="Y9866" s="501"/>
    </row>
    <row r="9867" spans="25:25" hidden="1" x14ac:dyDescent="0.25">
      <c r="Y9867" s="501"/>
    </row>
    <row r="9868" spans="25:25" hidden="1" x14ac:dyDescent="0.25">
      <c r="Y9868" s="501"/>
    </row>
    <row r="9869" spans="25:25" hidden="1" x14ac:dyDescent="0.25">
      <c r="Y9869" s="501"/>
    </row>
    <row r="9870" spans="25:25" hidden="1" x14ac:dyDescent="0.25">
      <c r="Y9870" s="501"/>
    </row>
    <row r="9871" spans="25:25" hidden="1" x14ac:dyDescent="0.25">
      <c r="Y9871" s="501"/>
    </row>
    <row r="9872" spans="25:25" hidden="1" x14ac:dyDescent="0.25">
      <c r="Y9872" s="501"/>
    </row>
    <row r="9873" spans="25:25" hidden="1" x14ac:dyDescent="0.25">
      <c r="Y9873" s="501"/>
    </row>
    <row r="9874" spans="25:25" hidden="1" x14ac:dyDescent="0.25">
      <c r="Y9874" s="501"/>
    </row>
    <row r="9875" spans="25:25" hidden="1" x14ac:dyDescent="0.25">
      <c r="Y9875" s="501"/>
    </row>
    <row r="9876" spans="25:25" hidden="1" x14ac:dyDescent="0.25">
      <c r="Y9876" s="501"/>
    </row>
    <row r="9877" spans="25:25" hidden="1" x14ac:dyDescent="0.25">
      <c r="Y9877" s="501"/>
    </row>
    <row r="9878" spans="25:25" hidden="1" x14ac:dyDescent="0.25">
      <c r="Y9878" s="501"/>
    </row>
    <row r="9879" spans="25:25" hidden="1" x14ac:dyDescent="0.25">
      <c r="Y9879" s="501"/>
    </row>
    <row r="9880" spans="25:25" hidden="1" x14ac:dyDescent="0.25">
      <c r="Y9880" s="501"/>
    </row>
    <row r="9881" spans="25:25" hidden="1" x14ac:dyDescent="0.25">
      <c r="Y9881" s="501"/>
    </row>
    <row r="9882" spans="25:25" hidden="1" x14ac:dyDescent="0.25">
      <c r="Y9882" s="501"/>
    </row>
    <row r="9883" spans="25:25" hidden="1" x14ac:dyDescent="0.25">
      <c r="Y9883" s="501"/>
    </row>
    <row r="9884" spans="25:25" hidden="1" x14ac:dyDescent="0.25">
      <c r="Y9884" s="501"/>
    </row>
    <row r="9885" spans="25:25" hidden="1" x14ac:dyDescent="0.25">
      <c r="Y9885" s="501"/>
    </row>
    <row r="9886" spans="25:25" hidden="1" x14ac:dyDescent="0.25">
      <c r="Y9886" s="501"/>
    </row>
    <row r="9887" spans="25:25" hidden="1" x14ac:dyDescent="0.25">
      <c r="Y9887" s="501"/>
    </row>
    <row r="9888" spans="25:25" hidden="1" x14ac:dyDescent="0.25">
      <c r="Y9888" s="501"/>
    </row>
    <row r="9889" spans="25:25" hidden="1" x14ac:dyDescent="0.25">
      <c r="Y9889" s="501"/>
    </row>
    <row r="9890" spans="25:25" hidden="1" x14ac:dyDescent="0.25">
      <c r="Y9890" s="501"/>
    </row>
    <row r="9891" spans="25:25" hidden="1" x14ac:dyDescent="0.25">
      <c r="Y9891" s="501"/>
    </row>
    <row r="9892" spans="25:25" hidden="1" x14ac:dyDescent="0.25">
      <c r="Y9892" s="501"/>
    </row>
    <row r="9893" spans="25:25" hidden="1" x14ac:dyDescent="0.25">
      <c r="Y9893" s="501"/>
    </row>
    <row r="9894" spans="25:25" hidden="1" x14ac:dyDescent="0.25">
      <c r="Y9894" s="501"/>
    </row>
    <row r="9895" spans="25:25" hidden="1" x14ac:dyDescent="0.25">
      <c r="Y9895" s="501"/>
    </row>
    <row r="9896" spans="25:25" hidden="1" x14ac:dyDescent="0.25">
      <c r="Y9896" s="501"/>
    </row>
    <row r="9897" spans="25:25" hidden="1" x14ac:dyDescent="0.25">
      <c r="Y9897" s="501"/>
    </row>
    <row r="9898" spans="25:25" hidden="1" x14ac:dyDescent="0.25">
      <c r="Y9898" s="501"/>
    </row>
    <row r="9899" spans="25:25" hidden="1" x14ac:dyDescent="0.25">
      <c r="Y9899" s="501"/>
    </row>
    <row r="9900" spans="25:25" hidden="1" x14ac:dyDescent="0.25">
      <c r="Y9900" s="501"/>
    </row>
    <row r="9901" spans="25:25" hidden="1" x14ac:dyDescent="0.25">
      <c r="Y9901" s="501"/>
    </row>
    <row r="9902" spans="25:25" hidden="1" x14ac:dyDescent="0.25">
      <c r="Y9902" s="501"/>
    </row>
    <row r="9903" spans="25:25" hidden="1" x14ac:dyDescent="0.25">
      <c r="Y9903" s="501"/>
    </row>
    <row r="9904" spans="25:25" hidden="1" x14ac:dyDescent="0.25">
      <c r="Y9904" s="501"/>
    </row>
    <row r="9905" spans="25:25" hidden="1" x14ac:dyDescent="0.25">
      <c r="Y9905" s="501"/>
    </row>
    <row r="9906" spans="25:25" hidden="1" x14ac:dyDescent="0.25">
      <c r="Y9906" s="501"/>
    </row>
    <row r="9907" spans="25:25" hidden="1" x14ac:dyDescent="0.25">
      <c r="Y9907" s="501"/>
    </row>
    <row r="9908" spans="25:25" hidden="1" x14ac:dyDescent="0.25">
      <c r="Y9908" s="501"/>
    </row>
    <row r="9909" spans="25:25" hidden="1" x14ac:dyDescent="0.25">
      <c r="Y9909" s="501"/>
    </row>
    <row r="9910" spans="25:25" hidden="1" x14ac:dyDescent="0.25">
      <c r="Y9910" s="501"/>
    </row>
    <row r="9911" spans="25:25" hidden="1" x14ac:dyDescent="0.25">
      <c r="Y9911" s="501"/>
    </row>
    <row r="9912" spans="25:25" hidden="1" x14ac:dyDescent="0.25">
      <c r="Y9912" s="501"/>
    </row>
    <row r="9913" spans="25:25" hidden="1" x14ac:dyDescent="0.25">
      <c r="Y9913" s="501"/>
    </row>
    <row r="9914" spans="25:25" hidden="1" x14ac:dyDescent="0.25">
      <c r="Y9914" s="501"/>
    </row>
    <row r="9915" spans="25:25" hidden="1" x14ac:dyDescent="0.25">
      <c r="Y9915" s="501"/>
    </row>
    <row r="9916" spans="25:25" hidden="1" x14ac:dyDescent="0.25">
      <c r="Y9916" s="501"/>
    </row>
    <row r="9917" spans="25:25" hidden="1" x14ac:dyDescent="0.25">
      <c r="Y9917" s="501"/>
    </row>
    <row r="9918" spans="25:25" hidden="1" x14ac:dyDescent="0.25">
      <c r="Y9918" s="501"/>
    </row>
    <row r="9919" spans="25:25" hidden="1" x14ac:dyDescent="0.25">
      <c r="Y9919" s="501"/>
    </row>
    <row r="9920" spans="25:25" hidden="1" x14ac:dyDescent="0.25">
      <c r="Y9920" s="501"/>
    </row>
    <row r="9921" spans="25:25" hidden="1" x14ac:dyDescent="0.25">
      <c r="Y9921" s="501"/>
    </row>
    <row r="9922" spans="25:25" hidden="1" x14ac:dyDescent="0.25">
      <c r="Y9922" s="501"/>
    </row>
    <row r="9923" spans="25:25" hidden="1" x14ac:dyDescent="0.25">
      <c r="Y9923" s="501"/>
    </row>
    <row r="9924" spans="25:25" hidden="1" x14ac:dyDescent="0.25">
      <c r="Y9924" s="501"/>
    </row>
    <row r="9925" spans="25:25" hidden="1" x14ac:dyDescent="0.25">
      <c r="Y9925" s="501"/>
    </row>
    <row r="9926" spans="25:25" hidden="1" x14ac:dyDescent="0.25">
      <c r="Y9926" s="501"/>
    </row>
    <row r="9927" spans="25:25" hidden="1" x14ac:dyDescent="0.25">
      <c r="Y9927" s="501"/>
    </row>
    <row r="9928" spans="25:25" hidden="1" x14ac:dyDescent="0.25">
      <c r="Y9928" s="501"/>
    </row>
    <row r="9929" spans="25:25" hidden="1" x14ac:dyDescent="0.25">
      <c r="Y9929" s="501"/>
    </row>
    <row r="9930" spans="25:25" hidden="1" x14ac:dyDescent="0.25">
      <c r="Y9930" s="501"/>
    </row>
    <row r="9931" spans="25:25" hidden="1" x14ac:dyDescent="0.25">
      <c r="Y9931" s="501"/>
    </row>
    <row r="9932" spans="25:25" hidden="1" x14ac:dyDescent="0.25">
      <c r="Y9932" s="501"/>
    </row>
    <row r="9933" spans="25:25" hidden="1" x14ac:dyDescent="0.25">
      <c r="Y9933" s="501"/>
    </row>
    <row r="9934" spans="25:25" hidden="1" x14ac:dyDescent="0.25">
      <c r="Y9934" s="501"/>
    </row>
    <row r="9935" spans="25:25" hidden="1" x14ac:dyDescent="0.25">
      <c r="Y9935" s="501"/>
    </row>
    <row r="9936" spans="25:25" hidden="1" x14ac:dyDescent="0.25">
      <c r="Y9936" s="501"/>
    </row>
    <row r="9937" spans="25:25" hidden="1" x14ac:dyDescent="0.25">
      <c r="Y9937" s="501"/>
    </row>
    <row r="9938" spans="25:25" hidden="1" x14ac:dyDescent="0.25">
      <c r="Y9938" s="501"/>
    </row>
    <row r="9939" spans="25:25" hidden="1" x14ac:dyDescent="0.25">
      <c r="Y9939" s="501"/>
    </row>
    <row r="9940" spans="25:25" hidden="1" x14ac:dyDescent="0.25">
      <c r="Y9940" s="501"/>
    </row>
    <row r="9941" spans="25:25" hidden="1" x14ac:dyDescent="0.25">
      <c r="Y9941" s="501"/>
    </row>
    <row r="9942" spans="25:25" hidden="1" x14ac:dyDescent="0.25">
      <c r="Y9942" s="501"/>
    </row>
    <row r="9943" spans="25:25" hidden="1" x14ac:dyDescent="0.25">
      <c r="Y9943" s="501"/>
    </row>
    <row r="9944" spans="25:25" hidden="1" x14ac:dyDescent="0.25">
      <c r="Y9944" s="501"/>
    </row>
    <row r="9945" spans="25:25" hidden="1" x14ac:dyDescent="0.25">
      <c r="Y9945" s="501"/>
    </row>
    <row r="9946" spans="25:25" hidden="1" x14ac:dyDescent="0.25">
      <c r="Y9946" s="501"/>
    </row>
    <row r="9947" spans="25:25" hidden="1" x14ac:dyDescent="0.25">
      <c r="Y9947" s="501"/>
    </row>
    <row r="9948" spans="25:25" hidden="1" x14ac:dyDescent="0.25">
      <c r="Y9948" s="501"/>
    </row>
    <row r="9949" spans="25:25" hidden="1" x14ac:dyDescent="0.25">
      <c r="Y9949" s="501"/>
    </row>
    <row r="9950" spans="25:25" hidden="1" x14ac:dyDescent="0.25">
      <c r="Y9950" s="501"/>
    </row>
    <row r="9951" spans="25:25" hidden="1" x14ac:dyDescent="0.25">
      <c r="Y9951" s="501"/>
    </row>
    <row r="9952" spans="25:25" hidden="1" x14ac:dyDescent="0.25">
      <c r="Y9952" s="501"/>
    </row>
    <row r="9953" spans="25:25" hidden="1" x14ac:dyDescent="0.25">
      <c r="Y9953" s="501"/>
    </row>
    <row r="9954" spans="25:25" hidden="1" x14ac:dyDescent="0.25">
      <c r="Y9954" s="501"/>
    </row>
    <row r="9955" spans="25:25" hidden="1" x14ac:dyDescent="0.25">
      <c r="Y9955" s="501"/>
    </row>
    <row r="9956" spans="25:25" hidden="1" x14ac:dyDescent="0.25">
      <c r="Y9956" s="501"/>
    </row>
    <row r="9957" spans="25:25" hidden="1" x14ac:dyDescent="0.25">
      <c r="Y9957" s="501"/>
    </row>
    <row r="9958" spans="25:25" hidden="1" x14ac:dyDescent="0.25">
      <c r="Y9958" s="501"/>
    </row>
    <row r="9959" spans="25:25" hidden="1" x14ac:dyDescent="0.25">
      <c r="Y9959" s="501"/>
    </row>
    <row r="9960" spans="25:25" hidden="1" x14ac:dyDescent="0.25">
      <c r="Y9960" s="501"/>
    </row>
    <row r="9961" spans="25:25" hidden="1" x14ac:dyDescent="0.25">
      <c r="Y9961" s="501"/>
    </row>
    <row r="9962" spans="25:25" hidden="1" x14ac:dyDescent="0.25">
      <c r="Y9962" s="501"/>
    </row>
    <row r="9963" spans="25:25" hidden="1" x14ac:dyDescent="0.25">
      <c r="Y9963" s="501"/>
    </row>
    <row r="9964" spans="25:25" hidden="1" x14ac:dyDescent="0.25">
      <c r="Y9964" s="501"/>
    </row>
    <row r="9965" spans="25:25" hidden="1" x14ac:dyDescent="0.25">
      <c r="Y9965" s="501"/>
    </row>
    <row r="9966" spans="25:25" hidden="1" x14ac:dyDescent="0.25">
      <c r="Y9966" s="501"/>
    </row>
    <row r="9967" spans="25:25" hidden="1" x14ac:dyDescent="0.25">
      <c r="Y9967" s="501"/>
    </row>
    <row r="9968" spans="25:25" hidden="1" x14ac:dyDescent="0.25">
      <c r="Y9968" s="501"/>
    </row>
    <row r="9969" spans="25:25" hidden="1" x14ac:dyDescent="0.25">
      <c r="Y9969" s="501"/>
    </row>
    <row r="9970" spans="25:25" hidden="1" x14ac:dyDescent="0.25">
      <c r="Y9970" s="501"/>
    </row>
    <row r="9971" spans="25:25" hidden="1" x14ac:dyDescent="0.25">
      <c r="Y9971" s="501"/>
    </row>
    <row r="9972" spans="25:25" hidden="1" x14ac:dyDescent="0.25">
      <c r="Y9972" s="501"/>
    </row>
    <row r="9973" spans="25:25" hidden="1" x14ac:dyDescent="0.25">
      <c r="Y9973" s="501"/>
    </row>
    <row r="9974" spans="25:25" hidden="1" x14ac:dyDescent="0.25">
      <c r="Y9974" s="501"/>
    </row>
    <row r="9975" spans="25:25" hidden="1" x14ac:dyDescent="0.25">
      <c r="Y9975" s="501"/>
    </row>
    <row r="9976" spans="25:25" hidden="1" x14ac:dyDescent="0.25">
      <c r="Y9976" s="501"/>
    </row>
    <row r="9977" spans="25:25" hidden="1" x14ac:dyDescent="0.25">
      <c r="Y9977" s="501"/>
    </row>
    <row r="9978" spans="25:25" hidden="1" x14ac:dyDescent="0.25">
      <c r="Y9978" s="501"/>
    </row>
    <row r="9979" spans="25:25" hidden="1" x14ac:dyDescent="0.25">
      <c r="Y9979" s="501"/>
    </row>
    <row r="9980" spans="25:25" hidden="1" x14ac:dyDescent="0.25">
      <c r="Y9980" s="501"/>
    </row>
    <row r="9981" spans="25:25" hidden="1" x14ac:dyDescent="0.25">
      <c r="Y9981" s="501"/>
    </row>
    <row r="9982" spans="25:25" hidden="1" x14ac:dyDescent="0.25">
      <c r="Y9982" s="501"/>
    </row>
    <row r="9983" spans="25:25" hidden="1" x14ac:dyDescent="0.25">
      <c r="Y9983" s="501"/>
    </row>
    <row r="9984" spans="25:25" hidden="1" x14ac:dyDescent="0.25">
      <c r="Y9984" s="501"/>
    </row>
    <row r="9985" spans="25:25" hidden="1" x14ac:dyDescent="0.25">
      <c r="Y9985" s="501"/>
    </row>
    <row r="9986" spans="25:25" hidden="1" x14ac:dyDescent="0.25">
      <c r="Y9986" s="501"/>
    </row>
    <row r="9987" spans="25:25" hidden="1" x14ac:dyDescent="0.25">
      <c r="Y9987" s="501"/>
    </row>
    <row r="9988" spans="25:25" hidden="1" x14ac:dyDescent="0.25">
      <c r="Y9988" s="501"/>
    </row>
    <row r="9989" spans="25:25" hidden="1" x14ac:dyDescent="0.25">
      <c r="Y9989" s="501"/>
    </row>
    <row r="9990" spans="25:25" hidden="1" x14ac:dyDescent="0.25">
      <c r="Y9990" s="501"/>
    </row>
    <row r="9991" spans="25:25" hidden="1" x14ac:dyDescent="0.25">
      <c r="Y9991" s="501"/>
    </row>
    <row r="9992" spans="25:25" hidden="1" x14ac:dyDescent="0.25">
      <c r="Y9992" s="501"/>
    </row>
    <row r="9993" spans="25:25" hidden="1" x14ac:dyDescent="0.25">
      <c r="Y9993" s="501"/>
    </row>
    <row r="9994" spans="25:25" hidden="1" x14ac:dyDescent="0.25">
      <c r="Y9994" s="501"/>
    </row>
    <row r="9995" spans="25:25" hidden="1" x14ac:dyDescent="0.25">
      <c r="Y9995" s="501"/>
    </row>
    <row r="9996" spans="25:25" hidden="1" x14ac:dyDescent="0.25">
      <c r="Y9996" s="501"/>
    </row>
    <row r="9997" spans="25:25" hidden="1" x14ac:dyDescent="0.25">
      <c r="Y9997" s="501"/>
    </row>
    <row r="9998" spans="25:25" hidden="1" x14ac:dyDescent="0.25">
      <c r="Y9998" s="501"/>
    </row>
    <row r="9999" spans="25:25" hidden="1" x14ac:dyDescent="0.25">
      <c r="Y9999" s="501"/>
    </row>
    <row r="10000" spans="25:25" hidden="1" x14ac:dyDescent="0.25">
      <c r="Y10000" s="501"/>
    </row>
    <row r="10001" spans="25:25" hidden="1" x14ac:dyDescent="0.25">
      <c r="Y10001" s="501"/>
    </row>
    <row r="10002" spans="25:25" hidden="1" x14ac:dyDescent="0.25">
      <c r="Y10002" s="501"/>
    </row>
    <row r="10003" spans="25:25" hidden="1" x14ac:dyDescent="0.25">
      <c r="Y10003" s="501"/>
    </row>
    <row r="10004" spans="25:25" hidden="1" x14ac:dyDescent="0.25">
      <c r="Y10004" s="501"/>
    </row>
    <row r="10005" spans="25:25" hidden="1" x14ac:dyDescent="0.25">
      <c r="Y10005" s="501"/>
    </row>
    <row r="10006" spans="25:25" hidden="1" x14ac:dyDescent="0.25">
      <c r="Y10006" s="501"/>
    </row>
    <row r="10007" spans="25:25" hidden="1" x14ac:dyDescent="0.25">
      <c r="Y10007" s="501"/>
    </row>
    <row r="10008" spans="25:25" hidden="1" x14ac:dyDescent="0.25">
      <c r="Y10008" s="501"/>
    </row>
    <row r="10009" spans="25:25" hidden="1" x14ac:dyDescent="0.25">
      <c r="Y10009" s="501"/>
    </row>
    <row r="10010" spans="25:25" hidden="1" x14ac:dyDescent="0.25">
      <c r="Y10010" s="501"/>
    </row>
    <row r="10011" spans="25:25" hidden="1" x14ac:dyDescent="0.25">
      <c r="Y10011" s="501"/>
    </row>
    <row r="10012" spans="25:25" hidden="1" x14ac:dyDescent="0.25">
      <c r="Y10012" s="501"/>
    </row>
    <row r="10013" spans="25:25" hidden="1" x14ac:dyDescent="0.25">
      <c r="Y10013" s="501"/>
    </row>
    <row r="10014" spans="25:25" hidden="1" x14ac:dyDescent="0.25">
      <c r="Y10014" s="501"/>
    </row>
    <row r="10015" spans="25:25" hidden="1" x14ac:dyDescent="0.25">
      <c r="Y10015" s="501"/>
    </row>
    <row r="10016" spans="25:25" hidden="1" x14ac:dyDescent="0.25">
      <c r="Y10016" s="501"/>
    </row>
    <row r="10017" spans="25:25" hidden="1" x14ac:dyDescent="0.25">
      <c r="Y10017" s="501"/>
    </row>
    <row r="10018" spans="25:25" hidden="1" x14ac:dyDescent="0.25">
      <c r="Y10018" s="501"/>
    </row>
    <row r="10019" spans="25:25" hidden="1" x14ac:dyDescent="0.25">
      <c r="Y10019" s="501"/>
    </row>
    <row r="10020" spans="25:25" hidden="1" x14ac:dyDescent="0.25">
      <c r="Y10020" s="501"/>
    </row>
    <row r="10021" spans="25:25" hidden="1" x14ac:dyDescent="0.25">
      <c r="Y10021" s="501"/>
    </row>
    <row r="10022" spans="25:25" hidden="1" x14ac:dyDescent="0.25">
      <c r="Y10022" s="501"/>
    </row>
    <row r="10023" spans="25:25" hidden="1" x14ac:dyDescent="0.25">
      <c r="Y10023" s="501"/>
    </row>
    <row r="10024" spans="25:25" hidden="1" x14ac:dyDescent="0.25">
      <c r="Y10024" s="501"/>
    </row>
    <row r="10025" spans="25:25" hidden="1" x14ac:dyDescent="0.25">
      <c r="Y10025" s="501"/>
    </row>
    <row r="10026" spans="25:25" hidden="1" x14ac:dyDescent="0.25">
      <c r="Y10026" s="501"/>
    </row>
    <row r="10027" spans="25:25" hidden="1" x14ac:dyDescent="0.25">
      <c r="Y10027" s="501"/>
    </row>
    <row r="10028" spans="25:25" hidden="1" x14ac:dyDescent="0.25">
      <c r="Y10028" s="501"/>
    </row>
    <row r="10029" spans="25:25" hidden="1" x14ac:dyDescent="0.25">
      <c r="Y10029" s="501"/>
    </row>
    <row r="10030" spans="25:25" hidden="1" x14ac:dyDescent="0.25">
      <c r="Y10030" s="501"/>
    </row>
    <row r="10031" spans="25:25" hidden="1" x14ac:dyDescent="0.25">
      <c r="Y10031" s="501"/>
    </row>
    <row r="10032" spans="25:25" hidden="1" x14ac:dyDescent="0.25">
      <c r="Y10032" s="501"/>
    </row>
    <row r="10033" spans="25:25" hidden="1" x14ac:dyDescent="0.25">
      <c r="Y10033" s="501"/>
    </row>
    <row r="10034" spans="25:25" hidden="1" x14ac:dyDescent="0.25">
      <c r="Y10034" s="501"/>
    </row>
    <row r="10035" spans="25:25" hidden="1" x14ac:dyDescent="0.25">
      <c r="Y10035" s="501"/>
    </row>
    <row r="10036" spans="25:25" hidden="1" x14ac:dyDescent="0.25">
      <c r="Y10036" s="501"/>
    </row>
    <row r="10037" spans="25:25" hidden="1" x14ac:dyDescent="0.25">
      <c r="Y10037" s="501"/>
    </row>
    <row r="10038" spans="25:25" hidden="1" x14ac:dyDescent="0.25">
      <c r="Y10038" s="501"/>
    </row>
    <row r="10039" spans="25:25" hidden="1" x14ac:dyDescent="0.25">
      <c r="Y10039" s="501"/>
    </row>
    <row r="10040" spans="25:25" hidden="1" x14ac:dyDescent="0.25">
      <c r="Y10040" s="501"/>
    </row>
    <row r="10041" spans="25:25" hidden="1" x14ac:dyDescent="0.25">
      <c r="Y10041" s="501"/>
    </row>
    <row r="10042" spans="25:25" hidden="1" x14ac:dyDescent="0.25">
      <c r="Y10042" s="501"/>
    </row>
    <row r="10043" spans="25:25" hidden="1" x14ac:dyDescent="0.25">
      <c r="Y10043" s="501"/>
    </row>
    <row r="10044" spans="25:25" hidden="1" x14ac:dyDescent="0.25">
      <c r="Y10044" s="501"/>
    </row>
    <row r="10045" spans="25:25" hidden="1" x14ac:dyDescent="0.25">
      <c r="Y10045" s="501"/>
    </row>
    <row r="10046" spans="25:25" hidden="1" x14ac:dyDescent="0.25">
      <c r="Y10046" s="501"/>
    </row>
    <row r="10047" spans="25:25" hidden="1" x14ac:dyDescent="0.25">
      <c r="Y10047" s="501"/>
    </row>
    <row r="10048" spans="25:25" hidden="1" x14ac:dyDescent="0.25">
      <c r="Y10048" s="501"/>
    </row>
    <row r="10049" spans="25:25" hidden="1" x14ac:dyDescent="0.25">
      <c r="Y10049" s="501"/>
    </row>
    <row r="10050" spans="25:25" hidden="1" x14ac:dyDescent="0.25">
      <c r="Y10050" s="501"/>
    </row>
    <row r="10051" spans="25:25" hidden="1" x14ac:dyDescent="0.25">
      <c r="Y10051" s="501"/>
    </row>
    <row r="10052" spans="25:25" hidden="1" x14ac:dyDescent="0.25">
      <c r="Y10052" s="501"/>
    </row>
    <row r="10053" spans="25:25" hidden="1" x14ac:dyDescent="0.25">
      <c r="Y10053" s="501"/>
    </row>
    <row r="10054" spans="25:25" hidden="1" x14ac:dyDescent="0.25">
      <c r="Y10054" s="501"/>
    </row>
    <row r="10055" spans="25:25" hidden="1" x14ac:dyDescent="0.25">
      <c r="Y10055" s="501"/>
    </row>
    <row r="10056" spans="25:25" hidden="1" x14ac:dyDescent="0.25">
      <c r="Y10056" s="501"/>
    </row>
    <row r="10057" spans="25:25" hidden="1" x14ac:dyDescent="0.25">
      <c r="Y10057" s="501"/>
    </row>
    <row r="10058" spans="25:25" hidden="1" x14ac:dyDescent="0.25">
      <c r="Y10058" s="501"/>
    </row>
    <row r="10059" spans="25:25" hidden="1" x14ac:dyDescent="0.25">
      <c r="Y10059" s="501"/>
    </row>
    <row r="10060" spans="25:25" hidden="1" x14ac:dyDescent="0.25">
      <c r="Y10060" s="501"/>
    </row>
    <row r="10061" spans="25:25" hidden="1" x14ac:dyDescent="0.25">
      <c r="Y10061" s="501"/>
    </row>
    <row r="10062" spans="25:25" hidden="1" x14ac:dyDescent="0.25">
      <c r="Y10062" s="501"/>
    </row>
    <row r="10063" spans="25:25" hidden="1" x14ac:dyDescent="0.25">
      <c r="Y10063" s="501"/>
    </row>
    <row r="10064" spans="25:25" hidden="1" x14ac:dyDescent="0.25">
      <c r="Y10064" s="501"/>
    </row>
    <row r="10065" spans="25:25" hidden="1" x14ac:dyDescent="0.25">
      <c r="Y10065" s="501"/>
    </row>
    <row r="10066" spans="25:25" hidden="1" x14ac:dyDescent="0.25">
      <c r="Y10066" s="501"/>
    </row>
    <row r="10067" spans="25:25" hidden="1" x14ac:dyDescent="0.25">
      <c r="Y10067" s="501"/>
    </row>
    <row r="10068" spans="25:25" hidden="1" x14ac:dyDescent="0.25">
      <c r="Y10068" s="501"/>
    </row>
    <row r="10069" spans="25:25" hidden="1" x14ac:dyDescent="0.25">
      <c r="Y10069" s="501"/>
    </row>
    <row r="10070" spans="25:25" hidden="1" x14ac:dyDescent="0.25">
      <c r="Y10070" s="501"/>
    </row>
    <row r="10071" spans="25:25" hidden="1" x14ac:dyDescent="0.25">
      <c r="Y10071" s="501"/>
    </row>
    <row r="10072" spans="25:25" hidden="1" x14ac:dyDescent="0.25">
      <c r="Y10072" s="501"/>
    </row>
    <row r="10073" spans="25:25" hidden="1" x14ac:dyDescent="0.25">
      <c r="Y10073" s="501"/>
    </row>
    <row r="10074" spans="25:25" hidden="1" x14ac:dyDescent="0.25">
      <c r="Y10074" s="501"/>
    </row>
    <row r="10075" spans="25:25" hidden="1" x14ac:dyDescent="0.25">
      <c r="Y10075" s="501"/>
    </row>
    <row r="10076" spans="25:25" hidden="1" x14ac:dyDescent="0.25">
      <c r="Y10076" s="501"/>
    </row>
    <row r="10077" spans="25:25" hidden="1" x14ac:dyDescent="0.25">
      <c r="Y10077" s="501"/>
    </row>
    <row r="10078" spans="25:25" hidden="1" x14ac:dyDescent="0.25">
      <c r="Y10078" s="501"/>
    </row>
    <row r="10079" spans="25:25" hidden="1" x14ac:dyDescent="0.25">
      <c r="Y10079" s="501"/>
    </row>
    <row r="10080" spans="25:25" hidden="1" x14ac:dyDescent="0.25">
      <c r="Y10080" s="501"/>
    </row>
    <row r="10081" spans="25:25" hidden="1" x14ac:dyDescent="0.25">
      <c r="Y10081" s="501"/>
    </row>
    <row r="10082" spans="25:25" hidden="1" x14ac:dyDescent="0.25">
      <c r="Y10082" s="501"/>
    </row>
    <row r="10083" spans="25:25" hidden="1" x14ac:dyDescent="0.25">
      <c r="Y10083" s="501"/>
    </row>
    <row r="10084" spans="25:25" hidden="1" x14ac:dyDescent="0.25">
      <c r="Y10084" s="501"/>
    </row>
    <row r="10085" spans="25:25" hidden="1" x14ac:dyDescent="0.25">
      <c r="Y10085" s="501"/>
    </row>
    <row r="10086" spans="25:25" hidden="1" x14ac:dyDescent="0.25">
      <c r="Y10086" s="501"/>
    </row>
    <row r="10087" spans="25:25" hidden="1" x14ac:dyDescent="0.25">
      <c r="Y10087" s="501"/>
    </row>
    <row r="10088" spans="25:25" hidden="1" x14ac:dyDescent="0.25">
      <c r="Y10088" s="501"/>
    </row>
    <row r="10089" spans="25:25" hidden="1" x14ac:dyDescent="0.25">
      <c r="Y10089" s="501"/>
    </row>
    <row r="10090" spans="25:25" hidden="1" x14ac:dyDescent="0.25">
      <c r="Y10090" s="501"/>
    </row>
    <row r="10091" spans="25:25" hidden="1" x14ac:dyDescent="0.25">
      <c r="Y10091" s="501"/>
    </row>
    <row r="10092" spans="25:25" hidden="1" x14ac:dyDescent="0.25">
      <c r="Y10092" s="501"/>
    </row>
    <row r="10093" spans="25:25" hidden="1" x14ac:dyDescent="0.25">
      <c r="Y10093" s="501"/>
    </row>
    <row r="10094" spans="25:25" hidden="1" x14ac:dyDescent="0.25">
      <c r="Y10094" s="501"/>
    </row>
    <row r="10095" spans="25:25" hidden="1" x14ac:dyDescent="0.25">
      <c r="Y10095" s="501"/>
    </row>
    <row r="10096" spans="25:25" hidden="1" x14ac:dyDescent="0.25">
      <c r="Y10096" s="501"/>
    </row>
    <row r="10097" spans="25:25" hidden="1" x14ac:dyDescent="0.25">
      <c r="Y10097" s="501"/>
    </row>
    <row r="10098" spans="25:25" hidden="1" x14ac:dyDescent="0.25">
      <c r="Y10098" s="501"/>
    </row>
    <row r="10099" spans="25:25" hidden="1" x14ac:dyDescent="0.25">
      <c r="Y10099" s="501"/>
    </row>
    <row r="10100" spans="25:25" hidden="1" x14ac:dyDescent="0.25">
      <c r="Y10100" s="501"/>
    </row>
    <row r="10101" spans="25:25" hidden="1" x14ac:dyDescent="0.25">
      <c r="Y10101" s="501"/>
    </row>
    <row r="10102" spans="25:25" hidden="1" x14ac:dyDescent="0.25">
      <c r="Y10102" s="501"/>
    </row>
    <row r="10103" spans="25:25" hidden="1" x14ac:dyDescent="0.25">
      <c r="Y10103" s="501"/>
    </row>
    <row r="10104" spans="25:25" hidden="1" x14ac:dyDescent="0.25">
      <c r="Y10104" s="501"/>
    </row>
    <row r="10105" spans="25:25" hidden="1" x14ac:dyDescent="0.25">
      <c r="Y10105" s="501"/>
    </row>
    <row r="10106" spans="25:25" hidden="1" x14ac:dyDescent="0.25">
      <c r="Y10106" s="501"/>
    </row>
    <row r="10107" spans="25:25" hidden="1" x14ac:dyDescent="0.25">
      <c r="Y10107" s="501"/>
    </row>
    <row r="10108" spans="25:25" hidden="1" x14ac:dyDescent="0.25">
      <c r="Y10108" s="501"/>
    </row>
    <row r="10109" spans="25:25" hidden="1" x14ac:dyDescent="0.25">
      <c r="Y10109" s="501"/>
    </row>
    <row r="10110" spans="25:25" hidden="1" x14ac:dyDescent="0.25">
      <c r="Y10110" s="501"/>
    </row>
    <row r="10111" spans="25:25" hidden="1" x14ac:dyDescent="0.25">
      <c r="Y10111" s="501"/>
    </row>
    <row r="10112" spans="25:25" hidden="1" x14ac:dyDescent="0.25">
      <c r="Y10112" s="501"/>
    </row>
    <row r="10113" spans="25:25" hidden="1" x14ac:dyDescent="0.25">
      <c r="Y10113" s="501"/>
    </row>
    <row r="10114" spans="25:25" hidden="1" x14ac:dyDescent="0.25">
      <c r="Y10114" s="501"/>
    </row>
    <row r="10115" spans="25:25" hidden="1" x14ac:dyDescent="0.25">
      <c r="Y10115" s="501"/>
    </row>
    <row r="10116" spans="25:25" hidden="1" x14ac:dyDescent="0.25">
      <c r="Y10116" s="501"/>
    </row>
    <row r="10117" spans="25:25" hidden="1" x14ac:dyDescent="0.25">
      <c r="Y10117" s="501"/>
    </row>
    <row r="10118" spans="25:25" hidden="1" x14ac:dyDescent="0.25">
      <c r="Y10118" s="501"/>
    </row>
    <row r="10119" spans="25:25" hidden="1" x14ac:dyDescent="0.25">
      <c r="Y10119" s="501"/>
    </row>
    <row r="10120" spans="25:25" hidden="1" x14ac:dyDescent="0.25">
      <c r="Y10120" s="501"/>
    </row>
    <row r="10121" spans="25:25" hidden="1" x14ac:dyDescent="0.25">
      <c r="Y10121" s="501"/>
    </row>
    <row r="10122" spans="25:25" hidden="1" x14ac:dyDescent="0.25">
      <c r="Y10122" s="501"/>
    </row>
    <row r="10123" spans="25:25" hidden="1" x14ac:dyDescent="0.25">
      <c r="Y10123" s="501"/>
    </row>
    <row r="10124" spans="25:25" hidden="1" x14ac:dyDescent="0.25">
      <c r="Y10124" s="501"/>
    </row>
    <row r="10125" spans="25:25" hidden="1" x14ac:dyDescent="0.25">
      <c r="Y10125" s="501"/>
    </row>
    <row r="10126" spans="25:25" hidden="1" x14ac:dyDescent="0.25">
      <c r="Y10126" s="501"/>
    </row>
    <row r="10127" spans="25:25" hidden="1" x14ac:dyDescent="0.25">
      <c r="Y10127" s="501"/>
    </row>
    <row r="10128" spans="25:25" hidden="1" x14ac:dyDescent="0.25">
      <c r="Y10128" s="501"/>
    </row>
    <row r="10129" spans="25:25" hidden="1" x14ac:dyDescent="0.25">
      <c r="Y10129" s="501"/>
    </row>
    <row r="10130" spans="25:25" hidden="1" x14ac:dyDescent="0.25">
      <c r="Y10130" s="501"/>
    </row>
    <row r="10131" spans="25:25" hidden="1" x14ac:dyDescent="0.25">
      <c r="Y10131" s="501"/>
    </row>
    <row r="10132" spans="25:25" hidden="1" x14ac:dyDescent="0.25">
      <c r="Y10132" s="501"/>
    </row>
    <row r="10133" spans="25:25" hidden="1" x14ac:dyDescent="0.25">
      <c r="Y10133" s="501"/>
    </row>
    <row r="10134" spans="25:25" hidden="1" x14ac:dyDescent="0.25">
      <c r="Y10134" s="501"/>
    </row>
    <row r="10135" spans="25:25" hidden="1" x14ac:dyDescent="0.25">
      <c r="Y10135" s="501"/>
    </row>
    <row r="10136" spans="25:25" hidden="1" x14ac:dyDescent="0.25">
      <c r="Y10136" s="501"/>
    </row>
    <row r="10137" spans="25:25" hidden="1" x14ac:dyDescent="0.25">
      <c r="Y10137" s="501"/>
    </row>
    <row r="10138" spans="25:25" hidden="1" x14ac:dyDescent="0.25">
      <c r="Y10138" s="501"/>
    </row>
    <row r="10139" spans="25:25" hidden="1" x14ac:dyDescent="0.25">
      <c r="Y10139" s="501"/>
    </row>
    <row r="10140" spans="25:25" hidden="1" x14ac:dyDescent="0.25">
      <c r="Y10140" s="501"/>
    </row>
    <row r="10141" spans="25:25" hidden="1" x14ac:dyDescent="0.25">
      <c r="Y10141" s="501"/>
    </row>
    <row r="10142" spans="25:25" hidden="1" x14ac:dyDescent="0.25">
      <c r="Y10142" s="501"/>
    </row>
    <row r="10143" spans="25:25" hidden="1" x14ac:dyDescent="0.25">
      <c r="Y10143" s="501"/>
    </row>
    <row r="10144" spans="25:25" hidden="1" x14ac:dyDescent="0.25">
      <c r="Y10144" s="501"/>
    </row>
    <row r="10145" spans="25:25" hidden="1" x14ac:dyDescent="0.25">
      <c r="Y10145" s="501"/>
    </row>
    <row r="10146" spans="25:25" hidden="1" x14ac:dyDescent="0.25">
      <c r="Y10146" s="501"/>
    </row>
    <row r="10147" spans="25:25" hidden="1" x14ac:dyDescent="0.25">
      <c r="Y10147" s="501"/>
    </row>
    <row r="10148" spans="25:25" hidden="1" x14ac:dyDescent="0.25">
      <c r="Y10148" s="501"/>
    </row>
    <row r="10149" spans="25:25" hidden="1" x14ac:dyDescent="0.25">
      <c r="Y10149" s="501"/>
    </row>
    <row r="10150" spans="25:25" hidden="1" x14ac:dyDescent="0.25">
      <c r="Y10150" s="501"/>
    </row>
    <row r="10151" spans="25:25" hidden="1" x14ac:dyDescent="0.25">
      <c r="Y10151" s="501"/>
    </row>
    <row r="10152" spans="25:25" hidden="1" x14ac:dyDescent="0.25">
      <c r="Y10152" s="501"/>
    </row>
    <row r="10153" spans="25:25" hidden="1" x14ac:dyDescent="0.25">
      <c r="Y10153" s="501"/>
    </row>
    <row r="10154" spans="25:25" hidden="1" x14ac:dyDescent="0.25">
      <c r="Y10154" s="501"/>
    </row>
    <row r="10155" spans="25:25" hidden="1" x14ac:dyDescent="0.25">
      <c r="Y10155" s="501"/>
    </row>
    <row r="10156" spans="25:25" hidden="1" x14ac:dyDescent="0.25">
      <c r="Y10156" s="501"/>
    </row>
    <row r="10157" spans="25:25" hidden="1" x14ac:dyDescent="0.25">
      <c r="Y10157" s="501"/>
    </row>
    <row r="10158" spans="25:25" hidden="1" x14ac:dyDescent="0.25">
      <c r="Y10158" s="501"/>
    </row>
    <row r="10159" spans="25:25" hidden="1" x14ac:dyDescent="0.25">
      <c r="Y10159" s="501"/>
    </row>
    <row r="10160" spans="25:25" hidden="1" x14ac:dyDescent="0.25">
      <c r="Y10160" s="501"/>
    </row>
    <row r="10161" spans="25:25" hidden="1" x14ac:dyDescent="0.25">
      <c r="Y10161" s="501"/>
    </row>
    <row r="10162" spans="25:25" hidden="1" x14ac:dyDescent="0.25">
      <c r="Y10162" s="501"/>
    </row>
    <row r="10163" spans="25:25" hidden="1" x14ac:dyDescent="0.25">
      <c r="Y10163" s="501"/>
    </row>
    <row r="10164" spans="25:25" hidden="1" x14ac:dyDescent="0.25">
      <c r="Y10164" s="501"/>
    </row>
    <row r="10165" spans="25:25" hidden="1" x14ac:dyDescent="0.25">
      <c r="Y10165" s="501"/>
    </row>
    <row r="10166" spans="25:25" hidden="1" x14ac:dyDescent="0.25">
      <c r="Y10166" s="501"/>
    </row>
    <row r="10167" spans="25:25" hidden="1" x14ac:dyDescent="0.25">
      <c r="Y10167" s="501"/>
    </row>
    <row r="10168" spans="25:25" hidden="1" x14ac:dyDescent="0.25">
      <c r="Y10168" s="501"/>
    </row>
    <row r="10169" spans="25:25" hidden="1" x14ac:dyDescent="0.25">
      <c r="Y10169" s="501"/>
    </row>
    <row r="10170" spans="25:25" hidden="1" x14ac:dyDescent="0.25">
      <c r="Y10170" s="501"/>
    </row>
    <row r="10171" spans="25:25" hidden="1" x14ac:dyDescent="0.25">
      <c r="Y10171" s="501"/>
    </row>
    <row r="10172" spans="25:25" hidden="1" x14ac:dyDescent="0.25">
      <c r="Y10172" s="501"/>
    </row>
    <row r="10173" spans="25:25" hidden="1" x14ac:dyDescent="0.25">
      <c r="Y10173" s="501"/>
    </row>
    <row r="10174" spans="25:25" hidden="1" x14ac:dyDescent="0.25">
      <c r="Y10174" s="501"/>
    </row>
    <row r="10175" spans="25:25" hidden="1" x14ac:dyDescent="0.25">
      <c r="Y10175" s="501"/>
    </row>
    <row r="10176" spans="25:25" hidden="1" x14ac:dyDescent="0.25">
      <c r="Y10176" s="501"/>
    </row>
    <row r="10177" spans="25:25" hidden="1" x14ac:dyDescent="0.25">
      <c r="Y10177" s="501"/>
    </row>
    <row r="10178" spans="25:25" hidden="1" x14ac:dyDescent="0.25">
      <c r="Y10178" s="501"/>
    </row>
    <row r="10179" spans="25:25" hidden="1" x14ac:dyDescent="0.25">
      <c r="Y10179" s="501"/>
    </row>
    <row r="10180" spans="25:25" hidden="1" x14ac:dyDescent="0.25">
      <c r="Y10180" s="501"/>
    </row>
    <row r="10181" spans="25:25" hidden="1" x14ac:dyDescent="0.25">
      <c r="Y10181" s="501"/>
    </row>
    <row r="10182" spans="25:25" hidden="1" x14ac:dyDescent="0.25">
      <c r="Y10182" s="501"/>
    </row>
    <row r="10183" spans="25:25" hidden="1" x14ac:dyDescent="0.25">
      <c r="Y10183" s="501"/>
    </row>
    <row r="10184" spans="25:25" hidden="1" x14ac:dyDescent="0.25">
      <c r="Y10184" s="501"/>
    </row>
    <row r="10185" spans="25:25" hidden="1" x14ac:dyDescent="0.25">
      <c r="Y10185" s="501"/>
    </row>
    <row r="10186" spans="25:25" hidden="1" x14ac:dyDescent="0.25">
      <c r="Y10186" s="501"/>
    </row>
    <row r="10187" spans="25:25" hidden="1" x14ac:dyDescent="0.25">
      <c r="Y10187" s="501"/>
    </row>
    <row r="10188" spans="25:25" hidden="1" x14ac:dyDescent="0.25">
      <c r="Y10188" s="501"/>
    </row>
    <row r="10189" spans="25:25" hidden="1" x14ac:dyDescent="0.25">
      <c r="Y10189" s="501"/>
    </row>
    <row r="10190" spans="25:25" hidden="1" x14ac:dyDescent="0.25">
      <c r="Y10190" s="501"/>
    </row>
    <row r="10191" spans="25:25" hidden="1" x14ac:dyDescent="0.25">
      <c r="Y10191" s="501"/>
    </row>
    <row r="10192" spans="25:25" hidden="1" x14ac:dyDescent="0.25">
      <c r="Y10192" s="501"/>
    </row>
    <row r="10193" spans="25:25" hidden="1" x14ac:dyDescent="0.25">
      <c r="Y10193" s="501"/>
    </row>
    <row r="10194" spans="25:25" hidden="1" x14ac:dyDescent="0.25">
      <c r="Y10194" s="501"/>
    </row>
    <row r="10195" spans="25:25" hidden="1" x14ac:dyDescent="0.25">
      <c r="Y10195" s="501"/>
    </row>
    <row r="10196" spans="25:25" hidden="1" x14ac:dyDescent="0.25">
      <c r="Y10196" s="501"/>
    </row>
    <row r="10197" spans="25:25" hidden="1" x14ac:dyDescent="0.25">
      <c r="Y10197" s="501"/>
    </row>
    <row r="10198" spans="25:25" hidden="1" x14ac:dyDescent="0.25">
      <c r="Y10198" s="501"/>
    </row>
    <row r="10199" spans="25:25" hidden="1" x14ac:dyDescent="0.25">
      <c r="Y10199" s="501"/>
    </row>
    <row r="10200" spans="25:25" hidden="1" x14ac:dyDescent="0.25">
      <c r="Y10200" s="501"/>
    </row>
    <row r="10201" spans="25:25" hidden="1" x14ac:dyDescent="0.25">
      <c r="Y10201" s="501"/>
    </row>
    <row r="10202" spans="25:25" hidden="1" x14ac:dyDescent="0.25">
      <c r="Y10202" s="501"/>
    </row>
    <row r="10203" spans="25:25" hidden="1" x14ac:dyDescent="0.25">
      <c r="Y10203" s="501"/>
    </row>
    <row r="10204" spans="25:25" hidden="1" x14ac:dyDescent="0.25">
      <c r="Y10204" s="501"/>
    </row>
    <row r="10205" spans="25:25" hidden="1" x14ac:dyDescent="0.25">
      <c r="Y10205" s="501"/>
    </row>
    <row r="10206" spans="25:25" hidden="1" x14ac:dyDescent="0.25">
      <c r="Y10206" s="501"/>
    </row>
    <row r="10207" spans="25:25" hidden="1" x14ac:dyDescent="0.25">
      <c r="Y10207" s="501"/>
    </row>
    <row r="10208" spans="25:25" hidden="1" x14ac:dyDescent="0.25">
      <c r="Y10208" s="501"/>
    </row>
    <row r="10209" spans="25:25" hidden="1" x14ac:dyDescent="0.25">
      <c r="Y10209" s="501"/>
    </row>
    <row r="10210" spans="25:25" hidden="1" x14ac:dyDescent="0.25">
      <c r="Y10210" s="501"/>
    </row>
    <row r="10211" spans="25:25" hidden="1" x14ac:dyDescent="0.25">
      <c r="Y10211" s="501"/>
    </row>
    <row r="10212" spans="25:25" hidden="1" x14ac:dyDescent="0.25">
      <c r="Y10212" s="501"/>
    </row>
    <row r="10213" spans="25:25" hidden="1" x14ac:dyDescent="0.25">
      <c r="Y10213" s="501"/>
    </row>
    <row r="10214" spans="25:25" hidden="1" x14ac:dyDescent="0.25">
      <c r="Y10214" s="501"/>
    </row>
    <row r="10215" spans="25:25" hidden="1" x14ac:dyDescent="0.25">
      <c r="Y10215" s="501"/>
    </row>
    <row r="10216" spans="25:25" hidden="1" x14ac:dyDescent="0.25">
      <c r="Y10216" s="501"/>
    </row>
    <row r="10217" spans="25:25" hidden="1" x14ac:dyDescent="0.25">
      <c r="Y10217" s="501"/>
    </row>
    <row r="10218" spans="25:25" hidden="1" x14ac:dyDescent="0.25">
      <c r="Y10218" s="501"/>
    </row>
    <row r="10219" spans="25:25" hidden="1" x14ac:dyDescent="0.25">
      <c r="Y10219" s="501"/>
    </row>
    <row r="10220" spans="25:25" hidden="1" x14ac:dyDescent="0.25">
      <c r="Y10220" s="501"/>
    </row>
    <row r="10221" spans="25:25" hidden="1" x14ac:dyDescent="0.25">
      <c r="Y10221" s="501"/>
    </row>
    <row r="10222" spans="25:25" hidden="1" x14ac:dyDescent="0.25">
      <c r="Y10222" s="501"/>
    </row>
    <row r="10223" spans="25:25" hidden="1" x14ac:dyDescent="0.25">
      <c r="Y10223" s="501"/>
    </row>
    <row r="10224" spans="25:25" hidden="1" x14ac:dyDescent="0.25">
      <c r="Y10224" s="501"/>
    </row>
    <row r="10225" spans="25:25" hidden="1" x14ac:dyDescent="0.25">
      <c r="Y10225" s="501"/>
    </row>
    <row r="10226" spans="25:25" hidden="1" x14ac:dyDescent="0.25">
      <c r="Y10226" s="501"/>
    </row>
    <row r="10227" spans="25:25" hidden="1" x14ac:dyDescent="0.25">
      <c r="Y10227" s="501"/>
    </row>
    <row r="10228" spans="25:25" hidden="1" x14ac:dyDescent="0.25">
      <c r="Y10228" s="501"/>
    </row>
    <row r="10229" spans="25:25" hidden="1" x14ac:dyDescent="0.25">
      <c r="Y10229" s="501"/>
    </row>
    <row r="10230" spans="25:25" hidden="1" x14ac:dyDescent="0.25">
      <c r="Y10230" s="501"/>
    </row>
    <row r="10231" spans="25:25" hidden="1" x14ac:dyDescent="0.25">
      <c r="Y10231" s="501"/>
    </row>
    <row r="10232" spans="25:25" hidden="1" x14ac:dyDescent="0.25">
      <c r="Y10232" s="501"/>
    </row>
    <row r="10233" spans="25:25" hidden="1" x14ac:dyDescent="0.25">
      <c r="Y10233" s="501"/>
    </row>
    <row r="10234" spans="25:25" hidden="1" x14ac:dyDescent="0.25">
      <c r="Y10234" s="501"/>
    </row>
    <row r="10235" spans="25:25" hidden="1" x14ac:dyDescent="0.25">
      <c r="Y10235" s="501"/>
    </row>
    <row r="10236" spans="25:25" hidden="1" x14ac:dyDescent="0.25">
      <c r="Y10236" s="501"/>
    </row>
    <row r="10237" spans="25:25" hidden="1" x14ac:dyDescent="0.25">
      <c r="Y10237" s="501"/>
    </row>
    <row r="10238" spans="25:25" hidden="1" x14ac:dyDescent="0.25">
      <c r="Y10238" s="501"/>
    </row>
    <row r="10239" spans="25:25" hidden="1" x14ac:dyDescent="0.25">
      <c r="Y10239" s="501"/>
    </row>
    <row r="10240" spans="25:25" hidden="1" x14ac:dyDescent="0.25">
      <c r="Y10240" s="501"/>
    </row>
    <row r="10241" spans="25:25" hidden="1" x14ac:dyDescent="0.25">
      <c r="Y10241" s="501"/>
    </row>
    <row r="10242" spans="25:25" hidden="1" x14ac:dyDescent="0.25">
      <c r="Y10242" s="501"/>
    </row>
    <row r="10243" spans="25:25" hidden="1" x14ac:dyDescent="0.25">
      <c r="Y10243" s="501"/>
    </row>
    <row r="10244" spans="25:25" hidden="1" x14ac:dyDescent="0.25">
      <c r="Y10244" s="501"/>
    </row>
    <row r="10245" spans="25:25" hidden="1" x14ac:dyDescent="0.25">
      <c r="Y10245" s="501"/>
    </row>
    <row r="10246" spans="25:25" hidden="1" x14ac:dyDescent="0.25">
      <c r="Y10246" s="501"/>
    </row>
    <row r="10247" spans="25:25" hidden="1" x14ac:dyDescent="0.25">
      <c r="Y10247" s="501"/>
    </row>
    <row r="10248" spans="25:25" hidden="1" x14ac:dyDescent="0.25">
      <c r="Y10248" s="501"/>
    </row>
    <row r="10249" spans="25:25" hidden="1" x14ac:dyDescent="0.25">
      <c r="Y10249" s="501"/>
    </row>
    <row r="10250" spans="25:25" hidden="1" x14ac:dyDescent="0.25">
      <c r="Y10250" s="501"/>
    </row>
    <row r="10251" spans="25:25" hidden="1" x14ac:dyDescent="0.25">
      <c r="Y10251" s="501"/>
    </row>
    <row r="10252" spans="25:25" hidden="1" x14ac:dyDescent="0.25">
      <c r="Y10252" s="501"/>
    </row>
    <row r="10253" spans="25:25" hidden="1" x14ac:dyDescent="0.25">
      <c r="Y10253" s="501"/>
    </row>
    <row r="10254" spans="25:25" hidden="1" x14ac:dyDescent="0.25">
      <c r="Y10254" s="501"/>
    </row>
    <row r="10255" spans="25:25" hidden="1" x14ac:dyDescent="0.25">
      <c r="Y10255" s="501"/>
    </row>
    <row r="10256" spans="25:25" hidden="1" x14ac:dyDescent="0.25">
      <c r="Y10256" s="501"/>
    </row>
    <row r="10257" spans="25:25" hidden="1" x14ac:dyDescent="0.25">
      <c r="Y10257" s="501"/>
    </row>
    <row r="10258" spans="25:25" hidden="1" x14ac:dyDescent="0.25">
      <c r="Y10258" s="501"/>
    </row>
    <row r="10259" spans="25:25" hidden="1" x14ac:dyDescent="0.25">
      <c r="Y10259" s="501"/>
    </row>
    <row r="10260" spans="25:25" hidden="1" x14ac:dyDescent="0.25">
      <c r="Y10260" s="501"/>
    </row>
    <row r="10261" spans="25:25" hidden="1" x14ac:dyDescent="0.25">
      <c r="Y10261" s="501"/>
    </row>
    <row r="10262" spans="25:25" hidden="1" x14ac:dyDescent="0.25">
      <c r="Y10262" s="501"/>
    </row>
    <row r="10263" spans="25:25" hidden="1" x14ac:dyDescent="0.25">
      <c r="Y10263" s="501"/>
    </row>
    <row r="10264" spans="25:25" hidden="1" x14ac:dyDescent="0.25">
      <c r="Y10264" s="501"/>
    </row>
    <row r="10265" spans="25:25" hidden="1" x14ac:dyDescent="0.25">
      <c r="Y10265" s="501"/>
    </row>
    <row r="10266" spans="25:25" hidden="1" x14ac:dyDescent="0.25">
      <c r="Y10266" s="501"/>
    </row>
    <row r="10267" spans="25:25" hidden="1" x14ac:dyDescent="0.25">
      <c r="Y10267" s="501"/>
    </row>
    <row r="10268" spans="25:25" hidden="1" x14ac:dyDescent="0.25">
      <c r="Y10268" s="501"/>
    </row>
    <row r="10269" spans="25:25" hidden="1" x14ac:dyDescent="0.25">
      <c r="Y10269" s="501"/>
    </row>
    <row r="10270" spans="25:25" hidden="1" x14ac:dyDescent="0.25">
      <c r="Y10270" s="501"/>
    </row>
    <row r="10271" spans="25:25" hidden="1" x14ac:dyDescent="0.25">
      <c r="Y10271" s="501"/>
    </row>
    <row r="10272" spans="25:25" hidden="1" x14ac:dyDescent="0.25">
      <c r="Y10272" s="501"/>
    </row>
    <row r="10273" spans="25:25" hidden="1" x14ac:dyDescent="0.25">
      <c r="Y10273" s="501"/>
    </row>
    <row r="10274" spans="25:25" hidden="1" x14ac:dyDescent="0.25">
      <c r="Y10274" s="501"/>
    </row>
    <row r="10275" spans="25:25" hidden="1" x14ac:dyDescent="0.25">
      <c r="Y10275" s="501"/>
    </row>
    <row r="10276" spans="25:25" hidden="1" x14ac:dyDescent="0.25">
      <c r="Y10276" s="501"/>
    </row>
    <row r="10277" spans="25:25" hidden="1" x14ac:dyDescent="0.25">
      <c r="Y10277" s="501"/>
    </row>
    <row r="10278" spans="25:25" hidden="1" x14ac:dyDescent="0.25">
      <c r="Y10278" s="501"/>
    </row>
    <row r="10279" spans="25:25" hidden="1" x14ac:dyDescent="0.25">
      <c r="Y10279" s="501"/>
    </row>
    <row r="10280" spans="25:25" hidden="1" x14ac:dyDescent="0.25">
      <c r="Y10280" s="501"/>
    </row>
    <row r="10281" spans="25:25" hidden="1" x14ac:dyDescent="0.25">
      <c r="Y10281" s="501"/>
    </row>
    <row r="10282" spans="25:25" hidden="1" x14ac:dyDescent="0.25">
      <c r="Y10282" s="501"/>
    </row>
    <row r="10283" spans="25:25" hidden="1" x14ac:dyDescent="0.25">
      <c r="Y10283" s="501"/>
    </row>
    <row r="10284" spans="25:25" hidden="1" x14ac:dyDescent="0.25">
      <c r="Y10284" s="501"/>
    </row>
    <row r="10285" spans="25:25" hidden="1" x14ac:dyDescent="0.25">
      <c r="Y10285" s="501"/>
    </row>
    <row r="10286" spans="25:25" hidden="1" x14ac:dyDescent="0.25">
      <c r="Y10286" s="501"/>
    </row>
    <row r="10287" spans="25:25" hidden="1" x14ac:dyDescent="0.25">
      <c r="Y10287" s="501"/>
    </row>
    <row r="10288" spans="25:25" hidden="1" x14ac:dyDescent="0.25">
      <c r="Y10288" s="501"/>
    </row>
    <row r="10289" spans="25:25" hidden="1" x14ac:dyDescent="0.25">
      <c r="Y10289" s="501"/>
    </row>
    <row r="10290" spans="25:25" hidden="1" x14ac:dyDescent="0.25">
      <c r="Y10290" s="501"/>
    </row>
    <row r="10291" spans="25:25" hidden="1" x14ac:dyDescent="0.25">
      <c r="Y10291" s="501"/>
    </row>
    <row r="10292" spans="25:25" hidden="1" x14ac:dyDescent="0.25">
      <c r="Y10292" s="501"/>
    </row>
    <row r="10293" spans="25:25" hidden="1" x14ac:dyDescent="0.25">
      <c r="Y10293" s="501"/>
    </row>
    <row r="10294" spans="25:25" hidden="1" x14ac:dyDescent="0.25">
      <c r="Y10294" s="501"/>
    </row>
    <row r="10295" spans="25:25" hidden="1" x14ac:dyDescent="0.25">
      <c r="Y10295" s="501"/>
    </row>
    <row r="10296" spans="25:25" hidden="1" x14ac:dyDescent="0.25">
      <c r="Y10296" s="501"/>
    </row>
    <row r="10297" spans="25:25" hidden="1" x14ac:dyDescent="0.25">
      <c r="Y10297" s="501"/>
    </row>
    <row r="10298" spans="25:25" hidden="1" x14ac:dyDescent="0.25">
      <c r="Y10298" s="501"/>
    </row>
    <row r="10299" spans="25:25" hidden="1" x14ac:dyDescent="0.25">
      <c r="Y10299" s="501"/>
    </row>
    <row r="10300" spans="25:25" hidden="1" x14ac:dyDescent="0.25">
      <c r="Y10300" s="501"/>
    </row>
    <row r="10301" spans="25:25" hidden="1" x14ac:dyDescent="0.25">
      <c r="Y10301" s="501"/>
    </row>
    <row r="10302" spans="25:25" hidden="1" x14ac:dyDescent="0.25">
      <c r="Y10302" s="501"/>
    </row>
    <row r="10303" spans="25:25" hidden="1" x14ac:dyDescent="0.25">
      <c r="Y10303" s="501"/>
    </row>
    <row r="10304" spans="25:25" hidden="1" x14ac:dyDescent="0.25">
      <c r="Y10304" s="501"/>
    </row>
    <row r="10305" spans="25:25" hidden="1" x14ac:dyDescent="0.25">
      <c r="Y10305" s="501"/>
    </row>
    <row r="10306" spans="25:25" hidden="1" x14ac:dyDescent="0.25">
      <c r="Y10306" s="501"/>
    </row>
    <row r="10307" spans="25:25" hidden="1" x14ac:dyDescent="0.25">
      <c r="Y10307" s="501"/>
    </row>
    <row r="10308" spans="25:25" hidden="1" x14ac:dyDescent="0.25">
      <c r="Y10308" s="501"/>
    </row>
    <row r="10309" spans="25:25" hidden="1" x14ac:dyDescent="0.25">
      <c r="Y10309" s="501"/>
    </row>
    <row r="10310" spans="25:25" hidden="1" x14ac:dyDescent="0.25">
      <c r="Y10310" s="501"/>
    </row>
    <row r="10311" spans="25:25" hidden="1" x14ac:dyDescent="0.25">
      <c r="Y10311" s="501"/>
    </row>
    <row r="10312" spans="25:25" hidden="1" x14ac:dyDescent="0.25">
      <c r="Y10312" s="501"/>
    </row>
    <row r="10313" spans="25:25" hidden="1" x14ac:dyDescent="0.25">
      <c r="Y10313" s="501"/>
    </row>
    <row r="10314" spans="25:25" hidden="1" x14ac:dyDescent="0.25">
      <c r="Y10314" s="501"/>
    </row>
    <row r="10315" spans="25:25" hidden="1" x14ac:dyDescent="0.25">
      <c r="Y10315" s="501"/>
    </row>
    <row r="10316" spans="25:25" hidden="1" x14ac:dyDescent="0.25">
      <c r="Y10316" s="501"/>
    </row>
    <row r="10317" spans="25:25" hidden="1" x14ac:dyDescent="0.25">
      <c r="Y10317" s="501"/>
    </row>
    <row r="10318" spans="25:25" hidden="1" x14ac:dyDescent="0.25">
      <c r="Y10318" s="501"/>
    </row>
    <row r="10319" spans="25:25" hidden="1" x14ac:dyDescent="0.25">
      <c r="Y10319" s="501"/>
    </row>
    <row r="10320" spans="25:25" hidden="1" x14ac:dyDescent="0.25">
      <c r="Y10320" s="501"/>
    </row>
    <row r="10321" spans="25:25" hidden="1" x14ac:dyDescent="0.25">
      <c r="Y10321" s="501"/>
    </row>
    <row r="10322" spans="25:25" hidden="1" x14ac:dyDescent="0.25">
      <c r="Y10322" s="501"/>
    </row>
    <row r="10323" spans="25:25" hidden="1" x14ac:dyDescent="0.25">
      <c r="Y10323" s="501"/>
    </row>
    <row r="10324" spans="25:25" hidden="1" x14ac:dyDescent="0.25">
      <c r="Y10324" s="501"/>
    </row>
    <row r="10325" spans="25:25" hidden="1" x14ac:dyDescent="0.25">
      <c r="Y10325" s="501"/>
    </row>
    <row r="10326" spans="25:25" hidden="1" x14ac:dyDescent="0.25">
      <c r="Y10326" s="501"/>
    </row>
    <row r="10327" spans="25:25" hidden="1" x14ac:dyDescent="0.25">
      <c r="Y10327" s="501"/>
    </row>
    <row r="10328" spans="25:25" hidden="1" x14ac:dyDescent="0.25">
      <c r="Y10328" s="501"/>
    </row>
    <row r="10329" spans="25:25" hidden="1" x14ac:dyDescent="0.25">
      <c r="Y10329" s="501"/>
    </row>
    <row r="10330" spans="25:25" hidden="1" x14ac:dyDescent="0.25">
      <c r="Y10330" s="501"/>
    </row>
    <row r="10331" spans="25:25" hidden="1" x14ac:dyDescent="0.25">
      <c r="Y10331" s="501"/>
    </row>
    <row r="10332" spans="25:25" hidden="1" x14ac:dyDescent="0.25">
      <c r="Y10332" s="501"/>
    </row>
    <row r="10333" spans="25:25" hidden="1" x14ac:dyDescent="0.25">
      <c r="Y10333" s="501"/>
    </row>
    <row r="10334" spans="25:25" hidden="1" x14ac:dyDescent="0.25">
      <c r="Y10334" s="501"/>
    </row>
    <row r="10335" spans="25:25" hidden="1" x14ac:dyDescent="0.25">
      <c r="Y10335" s="501"/>
    </row>
    <row r="10336" spans="25:25" hidden="1" x14ac:dyDescent="0.25">
      <c r="Y10336" s="501"/>
    </row>
    <row r="10337" spans="25:25" hidden="1" x14ac:dyDescent="0.25">
      <c r="Y10337" s="501"/>
    </row>
    <row r="10338" spans="25:25" hidden="1" x14ac:dyDescent="0.25">
      <c r="Y10338" s="501"/>
    </row>
    <row r="10339" spans="25:25" hidden="1" x14ac:dyDescent="0.25">
      <c r="Y10339" s="501"/>
    </row>
    <row r="10340" spans="25:25" hidden="1" x14ac:dyDescent="0.25">
      <c r="Y10340" s="501"/>
    </row>
    <row r="10341" spans="25:25" hidden="1" x14ac:dyDescent="0.25">
      <c r="Y10341" s="501"/>
    </row>
    <row r="10342" spans="25:25" hidden="1" x14ac:dyDescent="0.25">
      <c r="Y10342" s="501"/>
    </row>
    <row r="10343" spans="25:25" hidden="1" x14ac:dyDescent="0.25">
      <c r="Y10343" s="501"/>
    </row>
    <row r="10344" spans="25:25" hidden="1" x14ac:dyDescent="0.25">
      <c r="Y10344" s="501"/>
    </row>
    <row r="10345" spans="25:25" hidden="1" x14ac:dyDescent="0.25">
      <c r="Y10345" s="501"/>
    </row>
    <row r="10346" spans="25:25" hidden="1" x14ac:dyDescent="0.25">
      <c r="Y10346" s="501"/>
    </row>
    <row r="10347" spans="25:25" hidden="1" x14ac:dyDescent="0.25">
      <c r="Y10347" s="501"/>
    </row>
    <row r="10348" spans="25:25" hidden="1" x14ac:dyDescent="0.25">
      <c r="Y10348" s="501"/>
    </row>
    <row r="10349" spans="25:25" hidden="1" x14ac:dyDescent="0.25">
      <c r="Y10349" s="501"/>
    </row>
    <row r="10350" spans="25:25" hidden="1" x14ac:dyDescent="0.25">
      <c r="Y10350" s="501"/>
    </row>
    <row r="10351" spans="25:25" hidden="1" x14ac:dyDescent="0.25">
      <c r="Y10351" s="501"/>
    </row>
    <row r="10352" spans="25:25" hidden="1" x14ac:dyDescent="0.25">
      <c r="Y10352" s="501"/>
    </row>
    <row r="10353" spans="25:25" hidden="1" x14ac:dyDescent="0.25">
      <c r="Y10353" s="501"/>
    </row>
    <row r="10354" spans="25:25" hidden="1" x14ac:dyDescent="0.25">
      <c r="Y10354" s="501"/>
    </row>
    <row r="10355" spans="25:25" hidden="1" x14ac:dyDescent="0.25">
      <c r="Y10355" s="501"/>
    </row>
    <row r="10356" spans="25:25" hidden="1" x14ac:dyDescent="0.25">
      <c r="Y10356" s="501"/>
    </row>
    <row r="10357" spans="25:25" hidden="1" x14ac:dyDescent="0.25">
      <c r="Y10357" s="501"/>
    </row>
    <row r="10358" spans="25:25" hidden="1" x14ac:dyDescent="0.25">
      <c r="Y10358" s="501"/>
    </row>
    <row r="10359" spans="25:25" hidden="1" x14ac:dyDescent="0.25">
      <c r="Y10359" s="501"/>
    </row>
    <row r="10360" spans="25:25" hidden="1" x14ac:dyDescent="0.25">
      <c r="Y10360" s="501"/>
    </row>
    <row r="10361" spans="25:25" hidden="1" x14ac:dyDescent="0.25">
      <c r="Y10361" s="501"/>
    </row>
    <row r="10362" spans="25:25" hidden="1" x14ac:dyDescent="0.25">
      <c r="Y10362" s="501"/>
    </row>
    <row r="10363" spans="25:25" hidden="1" x14ac:dyDescent="0.25">
      <c r="Y10363" s="501"/>
    </row>
    <row r="10364" spans="25:25" hidden="1" x14ac:dyDescent="0.25">
      <c r="Y10364" s="501"/>
    </row>
    <row r="10365" spans="25:25" hidden="1" x14ac:dyDescent="0.25">
      <c r="Y10365" s="501"/>
    </row>
    <row r="10366" spans="25:25" hidden="1" x14ac:dyDescent="0.25">
      <c r="Y10366" s="501"/>
    </row>
    <row r="10367" spans="25:25" hidden="1" x14ac:dyDescent="0.25">
      <c r="Y10367" s="501"/>
    </row>
    <row r="10368" spans="25:25" hidden="1" x14ac:dyDescent="0.25">
      <c r="Y10368" s="501"/>
    </row>
    <row r="10369" spans="25:25" hidden="1" x14ac:dyDescent="0.25">
      <c r="Y10369" s="501"/>
    </row>
    <row r="10370" spans="25:25" hidden="1" x14ac:dyDescent="0.25">
      <c r="Y10370" s="501"/>
    </row>
    <row r="10371" spans="25:25" hidden="1" x14ac:dyDescent="0.25">
      <c r="Y10371" s="501"/>
    </row>
    <row r="10372" spans="25:25" hidden="1" x14ac:dyDescent="0.25">
      <c r="Y10372" s="501"/>
    </row>
    <row r="10373" spans="25:25" hidden="1" x14ac:dyDescent="0.25">
      <c r="Y10373" s="501"/>
    </row>
    <row r="10374" spans="25:25" hidden="1" x14ac:dyDescent="0.25">
      <c r="Y10374" s="501"/>
    </row>
    <row r="10375" spans="25:25" hidden="1" x14ac:dyDescent="0.25">
      <c r="Y10375" s="501"/>
    </row>
    <row r="10376" spans="25:25" hidden="1" x14ac:dyDescent="0.25">
      <c r="Y10376" s="501"/>
    </row>
    <row r="10377" spans="25:25" hidden="1" x14ac:dyDescent="0.25">
      <c r="Y10377" s="501"/>
    </row>
    <row r="10378" spans="25:25" hidden="1" x14ac:dyDescent="0.25">
      <c r="Y10378" s="501"/>
    </row>
    <row r="10379" spans="25:25" hidden="1" x14ac:dyDescent="0.25">
      <c r="Y10379" s="501"/>
    </row>
    <row r="10380" spans="25:25" hidden="1" x14ac:dyDescent="0.25">
      <c r="Y10380" s="501"/>
    </row>
    <row r="10381" spans="25:25" hidden="1" x14ac:dyDescent="0.25">
      <c r="Y10381" s="501"/>
    </row>
    <row r="10382" spans="25:25" hidden="1" x14ac:dyDescent="0.25">
      <c r="Y10382" s="501"/>
    </row>
    <row r="10383" spans="25:25" hidden="1" x14ac:dyDescent="0.25">
      <c r="Y10383" s="501"/>
    </row>
    <row r="10384" spans="25:25" hidden="1" x14ac:dyDescent="0.25">
      <c r="Y10384" s="501"/>
    </row>
    <row r="10385" spans="25:25" hidden="1" x14ac:dyDescent="0.25">
      <c r="Y10385" s="501"/>
    </row>
    <row r="10386" spans="25:25" hidden="1" x14ac:dyDescent="0.25">
      <c r="Y10386" s="501"/>
    </row>
    <row r="10387" spans="25:25" hidden="1" x14ac:dyDescent="0.25">
      <c r="Y10387" s="501"/>
    </row>
    <row r="10388" spans="25:25" hidden="1" x14ac:dyDescent="0.25">
      <c r="Y10388" s="501"/>
    </row>
    <row r="10389" spans="25:25" hidden="1" x14ac:dyDescent="0.25">
      <c r="Y10389" s="501"/>
    </row>
    <row r="10390" spans="25:25" hidden="1" x14ac:dyDescent="0.25">
      <c r="Y10390" s="501"/>
    </row>
    <row r="10391" spans="25:25" hidden="1" x14ac:dyDescent="0.25">
      <c r="Y10391" s="501"/>
    </row>
    <row r="10392" spans="25:25" hidden="1" x14ac:dyDescent="0.25">
      <c r="Y10392" s="501"/>
    </row>
    <row r="10393" spans="25:25" hidden="1" x14ac:dyDescent="0.25">
      <c r="Y10393" s="501"/>
    </row>
    <row r="10394" spans="25:25" hidden="1" x14ac:dyDescent="0.25">
      <c r="Y10394" s="501"/>
    </row>
    <row r="10395" spans="25:25" hidden="1" x14ac:dyDescent="0.25">
      <c r="Y10395" s="501"/>
    </row>
    <row r="10396" spans="25:25" hidden="1" x14ac:dyDescent="0.25">
      <c r="Y10396" s="501"/>
    </row>
    <row r="10397" spans="25:25" hidden="1" x14ac:dyDescent="0.25">
      <c r="Y10397" s="501"/>
    </row>
    <row r="10398" spans="25:25" hidden="1" x14ac:dyDescent="0.25">
      <c r="Y10398" s="501"/>
    </row>
    <row r="10399" spans="25:25" hidden="1" x14ac:dyDescent="0.25">
      <c r="Y10399" s="501"/>
    </row>
    <row r="10400" spans="25:25" hidden="1" x14ac:dyDescent="0.25">
      <c r="Y10400" s="501"/>
    </row>
    <row r="10401" spans="25:25" hidden="1" x14ac:dyDescent="0.25">
      <c r="Y10401" s="501"/>
    </row>
    <row r="10402" spans="25:25" hidden="1" x14ac:dyDescent="0.25">
      <c r="Y10402" s="501"/>
    </row>
    <row r="10403" spans="25:25" hidden="1" x14ac:dyDescent="0.25">
      <c r="Y10403" s="501"/>
    </row>
    <row r="10404" spans="25:25" hidden="1" x14ac:dyDescent="0.25">
      <c r="Y10404" s="501"/>
    </row>
    <row r="10405" spans="25:25" hidden="1" x14ac:dyDescent="0.25">
      <c r="Y10405" s="501"/>
    </row>
    <row r="10406" spans="25:25" hidden="1" x14ac:dyDescent="0.25">
      <c r="Y10406" s="501"/>
    </row>
    <row r="10407" spans="25:25" hidden="1" x14ac:dyDescent="0.25">
      <c r="Y10407" s="501"/>
    </row>
    <row r="10408" spans="25:25" hidden="1" x14ac:dyDescent="0.25">
      <c r="Y10408" s="501"/>
    </row>
    <row r="10409" spans="25:25" hidden="1" x14ac:dyDescent="0.25">
      <c r="Y10409" s="501"/>
    </row>
    <row r="10410" spans="25:25" hidden="1" x14ac:dyDescent="0.25">
      <c r="Y10410" s="501"/>
    </row>
    <row r="10411" spans="25:25" hidden="1" x14ac:dyDescent="0.25">
      <c r="Y10411" s="501"/>
    </row>
    <row r="10412" spans="25:25" hidden="1" x14ac:dyDescent="0.25">
      <c r="Y10412" s="501"/>
    </row>
    <row r="10413" spans="25:25" hidden="1" x14ac:dyDescent="0.25">
      <c r="Y10413" s="501"/>
    </row>
    <row r="10414" spans="25:25" hidden="1" x14ac:dyDescent="0.25">
      <c r="Y10414" s="501"/>
    </row>
    <row r="10415" spans="25:25" hidden="1" x14ac:dyDescent="0.25">
      <c r="Y10415" s="501"/>
    </row>
    <row r="10416" spans="25:25" hidden="1" x14ac:dyDescent="0.25">
      <c r="Y10416" s="501"/>
    </row>
    <row r="10417" spans="25:25" hidden="1" x14ac:dyDescent="0.25">
      <c r="Y10417" s="501"/>
    </row>
    <row r="10418" spans="25:25" hidden="1" x14ac:dyDescent="0.25">
      <c r="Y10418" s="501"/>
    </row>
    <row r="10419" spans="25:25" hidden="1" x14ac:dyDescent="0.25">
      <c r="Y10419" s="501"/>
    </row>
    <row r="10420" spans="25:25" hidden="1" x14ac:dyDescent="0.25">
      <c r="Y10420" s="501"/>
    </row>
    <row r="10421" spans="25:25" hidden="1" x14ac:dyDescent="0.25">
      <c r="Y10421" s="501"/>
    </row>
    <row r="10422" spans="25:25" hidden="1" x14ac:dyDescent="0.25">
      <c r="Y10422" s="501"/>
    </row>
    <row r="10423" spans="25:25" hidden="1" x14ac:dyDescent="0.25">
      <c r="Y10423" s="501"/>
    </row>
    <row r="10424" spans="25:25" hidden="1" x14ac:dyDescent="0.25">
      <c r="Y10424" s="501"/>
    </row>
    <row r="10425" spans="25:25" hidden="1" x14ac:dyDescent="0.25">
      <c r="Y10425" s="501"/>
    </row>
    <row r="10426" spans="25:25" hidden="1" x14ac:dyDescent="0.25">
      <c r="Y10426" s="501"/>
    </row>
    <row r="10427" spans="25:25" hidden="1" x14ac:dyDescent="0.25">
      <c r="Y10427" s="501"/>
    </row>
    <row r="10428" spans="25:25" hidden="1" x14ac:dyDescent="0.25">
      <c r="Y10428" s="501"/>
    </row>
    <row r="10429" spans="25:25" hidden="1" x14ac:dyDescent="0.25">
      <c r="Y10429" s="501"/>
    </row>
    <row r="10430" spans="25:25" hidden="1" x14ac:dyDescent="0.25">
      <c r="Y10430" s="501"/>
    </row>
    <row r="10431" spans="25:25" hidden="1" x14ac:dyDescent="0.25">
      <c r="Y10431" s="501"/>
    </row>
    <row r="10432" spans="25:25" hidden="1" x14ac:dyDescent="0.25">
      <c r="Y10432" s="501"/>
    </row>
    <row r="10433" spans="25:25" hidden="1" x14ac:dyDescent="0.25">
      <c r="Y10433" s="501"/>
    </row>
    <row r="10434" spans="25:25" hidden="1" x14ac:dyDescent="0.25">
      <c r="Y10434" s="501"/>
    </row>
    <row r="10435" spans="25:25" hidden="1" x14ac:dyDescent="0.25">
      <c r="Y10435" s="501"/>
    </row>
    <row r="10436" spans="25:25" hidden="1" x14ac:dyDescent="0.25">
      <c r="Y10436" s="501"/>
    </row>
    <row r="10437" spans="25:25" hidden="1" x14ac:dyDescent="0.25">
      <c r="Y10437" s="501"/>
    </row>
    <row r="10438" spans="25:25" hidden="1" x14ac:dyDescent="0.25">
      <c r="Y10438" s="501"/>
    </row>
    <row r="10439" spans="25:25" hidden="1" x14ac:dyDescent="0.25">
      <c r="Y10439" s="501"/>
    </row>
    <row r="10440" spans="25:25" hidden="1" x14ac:dyDescent="0.25">
      <c r="Y10440" s="501"/>
    </row>
    <row r="10441" spans="25:25" hidden="1" x14ac:dyDescent="0.25">
      <c r="Y10441" s="501"/>
    </row>
    <row r="10442" spans="25:25" hidden="1" x14ac:dyDescent="0.25">
      <c r="Y10442" s="501"/>
    </row>
    <row r="10443" spans="25:25" hidden="1" x14ac:dyDescent="0.25">
      <c r="Y10443" s="501"/>
    </row>
    <row r="10444" spans="25:25" hidden="1" x14ac:dyDescent="0.25">
      <c r="Y10444" s="501"/>
    </row>
    <row r="10445" spans="25:25" hidden="1" x14ac:dyDescent="0.25">
      <c r="Y10445" s="501"/>
    </row>
    <row r="10446" spans="25:25" hidden="1" x14ac:dyDescent="0.25">
      <c r="Y10446" s="501"/>
    </row>
    <row r="10447" spans="25:25" hidden="1" x14ac:dyDescent="0.25">
      <c r="Y10447" s="501"/>
    </row>
    <row r="10448" spans="25:25" hidden="1" x14ac:dyDescent="0.25">
      <c r="Y10448" s="501"/>
    </row>
    <row r="10449" spans="25:25" hidden="1" x14ac:dyDescent="0.25">
      <c r="Y10449" s="501"/>
    </row>
    <row r="10450" spans="25:25" hidden="1" x14ac:dyDescent="0.25">
      <c r="Y10450" s="501"/>
    </row>
    <row r="10451" spans="25:25" hidden="1" x14ac:dyDescent="0.25">
      <c r="Y10451" s="501"/>
    </row>
    <row r="10452" spans="25:25" hidden="1" x14ac:dyDescent="0.25">
      <c r="Y10452" s="501"/>
    </row>
    <row r="10453" spans="25:25" hidden="1" x14ac:dyDescent="0.25">
      <c r="Y10453" s="501"/>
    </row>
    <row r="10454" spans="25:25" hidden="1" x14ac:dyDescent="0.25">
      <c r="Y10454" s="501"/>
    </row>
    <row r="10455" spans="25:25" hidden="1" x14ac:dyDescent="0.25">
      <c r="Y10455" s="501"/>
    </row>
    <row r="10456" spans="25:25" hidden="1" x14ac:dyDescent="0.25">
      <c r="Y10456" s="501"/>
    </row>
    <row r="10457" spans="25:25" hidden="1" x14ac:dyDescent="0.25">
      <c r="Y10457" s="501"/>
    </row>
    <row r="10458" spans="25:25" hidden="1" x14ac:dyDescent="0.25">
      <c r="Y10458" s="501"/>
    </row>
    <row r="10459" spans="25:25" hidden="1" x14ac:dyDescent="0.25">
      <c r="Y10459" s="501"/>
    </row>
    <row r="10460" spans="25:25" hidden="1" x14ac:dyDescent="0.25">
      <c r="Y10460" s="501"/>
    </row>
    <row r="10461" spans="25:25" hidden="1" x14ac:dyDescent="0.25">
      <c r="Y10461" s="501"/>
    </row>
    <row r="10462" spans="25:25" hidden="1" x14ac:dyDescent="0.25">
      <c r="Y10462" s="501"/>
    </row>
    <row r="10463" spans="25:25" hidden="1" x14ac:dyDescent="0.25">
      <c r="Y10463" s="501"/>
    </row>
    <row r="10464" spans="25:25" hidden="1" x14ac:dyDescent="0.25">
      <c r="Y10464" s="501"/>
    </row>
    <row r="10465" spans="25:25" hidden="1" x14ac:dyDescent="0.25">
      <c r="Y10465" s="501"/>
    </row>
    <row r="10466" spans="25:25" hidden="1" x14ac:dyDescent="0.25">
      <c r="Y10466" s="501"/>
    </row>
    <row r="10467" spans="25:25" hidden="1" x14ac:dyDescent="0.25">
      <c r="Y10467" s="501"/>
    </row>
    <row r="10468" spans="25:25" hidden="1" x14ac:dyDescent="0.25">
      <c r="Y10468" s="501"/>
    </row>
    <row r="10469" spans="25:25" hidden="1" x14ac:dyDescent="0.25">
      <c r="Y10469" s="501"/>
    </row>
    <row r="10470" spans="25:25" hidden="1" x14ac:dyDescent="0.25">
      <c r="Y10470" s="501"/>
    </row>
    <row r="10471" spans="25:25" hidden="1" x14ac:dyDescent="0.25">
      <c r="Y10471" s="501"/>
    </row>
    <row r="10472" spans="25:25" hidden="1" x14ac:dyDescent="0.25">
      <c r="Y10472" s="501"/>
    </row>
    <row r="10473" spans="25:25" hidden="1" x14ac:dyDescent="0.25">
      <c r="Y10473" s="501"/>
    </row>
    <row r="10474" spans="25:25" hidden="1" x14ac:dyDescent="0.25">
      <c r="Y10474" s="501"/>
    </row>
    <row r="10475" spans="25:25" hidden="1" x14ac:dyDescent="0.25">
      <c r="Y10475" s="501"/>
    </row>
    <row r="10476" spans="25:25" hidden="1" x14ac:dyDescent="0.25">
      <c r="Y10476" s="501"/>
    </row>
    <row r="10477" spans="25:25" hidden="1" x14ac:dyDescent="0.25">
      <c r="Y10477" s="501"/>
    </row>
    <row r="10478" spans="25:25" hidden="1" x14ac:dyDescent="0.25">
      <c r="Y10478" s="501"/>
    </row>
    <row r="10479" spans="25:25" hidden="1" x14ac:dyDescent="0.25">
      <c r="Y10479" s="501"/>
    </row>
    <row r="10480" spans="25:25" hidden="1" x14ac:dyDescent="0.25">
      <c r="Y10480" s="501"/>
    </row>
    <row r="10481" spans="25:25" hidden="1" x14ac:dyDescent="0.25">
      <c r="Y10481" s="501"/>
    </row>
    <row r="10482" spans="25:25" hidden="1" x14ac:dyDescent="0.25">
      <c r="Y10482" s="501"/>
    </row>
    <row r="10483" spans="25:25" hidden="1" x14ac:dyDescent="0.25">
      <c r="Y10483" s="501"/>
    </row>
    <row r="10484" spans="25:25" hidden="1" x14ac:dyDescent="0.25">
      <c r="Y10484" s="501"/>
    </row>
    <row r="10485" spans="25:25" hidden="1" x14ac:dyDescent="0.25">
      <c r="Y10485" s="501"/>
    </row>
    <row r="10486" spans="25:25" hidden="1" x14ac:dyDescent="0.25">
      <c r="Y10486" s="501"/>
    </row>
    <row r="10487" spans="25:25" hidden="1" x14ac:dyDescent="0.25">
      <c r="Y10487" s="501"/>
    </row>
    <row r="10488" spans="25:25" hidden="1" x14ac:dyDescent="0.25">
      <c r="Y10488" s="501"/>
    </row>
    <row r="10489" spans="25:25" hidden="1" x14ac:dyDescent="0.25">
      <c r="Y10489" s="501"/>
    </row>
    <row r="10490" spans="25:25" hidden="1" x14ac:dyDescent="0.25">
      <c r="Y10490" s="501"/>
    </row>
    <row r="10491" spans="25:25" hidden="1" x14ac:dyDescent="0.25">
      <c r="Y10491" s="501"/>
    </row>
    <row r="10492" spans="25:25" hidden="1" x14ac:dyDescent="0.25">
      <c r="Y10492" s="501"/>
    </row>
    <row r="10493" spans="25:25" hidden="1" x14ac:dyDescent="0.25">
      <c r="Y10493" s="501"/>
    </row>
    <row r="10494" spans="25:25" hidden="1" x14ac:dyDescent="0.25">
      <c r="Y10494" s="501"/>
    </row>
    <row r="10495" spans="25:25" hidden="1" x14ac:dyDescent="0.25">
      <c r="Y10495" s="501"/>
    </row>
    <row r="10496" spans="25:25" hidden="1" x14ac:dyDescent="0.25">
      <c r="Y10496" s="501"/>
    </row>
    <row r="10497" spans="25:25" hidden="1" x14ac:dyDescent="0.25">
      <c r="Y10497" s="501"/>
    </row>
    <row r="10498" spans="25:25" hidden="1" x14ac:dyDescent="0.25">
      <c r="Y10498" s="501"/>
    </row>
    <row r="10499" spans="25:25" hidden="1" x14ac:dyDescent="0.25">
      <c r="Y10499" s="501"/>
    </row>
    <row r="10500" spans="25:25" hidden="1" x14ac:dyDescent="0.25">
      <c r="Y10500" s="501"/>
    </row>
    <row r="10501" spans="25:25" hidden="1" x14ac:dyDescent="0.25">
      <c r="Y10501" s="501"/>
    </row>
    <row r="10502" spans="25:25" hidden="1" x14ac:dyDescent="0.25">
      <c r="Y10502" s="501"/>
    </row>
    <row r="10503" spans="25:25" hidden="1" x14ac:dyDescent="0.25">
      <c r="Y10503" s="501"/>
    </row>
    <row r="10504" spans="25:25" hidden="1" x14ac:dyDescent="0.25">
      <c r="Y10504" s="501"/>
    </row>
    <row r="10505" spans="25:25" hidden="1" x14ac:dyDescent="0.25">
      <c r="Y10505" s="501"/>
    </row>
    <row r="10506" spans="25:25" hidden="1" x14ac:dyDescent="0.25">
      <c r="Y10506" s="501"/>
    </row>
    <row r="10507" spans="25:25" hidden="1" x14ac:dyDescent="0.25">
      <c r="Y10507" s="501"/>
    </row>
    <row r="10508" spans="25:25" hidden="1" x14ac:dyDescent="0.25">
      <c r="Y10508" s="501"/>
    </row>
    <row r="10509" spans="25:25" hidden="1" x14ac:dyDescent="0.25">
      <c r="Y10509" s="501"/>
    </row>
    <row r="10510" spans="25:25" hidden="1" x14ac:dyDescent="0.25">
      <c r="Y10510" s="501"/>
    </row>
    <row r="10511" spans="25:25" hidden="1" x14ac:dyDescent="0.25">
      <c r="Y10511" s="501"/>
    </row>
    <row r="10512" spans="25:25" hidden="1" x14ac:dyDescent="0.25">
      <c r="Y10512" s="501"/>
    </row>
    <row r="10513" spans="25:25" hidden="1" x14ac:dyDescent="0.25">
      <c r="Y10513" s="501"/>
    </row>
    <row r="10514" spans="25:25" hidden="1" x14ac:dyDescent="0.25">
      <c r="Y10514" s="501"/>
    </row>
    <row r="10515" spans="25:25" hidden="1" x14ac:dyDescent="0.25">
      <c r="Y10515" s="501"/>
    </row>
    <row r="10516" spans="25:25" hidden="1" x14ac:dyDescent="0.25">
      <c r="Y10516" s="501"/>
    </row>
    <row r="10517" spans="25:25" hidden="1" x14ac:dyDescent="0.25">
      <c r="Y10517" s="501"/>
    </row>
    <row r="10518" spans="25:25" hidden="1" x14ac:dyDescent="0.25">
      <c r="Y10518" s="501"/>
    </row>
    <row r="10519" spans="25:25" hidden="1" x14ac:dyDescent="0.25">
      <c r="Y10519" s="501"/>
    </row>
    <row r="10520" spans="25:25" hidden="1" x14ac:dyDescent="0.25">
      <c r="Y10520" s="501"/>
    </row>
    <row r="10521" spans="25:25" hidden="1" x14ac:dyDescent="0.25">
      <c r="Y10521" s="501"/>
    </row>
    <row r="10522" spans="25:25" hidden="1" x14ac:dyDescent="0.25">
      <c r="Y10522" s="501"/>
    </row>
    <row r="10523" spans="25:25" hidden="1" x14ac:dyDescent="0.25">
      <c r="Y10523" s="501"/>
    </row>
    <row r="10524" spans="25:25" hidden="1" x14ac:dyDescent="0.25">
      <c r="Y10524" s="501"/>
    </row>
    <row r="10525" spans="25:25" hidden="1" x14ac:dyDescent="0.25">
      <c r="Y10525" s="501"/>
    </row>
    <row r="10526" spans="25:25" hidden="1" x14ac:dyDescent="0.25">
      <c r="Y10526" s="501"/>
    </row>
    <row r="10527" spans="25:25" hidden="1" x14ac:dyDescent="0.25">
      <c r="Y10527" s="501"/>
    </row>
    <row r="10528" spans="25:25" hidden="1" x14ac:dyDescent="0.25">
      <c r="Y10528" s="501"/>
    </row>
    <row r="10529" spans="25:25" hidden="1" x14ac:dyDescent="0.25">
      <c r="Y10529" s="501"/>
    </row>
    <row r="10530" spans="25:25" hidden="1" x14ac:dyDescent="0.25">
      <c r="Y10530" s="501"/>
    </row>
    <row r="10531" spans="25:25" hidden="1" x14ac:dyDescent="0.25">
      <c r="Y10531" s="501"/>
    </row>
    <row r="10532" spans="25:25" hidden="1" x14ac:dyDescent="0.25">
      <c r="Y10532" s="501"/>
    </row>
    <row r="10533" spans="25:25" hidden="1" x14ac:dyDescent="0.25">
      <c r="Y10533" s="501"/>
    </row>
    <row r="10534" spans="25:25" hidden="1" x14ac:dyDescent="0.25">
      <c r="Y10534" s="501"/>
    </row>
    <row r="10535" spans="25:25" hidden="1" x14ac:dyDescent="0.25">
      <c r="Y10535" s="501"/>
    </row>
    <row r="10536" spans="25:25" hidden="1" x14ac:dyDescent="0.25">
      <c r="Y10536" s="501"/>
    </row>
    <row r="10537" spans="25:25" hidden="1" x14ac:dyDescent="0.25">
      <c r="Y10537" s="501"/>
    </row>
    <row r="10538" spans="25:25" hidden="1" x14ac:dyDescent="0.25">
      <c r="Y10538" s="501"/>
    </row>
    <row r="10539" spans="25:25" hidden="1" x14ac:dyDescent="0.25">
      <c r="Y10539" s="501"/>
    </row>
    <row r="10540" spans="25:25" hidden="1" x14ac:dyDescent="0.25">
      <c r="Y10540" s="501"/>
    </row>
    <row r="10541" spans="25:25" hidden="1" x14ac:dyDescent="0.25">
      <c r="Y10541" s="501"/>
    </row>
    <row r="10542" spans="25:25" hidden="1" x14ac:dyDescent="0.25">
      <c r="Y10542" s="501"/>
    </row>
    <row r="10543" spans="25:25" hidden="1" x14ac:dyDescent="0.25">
      <c r="Y10543" s="501"/>
    </row>
    <row r="10544" spans="25:25" hidden="1" x14ac:dyDescent="0.25">
      <c r="Y10544" s="501"/>
    </row>
    <row r="10545" spans="25:25" hidden="1" x14ac:dyDescent="0.25">
      <c r="Y10545" s="501"/>
    </row>
    <row r="10546" spans="25:25" hidden="1" x14ac:dyDescent="0.25">
      <c r="Y10546" s="501"/>
    </row>
    <row r="10547" spans="25:25" hidden="1" x14ac:dyDescent="0.25">
      <c r="Y10547" s="501"/>
    </row>
    <row r="10548" spans="25:25" hidden="1" x14ac:dyDescent="0.25">
      <c r="Y10548" s="501"/>
    </row>
    <row r="10549" spans="25:25" hidden="1" x14ac:dyDescent="0.25">
      <c r="Y10549" s="501"/>
    </row>
    <row r="10550" spans="25:25" hidden="1" x14ac:dyDescent="0.25">
      <c r="Y10550" s="501"/>
    </row>
    <row r="10551" spans="25:25" hidden="1" x14ac:dyDescent="0.25">
      <c r="Y10551" s="501"/>
    </row>
    <row r="10552" spans="25:25" hidden="1" x14ac:dyDescent="0.25">
      <c r="Y10552" s="501"/>
    </row>
    <row r="10553" spans="25:25" hidden="1" x14ac:dyDescent="0.25">
      <c r="Y10553" s="501"/>
    </row>
    <row r="10554" spans="25:25" hidden="1" x14ac:dyDescent="0.25">
      <c r="Y10554" s="501"/>
    </row>
    <row r="10555" spans="25:25" hidden="1" x14ac:dyDescent="0.25">
      <c r="Y10555" s="501"/>
    </row>
    <row r="10556" spans="25:25" hidden="1" x14ac:dyDescent="0.25">
      <c r="Y10556" s="501"/>
    </row>
    <row r="10557" spans="25:25" hidden="1" x14ac:dyDescent="0.25">
      <c r="Y10557" s="501"/>
    </row>
    <row r="10558" spans="25:25" hidden="1" x14ac:dyDescent="0.25">
      <c r="Y10558" s="501"/>
    </row>
    <row r="10559" spans="25:25" hidden="1" x14ac:dyDescent="0.25">
      <c r="Y10559" s="501"/>
    </row>
    <row r="10560" spans="25:25" hidden="1" x14ac:dyDescent="0.25">
      <c r="Y10560" s="501"/>
    </row>
    <row r="10561" spans="25:25" hidden="1" x14ac:dyDescent="0.25">
      <c r="Y10561" s="501"/>
    </row>
    <row r="10562" spans="25:25" hidden="1" x14ac:dyDescent="0.25">
      <c r="Y10562" s="501"/>
    </row>
    <row r="10563" spans="25:25" hidden="1" x14ac:dyDescent="0.25">
      <c r="Y10563" s="501"/>
    </row>
    <row r="10564" spans="25:25" hidden="1" x14ac:dyDescent="0.25">
      <c r="Y10564" s="501"/>
    </row>
    <row r="10565" spans="25:25" hidden="1" x14ac:dyDescent="0.25">
      <c r="Y10565" s="501"/>
    </row>
    <row r="10566" spans="25:25" hidden="1" x14ac:dyDescent="0.25">
      <c r="Y10566" s="501"/>
    </row>
    <row r="10567" spans="25:25" hidden="1" x14ac:dyDescent="0.25">
      <c r="Y10567" s="501"/>
    </row>
    <row r="10568" spans="25:25" hidden="1" x14ac:dyDescent="0.25">
      <c r="Y10568" s="501"/>
    </row>
    <row r="10569" spans="25:25" hidden="1" x14ac:dyDescent="0.25">
      <c r="Y10569" s="501"/>
    </row>
    <row r="10570" spans="25:25" hidden="1" x14ac:dyDescent="0.25">
      <c r="Y10570" s="501"/>
    </row>
    <row r="10571" spans="25:25" hidden="1" x14ac:dyDescent="0.25">
      <c r="Y10571" s="501"/>
    </row>
    <row r="10572" spans="25:25" hidden="1" x14ac:dyDescent="0.25">
      <c r="Y10572" s="501"/>
    </row>
    <row r="10573" spans="25:25" hidden="1" x14ac:dyDescent="0.25">
      <c r="Y10573" s="501"/>
    </row>
    <row r="10574" spans="25:25" hidden="1" x14ac:dyDescent="0.25">
      <c r="Y10574" s="501"/>
    </row>
    <row r="10575" spans="25:25" hidden="1" x14ac:dyDescent="0.25">
      <c r="Y10575" s="501"/>
    </row>
    <row r="10576" spans="25:25" hidden="1" x14ac:dyDescent="0.25">
      <c r="Y10576" s="501"/>
    </row>
    <row r="10577" spans="25:25" hidden="1" x14ac:dyDescent="0.25">
      <c r="Y10577" s="501"/>
    </row>
    <row r="10578" spans="25:25" hidden="1" x14ac:dyDescent="0.25">
      <c r="Y10578" s="501"/>
    </row>
    <row r="10579" spans="25:25" hidden="1" x14ac:dyDescent="0.25">
      <c r="Y10579" s="501"/>
    </row>
    <row r="10580" spans="25:25" hidden="1" x14ac:dyDescent="0.25">
      <c r="Y10580" s="501"/>
    </row>
    <row r="10581" spans="25:25" hidden="1" x14ac:dyDescent="0.25">
      <c r="Y10581" s="501"/>
    </row>
    <row r="10582" spans="25:25" hidden="1" x14ac:dyDescent="0.25">
      <c r="Y10582" s="501"/>
    </row>
    <row r="10583" spans="25:25" hidden="1" x14ac:dyDescent="0.25">
      <c r="Y10583" s="501"/>
    </row>
    <row r="10584" spans="25:25" hidden="1" x14ac:dyDescent="0.25">
      <c r="Y10584" s="501"/>
    </row>
    <row r="10585" spans="25:25" hidden="1" x14ac:dyDescent="0.25">
      <c r="Y10585" s="501"/>
    </row>
    <row r="10586" spans="25:25" hidden="1" x14ac:dyDescent="0.25">
      <c r="Y10586" s="501"/>
    </row>
    <row r="10587" spans="25:25" hidden="1" x14ac:dyDescent="0.25">
      <c r="Y10587" s="501"/>
    </row>
    <row r="10588" spans="25:25" hidden="1" x14ac:dyDescent="0.25">
      <c r="Y10588" s="501"/>
    </row>
    <row r="10589" spans="25:25" hidden="1" x14ac:dyDescent="0.25">
      <c r="Y10589" s="501"/>
    </row>
    <row r="10590" spans="25:25" hidden="1" x14ac:dyDescent="0.25">
      <c r="Y10590" s="501"/>
    </row>
    <row r="10591" spans="25:25" hidden="1" x14ac:dyDescent="0.25">
      <c r="Y10591" s="501"/>
    </row>
    <row r="10592" spans="25:25" hidden="1" x14ac:dyDescent="0.25">
      <c r="Y10592" s="501"/>
    </row>
    <row r="10593" spans="25:25" hidden="1" x14ac:dyDescent="0.25">
      <c r="Y10593" s="501"/>
    </row>
    <row r="10594" spans="25:25" hidden="1" x14ac:dyDescent="0.25">
      <c r="Y10594" s="501"/>
    </row>
    <row r="10595" spans="25:25" hidden="1" x14ac:dyDescent="0.25">
      <c r="Y10595" s="501"/>
    </row>
    <row r="10596" spans="25:25" hidden="1" x14ac:dyDescent="0.25">
      <c r="Y10596" s="501"/>
    </row>
    <row r="10597" spans="25:25" hidden="1" x14ac:dyDescent="0.25">
      <c r="Y10597" s="501"/>
    </row>
    <row r="10598" spans="25:25" hidden="1" x14ac:dyDescent="0.25">
      <c r="Y10598" s="501"/>
    </row>
    <row r="10599" spans="25:25" hidden="1" x14ac:dyDescent="0.25">
      <c r="Y10599" s="501"/>
    </row>
    <row r="10600" spans="25:25" hidden="1" x14ac:dyDescent="0.25">
      <c r="Y10600" s="501"/>
    </row>
    <row r="10601" spans="25:25" hidden="1" x14ac:dyDescent="0.25">
      <c r="Y10601" s="501"/>
    </row>
    <row r="10602" spans="25:25" hidden="1" x14ac:dyDescent="0.25">
      <c r="Y10602" s="501"/>
    </row>
    <row r="10603" spans="25:25" hidden="1" x14ac:dyDescent="0.25">
      <c r="Y10603" s="501"/>
    </row>
    <row r="10604" spans="25:25" hidden="1" x14ac:dyDescent="0.25">
      <c r="Y10604" s="501"/>
    </row>
    <row r="10605" spans="25:25" hidden="1" x14ac:dyDescent="0.25">
      <c r="Y10605" s="501"/>
    </row>
    <row r="10606" spans="25:25" hidden="1" x14ac:dyDescent="0.25">
      <c r="Y10606" s="501"/>
    </row>
    <row r="10607" spans="25:25" hidden="1" x14ac:dyDescent="0.25">
      <c r="Y10607" s="501"/>
    </row>
    <row r="10608" spans="25:25" hidden="1" x14ac:dyDescent="0.25">
      <c r="Y10608" s="501"/>
    </row>
    <row r="10609" spans="25:25" hidden="1" x14ac:dyDescent="0.25">
      <c r="Y10609" s="501"/>
    </row>
    <row r="10610" spans="25:25" hidden="1" x14ac:dyDescent="0.25">
      <c r="Y10610" s="501"/>
    </row>
    <row r="10611" spans="25:25" hidden="1" x14ac:dyDescent="0.25">
      <c r="Y10611" s="501"/>
    </row>
    <row r="10612" spans="25:25" hidden="1" x14ac:dyDescent="0.25">
      <c r="Y10612" s="501"/>
    </row>
    <row r="10613" spans="25:25" hidden="1" x14ac:dyDescent="0.25">
      <c r="Y10613" s="501"/>
    </row>
    <row r="10614" spans="25:25" hidden="1" x14ac:dyDescent="0.25">
      <c r="Y10614" s="501"/>
    </row>
    <row r="10615" spans="25:25" hidden="1" x14ac:dyDescent="0.25">
      <c r="Y10615" s="501"/>
    </row>
    <row r="10616" spans="25:25" hidden="1" x14ac:dyDescent="0.25">
      <c r="Y10616" s="501"/>
    </row>
    <row r="10617" spans="25:25" hidden="1" x14ac:dyDescent="0.25">
      <c r="Y10617" s="501"/>
    </row>
    <row r="10618" spans="25:25" hidden="1" x14ac:dyDescent="0.25">
      <c r="Y10618" s="501"/>
    </row>
    <row r="10619" spans="25:25" hidden="1" x14ac:dyDescent="0.25">
      <c r="Y10619" s="501"/>
    </row>
    <row r="10620" spans="25:25" hidden="1" x14ac:dyDescent="0.25">
      <c r="Y10620" s="501"/>
    </row>
    <row r="10621" spans="25:25" hidden="1" x14ac:dyDescent="0.25">
      <c r="Y10621" s="501"/>
    </row>
    <row r="10622" spans="25:25" hidden="1" x14ac:dyDescent="0.25">
      <c r="Y10622" s="501"/>
    </row>
    <row r="10623" spans="25:25" hidden="1" x14ac:dyDescent="0.25">
      <c r="Y10623" s="501"/>
    </row>
    <row r="10624" spans="25:25" hidden="1" x14ac:dyDescent="0.25">
      <c r="Y10624" s="501"/>
    </row>
    <row r="10625" spans="25:25" hidden="1" x14ac:dyDescent="0.25">
      <c r="Y10625" s="501"/>
    </row>
    <row r="10626" spans="25:25" hidden="1" x14ac:dyDescent="0.25">
      <c r="Y10626" s="501"/>
    </row>
    <row r="10627" spans="25:25" hidden="1" x14ac:dyDescent="0.25">
      <c r="Y10627" s="501"/>
    </row>
    <row r="10628" spans="25:25" hidden="1" x14ac:dyDescent="0.25">
      <c r="Y10628" s="501"/>
    </row>
    <row r="10629" spans="25:25" hidden="1" x14ac:dyDescent="0.25">
      <c r="Y10629" s="501"/>
    </row>
    <row r="10630" spans="25:25" hidden="1" x14ac:dyDescent="0.25">
      <c r="Y10630" s="501"/>
    </row>
    <row r="10631" spans="25:25" hidden="1" x14ac:dyDescent="0.25">
      <c r="Y10631" s="501"/>
    </row>
    <row r="10632" spans="25:25" hidden="1" x14ac:dyDescent="0.25">
      <c r="Y10632" s="501"/>
    </row>
    <row r="10633" spans="25:25" hidden="1" x14ac:dyDescent="0.25">
      <c r="Y10633" s="501"/>
    </row>
    <row r="10634" spans="25:25" hidden="1" x14ac:dyDescent="0.25">
      <c r="Y10634" s="501"/>
    </row>
    <row r="10635" spans="25:25" hidden="1" x14ac:dyDescent="0.25">
      <c r="Y10635" s="501"/>
    </row>
    <row r="10636" spans="25:25" hidden="1" x14ac:dyDescent="0.25">
      <c r="Y10636" s="501"/>
    </row>
    <row r="10637" spans="25:25" hidden="1" x14ac:dyDescent="0.25">
      <c r="Y10637" s="501"/>
    </row>
    <row r="10638" spans="25:25" hidden="1" x14ac:dyDescent="0.25">
      <c r="Y10638" s="501"/>
    </row>
    <row r="10639" spans="25:25" hidden="1" x14ac:dyDescent="0.25">
      <c r="Y10639" s="501"/>
    </row>
    <row r="10640" spans="25:25" hidden="1" x14ac:dyDescent="0.25">
      <c r="Y10640" s="501"/>
    </row>
    <row r="10641" spans="25:25" hidden="1" x14ac:dyDescent="0.25">
      <c r="Y10641" s="501"/>
    </row>
    <row r="10642" spans="25:25" hidden="1" x14ac:dyDescent="0.25">
      <c r="Y10642" s="501"/>
    </row>
    <row r="10643" spans="25:25" hidden="1" x14ac:dyDescent="0.25">
      <c r="Y10643" s="501"/>
    </row>
    <row r="10644" spans="25:25" hidden="1" x14ac:dyDescent="0.25">
      <c r="Y10644" s="501"/>
    </row>
    <row r="10645" spans="25:25" hidden="1" x14ac:dyDescent="0.25">
      <c r="Y10645" s="501"/>
    </row>
    <row r="10646" spans="25:25" hidden="1" x14ac:dyDescent="0.25">
      <c r="Y10646" s="501"/>
    </row>
    <row r="10647" spans="25:25" hidden="1" x14ac:dyDescent="0.25">
      <c r="Y10647" s="501"/>
    </row>
    <row r="10648" spans="25:25" hidden="1" x14ac:dyDescent="0.25">
      <c r="Y10648" s="501"/>
    </row>
    <row r="10649" spans="25:25" hidden="1" x14ac:dyDescent="0.25">
      <c r="Y10649" s="501"/>
    </row>
    <row r="10650" spans="25:25" hidden="1" x14ac:dyDescent="0.25">
      <c r="Y10650" s="501"/>
    </row>
    <row r="10651" spans="25:25" hidden="1" x14ac:dyDescent="0.25">
      <c r="Y10651" s="501"/>
    </row>
    <row r="10652" spans="25:25" hidden="1" x14ac:dyDescent="0.25">
      <c r="Y10652" s="501"/>
    </row>
    <row r="10653" spans="25:25" hidden="1" x14ac:dyDescent="0.25">
      <c r="Y10653" s="501"/>
    </row>
    <row r="10654" spans="25:25" hidden="1" x14ac:dyDescent="0.25">
      <c r="Y10654" s="501"/>
    </row>
    <row r="10655" spans="25:25" hidden="1" x14ac:dyDescent="0.25">
      <c r="Y10655" s="501"/>
    </row>
    <row r="10656" spans="25:25" hidden="1" x14ac:dyDescent="0.25">
      <c r="Y10656" s="501"/>
    </row>
    <row r="10657" spans="25:25" hidden="1" x14ac:dyDescent="0.25">
      <c r="Y10657" s="501"/>
    </row>
    <row r="10658" spans="25:25" hidden="1" x14ac:dyDescent="0.25">
      <c r="Y10658" s="501"/>
    </row>
    <row r="10659" spans="25:25" hidden="1" x14ac:dyDescent="0.25">
      <c r="Y10659" s="501"/>
    </row>
    <row r="10660" spans="25:25" hidden="1" x14ac:dyDescent="0.25">
      <c r="Y10660" s="501"/>
    </row>
    <row r="10661" spans="25:25" hidden="1" x14ac:dyDescent="0.25">
      <c r="Y10661" s="501"/>
    </row>
    <row r="10662" spans="25:25" hidden="1" x14ac:dyDescent="0.25">
      <c r="Y10662" s="501"/>
    </row>
    <row r="10663" spans="25:25" hidden="1" x14ac:dyDescent="0.25">
      <c r="Y10663" s="501"/>
    </row>
    <row r="10664" spans="25:25" hidden="1" x14ac:dyDescent="0.25">
      <c r="Y10664" s="501"/>
    </row>
    <row r="10665" spans="25:25" hidden="1" x14ac:dyDescent="0.25">
      <c r="Y10665" s="501"/>
    </row>
    <row r="10666" spans="25:25" hidden="1" x14ac:dyDescent="0.25">
      <c r="Y10666" s="501"/>
    </row>
    <row r="10667" spans="25:25" hidden="1" x14ac:dyDescent="0.25">
      <c r="Y10667" s="501"/>
    </row>
    <row r="10668" spans="25:25" hidden="1" x14ac:dyDescent="0.25">
      <c r="Y10668" s="501"/>
    </row>
    <row r="10669" spans="25:25" hidden="1" x14ac:dyDescent="0.25">
      <c r="Y10669" s="501"/>
    </row>
    <row r="10670" spans="25:25" hidden="1" x14ac:dyDescent="0.25">
      <c r="Y10670" s="501"/>
    </row>
    <row r="10671" spans="25:25" hidden="1" x14ac:dyDescent="0.25">
      <c r="Y10671" s="501"/>
    </row>
    <row r="10672" spans="25:25" hidden="1" x14ac:dyDescent="0.25">
      <c r="Y10672" s="501"/>
    </row>
    <row r="10673" spans="25:25" hidden="1" x14ac:dyDescent="0.25">
      <c r="Y10673" s="501"/>
    </row>
    <row r="10674" spans="25:25" hidden="1" x14ac:dyDescent="0.25">
      <c r="Y10674" s="501"/>
    </row>
    <row r="10675" spans="25:25" hidden="1" x14ac:dyDescent="0.25">
      <c r="Y10675" s="501"/>
    </row>
    <row r="10676" spans="25:25" hidden="1" x14ac:dyDescent="0.25">
      <c r="Y10676" s="501"/>
    </row>
    <row r="10677" spans="25:25" hidden="1" x14ac:dyDescent="0.25">
      <c r="Y10677" s="501"/>
    </row>
    <row r="10678" spans="25:25" hidden="1" x14ac:dyDescent="0.25">
      <c r="Y10678" s="501"/>
    </row>
    <row r="10679" spans="25:25" hidden="1" x14ac:dyDescent="0.25">
      <c r="Y10679" s="501"/>
    </row>
    <row r="10680" spans="25:25" hidden="1" x14ac:dyDescent="0.25">
      <c r="Y10680" s="501"/>
    </row>
    <row r="10681" spans="25:25" hidden="1" x14ac:dyDescent="0.25">
      <c r="Y10681" s="501"/>
    </row>
    <row r="10682" spans="25:25" hidden="1" x14ac:dyDescent="0.25">
      <c r="Y10682" s="501"/>
    </row>
    <row r="10683" spans="25:25" hidden="1" x14ac:dyDescent="0.25">
      <c r="Y10683" s="501"/>
    </row>
    <row r="10684" spans="25:25" hidden="1" x14ac:dyDescent="0.25">
      <c r="Y10684" s="501"/>
    </row>
    <row r="10685" spans="25:25" hidden="1" x14ac:dyDescent="0.25">
      <c r="Y10685" s="501"/>
    </row>
    <row r="10686" spans="25:25" hidden="1" x14ac:dyDescent="0.25">
      <c r="Y10686" s="501"/>
    </row>
    <row r="10687" spans="25:25" hidden="1" x14ac:dyDescent="0.25">
      <c r="Y10687" s="501"/>
    </row>
    <row r="10688" spans="25:25" hidden="1" x14ac:dyDescent="0.25">
      <c r="Y10688" s="501"/>
    </row>
    <row r="10689" spans="25:25" hidden="1" x14ac:dyDescent="0.25">
      <c r="Y10689" s="501"/>
    </row>
    <row r="10690" spans="25:25" hidden="1" x14ac:dyDescent="0.25">
      <c r="Y10690" s="501"/>
    </row>
    <row r="10691" spans="25:25" hidden="1" x14ac:dyDescent="0.25">
      <c r="Y10691" s="501"/>
    </row>
    <row r="10692" spans="25:25" hidden="1" x14ac:dyDescent="0.25">
      <c r="Y10692" s="501"/>
    </row>
    <row r="10693" spans="25:25" hidden="1" x14ac:dyDescent="0.25">
      <c r="Y10693" s="501"/>
    </row>
    <row r="10694" spans="25:25" hidden="1" x14ac:dyDescent="0.25">
      <c r="Y10694" s="501"/>
    </row>
    <row r="10695" spans="25:25" hidden="1" x14ac:dyDescent="0.25">
      <c r="Y10695" s="501"/>
    </row>
    <row r="10696" spans="25:25" hidden="1" x14ac:dyDescent="0.25">
      <c r="Y10696" s="501"/>
    </row>
    <row r="10697" spans="25:25" hidden="1" x14ac:dyDescent="0.25">
      <c r="Y10697" s="501"/>
    </row>
    <row r="10698" spans="25:25" hidden="1" x14ac:dyDescent="0.25">
      <c r="Y10698" s="501"/>
    </row>
    <row r="10699" spans="25:25" hidden="1" x14ac:dyDescent="0.25">
      <c r="Y10699" s="501"/>
    </row>
    <row r="10700" spans="25:25" hidden="1" x14ac:dyDescent="0.25">
      <c r="Y10700" s="501"/>
    </row>
    <row r="10701" spans="25:25" hidden="1" x14ac:dyDescent="0.25">
      <c r="Y10701" s="501"/>
    </row>
    <row r="10702" spans="25:25" hidden="1" x14ac:dyDescent="0.25">
      <c r="Y10702" s="501"/>
    </row>
    <row r="10703" spans="25:25" hidden="1" x14ac:dyDescent="0.25">
      <c r="Y10703" s="501"/>
    </row>
    <row r="10704" spans="25:25" hidden="1" x14ac:dyDescent="0.25">
      <c r="Y10704" s="501"/>
    </row>
    <row r="10705" spans="25:25" hidden="1" x14ac:dyDescent="0.25">
      <c r="Y10705" s="501"/>
    </row>
    <row r="10706" spans="25:25" hidden="1" x14ac:dyDescent="0.25">
      <c r="Y10706" s="501"/>
    </row>
    <row r="10707" spans="25:25" hidden="1" x14ac:dyDescent="0.25">
      <c r="Y10707" s="501"/>
    </row>
    <row r="10708" spans="25:25" hidden="1" x14ac:dyDescent="0.25">
      <c r="Y10708" s="501"/>
    </row>
    <row r="10709" spans="25:25" hidden="1" x14ac:dyDescent="0.25">
      <c r="Y10709" s="501"/>
    </row>
    <row r="10710" spans="25:25" hidden="1" x14ac:dyDescent="0.25">
      <c r="Y10710" s="501"/>
    </row>
    <row r="10711" spans="25:25" hidden="1" x14ac:dyDescent="0.25">
      <c r="Y10711" s="501"/>
    </row>
    <row r="10712" spans="25:25" hidden="1" x14ac:dyDescent="0.25">
      <c r="Y10712" s="501"/>
    </row>
    <row r="10713" spans="25:25" hidden="1" x14ac:dyDescent="0.25">
      <c r="Y10713" s="501"/>
    </row>
    <row r="10714" spans="25:25" hidden="1" x14ac:dyDescent="0.25">
      <c r="Y10714" s="501"/>
    </row>
    <row r="10715" spans="25:25" hidden="1" x14ac:dyDescent="0.25">
      <c r="Y10715" s="501"/>
    </row>
    <row r="10716" spans="25:25" hidden="1" x14ac:dyDescent="0.25">
      <c r="Y10716" s="501"/>
    </row>
    <row r="10717" spans="25:25" hidden="1" x14ac:dyDescent="0.25">
      <c r="Y10717" s="501"/>
    </row>
    <row r="10718" spans="25:25" hidden="1" x14ac:dyDescent="0.25">
      <c r="Y10718" s="501"/>
    </row>
    <row r="10719" spans="25:25" hidden="1" x14ac:dyDescent="0.25">
      <c r="Y10719" s="501"/>
    </row>
    <row r="10720" spans="25:25" hidden="1" x14ac:dyDescent="0.25">
      <c r="Y10720" s="501"/>
    </row>
    <row r="10721" spans="25:25" hidden="1" x14ac:dyDescent="0.25">
      <c r="Y10721" s="501"/>
    </row>
    <row r="10722" spans="25:25" hidden="1" x14ac:dyDescent="0.25">
      <c r="Y10722" s="501"/>
    </row>
    <row r="10723" spans="25:25" hidden="1" x14ac:dyDescent="0.25">
      <c r="Y10723" s="501"/>
    </row>
    <row r="10724" spans="25:25" hidden="1" x14ac:dyDescent="0.25">
      <c r="Y10724" s="501"/>
    </row>
    <row r="10725" spans="25:25" hidden="1" x14ac:dyDescent="0.25">
      <c r="Y10725" s="501"/>
    </row>
    <row r="10726" spans="25:25" hidden="1" x14ac:dyDescent="0.25">
      <c r="Y10726" s="501"/>
    </row>
    <row r="10727" spans="25:25" hidden="1" x14ac:dyDescent="0.25">
      <c r="Y10727" s="501"/>
    </row>
    <row r="10728" spans="25:25" hidden="1" x14ac:dyDescent="0.25">
      <c r="Y10728" s="501"/>
    </row>
    <row r="10729" spans="25:25" hidden="1" x14ac:dyDescent="0.25">
      <c r="Y10729" s="501"/>
    </row>
    <row r="10730" spans="25:25" hidden="1" x14ac:dyDescent="0.25">
      <c r="Y10730" s="501"/>
    </row>
    <row r="10731" spans="25:25" hidden="1" x14ac:dyDescent="0.25">
      <c r="Y10731" s="501"/>
    </row>
    <row r="10732" spans="25:25" hidden="1" x14ac:dyDescent="0.25">
      <c r="Y10732" s="501"/>
    </row>
    <row r="10733" spans="25:25" hidden="1" x14ac:dyDescent="0.25">
      <c r="Y10733" s="501"/>
    </row>
    <row r="10734" spans="25:25" hidden="1" x14ac:dyDescent="0.25">
      <c r="Y10734" s="501"/>
    </row>
    <row r="10735" spans="25:25" hidden="1" x14ac:dyDescent="0.25">
      <c r="Y10735" s="501"/>
    </row>
    <row r="10736" spans="25:25" hidden="1" x14ac:dyDescent="0.25">
      <c r="Y10736" s="501"/>
    </row>
    <row r="10737" spans="25:25" hidden="1" x14ac:dyDescent="0.25">
      <c r="Y10737" s="501"/>
    </row>
    <row r="10738" spans="25:25" hidden="1" x14ac:dyDescent="0.25">
      <c r="Y10738" s="501"/>
    </row>
    <row r="10739" spans="25:25" hidden="1" x14ac:dyDescent="0.25">
      <c r="Y10739" s="501"/>
    </row>
    <row r="10740" spans="25:25" hidden="1" x14ac:dyDescent="0.25">
      <c r="Y10740" s="501"/>
    </row>
    <row r="10741" spans="25:25" hidden="1" x14ac:dyDescent="0.25">
      <c r="Y10741" s="501"/>
    </row>
    <row r="10742" spans="25:25" hidden="1" x14ac:dyDescent="0.25">
      <c r="Y10742" s="501"/>
    </row>
    <row r="10743" spans="25:25" hidden="1" x14ac:dyDescent="0.25">
      <c r="Y10743" s="501"/>
    </row>
    <row r="10744" spans="25:25" hidden="1" x14ac:dyDescent="0.25">
      <c r="Y10744" s="501"/>
    </row>
    <row r="10745" spans="25:25" hidden="1" x14ac:dyDescent="0.25">
      <c r="Y10745" s="501"/>
    </row>
    <row r="10746" spans="25:25" hidden="1" x14ac:dyDescent="0.25">
      <c r="Y10746" s="501"/>
    </row>
    <row r="10747" spans="25:25" hidden="1" x14ac:dyDescent="0.25">
      <c r="Y10747" s="501"/>
    </row>
    <row r="10748" spans="25:25" hidden="1" x14ac:dyDescent="0.25">
      <c r="Y10748" s="501"/>
    </row>
    <row r="10749" spans="25:25" hidden="1" x14ac:dyDescent="0.25">
      <c r="Y10749" s="501"/>
    </row>
    <row r="10750" spans="25:25" hidden="1" x14ac:dyDescent="0.25">
      <c r="Y10750" s="501"/>
    </row>
    <row r="10751" spans="25:25" hidden="1" x14ac:dyDescent="0.25">
      <c r="Y10751" s="501"/>
    </row>
    <row r="10752" spans="25:25" hidden="1" x14ac:dyDescent="0.25">
      <c r="Y10752" s="501"/>
    </row>
    <row r="10753" spans="25:25" hidden="1" x14ac:dyDescent="0.25">
      <c r="Y10753" s="501"/>
    </row>
    <row r="10754" spans="25:25" hidden="1" x14ac:dyDescent="0.25">
      <c r="Y10754" s="501"/>
    </row>
    <row r="10755" spans="25:25" hidden="1" x14ac:dyDescent="0.25">
      <c r="Y10755" s="501"/>
    </row>
    <row r="10756" spans="25:25" hidden="1" x14ac:dyDescent="0.25">
      <c r="Y10756" s="501"/>
    </row>
    <row r="10757" spans="25:25" hidden="1" x14ac:dyDescent="0.25">
      <c r="Y10757" s="501"/>
    </row>
    <row r="10758" spans="25:25" hidden="1" x14ac:dyDescent="0.25">
      <c r="Y10758" s="501"/>
    </row>
    <row r="10759" spans="25:25" hidden="1" x14ac:dyDescent="0.25">
      <c r="Y10759" s="501"/>
    </row>
    <row r="10760" spans="25:25" hidden="1" x14ac:dyDescent="0.25">
      <c r="Y10760" s="501"/>
    </row>
    <row r="10761" spans="25:25" hidden="1" x14ac:dyDescent="0.25">
      <c r="Y10761" s="501"/>
    </row>
    <row r="10762" spans="25:25" hidden="1" x14ac:dyDescent="0.25">
      <c r="Y10762" s="501"/>
    </row>
    <row r="10763" spans="25:25" hidden="1" x14ac:dyDescent="0.25">
      <c r="Y10763" s="501"/>
    </row>
    <row r="10764" spans="25:25" hidden="1" x14ac:dyDescent="0.25">
      <c r="Y10764" s="501"/>
    </row>
    <row r="10765" spans="25:25" hidden="1" x14ac:dyDescent="0.25">
      <c r="Y10765" s="501"/>
    </row>
    <row r="10766" spans="25:25" hidden="1" x14ac:dyDescent="0.25">
      <c r="Y10766" s="501"/>
    </row>
    <row r="10767" spans="25:25" hidden="1" x14ac:dyDescent="0.25">
      <c r="Y10767" s="501"/>
    </row>
    <row r="10768" spans="25:25" hidden="1" x14ac:dyDescent="0.25">
      <c r="Y10768" s="501"/>
    </row>
    <row r="10769" spans="25:25" hidden="1" x14ac:dyDescent="0.25">
      <c r="Y10769" s="501"/>
    </row>
    <row r="10770" spans="25:25" hidden="1" x14ac:dyDescent="0.25">
      <c r="Y10770" s="501"/>
    </row>
    <row r="10771" spans="25:25" hidden="1" x14ac:dyDescent="0.25">
      <c r="Y10771" s="501"/>
    </row>
    <row r="10772" spans="25:25" hidden="1" x14ac:dyDescent="0.25">
      <c r="Y10772" s="501"/>
    </row>
    <row r="10773" spans="25:25" hidden="1" x14ac:dyDescent="0.25">
      <c r="Y10773" s="501"/>
    </row>
    <row r="10774" spans="25:25" hidden="1" x14ac:dyDescent="0.25">
      <c r="Y10774" s="501"/>
    </row>
    <row r="10775" spans="25:25" hidden="1" x14ac:dyDescent="0.25">
      <c r="Y10775" s="501"/>
    </row>
    <row r="10776" spans="25:25" hidden="1" x14ac:dyDescent="0.25">
      <c r="Y10776" s="501"/>
    </row>
    <row r="10777" spans="25:25" hidden="1" x14ac:dyDescent="0.25">
      <c r="Y10777" s="501"/>
    </row>
    <row r="10778" spans="25:25" hidden="1" x14ac:dyDescent="0.25">
      <c r="Y10778" s="501"/>
    </row>
    <row r="10779" spans="25:25" hidden="1" x14ac:dyDescent="0.25">
      <c r="Y10779" s="501"/>
    </row>
    <row r="10780" spans="25:25" hidden="1" x14ac:dyDescent="0.25">
      <c r="Y10780" s="501"/>
    </row>
    <row r="10781" spans="25:25" hidden="1" x14ac:dyDescent="0.25">
      <c r="Y10781" s="501"/>
    </row>
    <row r="10782" spans="25:25" hidden="1" x14ac:dyDescent="0.25">
      <c r="Y10782" s="501"/>
    </row>
    <row r="10783" spans="25:25" hidden="1" x14ac:dyDescent="0.25">
      <c r="Y10783" s="501"/>
    </row>
    <row r="10784" spans="25:25" hidden="1" x14ac:dyDescent="0.25">
      <c r="Y10784" s="501"/>
    </row>
    <row r="10785" spans="25:25" hidden="1" x14ac:dyDescent="0.25">
      <c r="Y10785" s="501"/>
    </row>
    <row r="10786" spans="25:25" hidden="1" x14ac:dyDescent="0.25">
      <c r="Y10786" s="501"/>
    </row>
    <row r="10787" spans="25:25" hidden="1" x14ac:dyDescent="0.25">
      <c r="Y10787" s="501"/>
    </row>
    <row r="10788" spans="25:25" hidden="1" x14ac:dyDescent="0.25">
      <c r="Y10788" s="501"/>
    </row>
    <row r="10789" spans="25:25" hidden="1" x14ac:dyDescent="0.25">
      <c r="Y10789" s="501"/>
    </row>
    <row r="10790" spans="25:25" hidden="1" x14ac:dyDescent="0.25">
      <c r="Y10790" s="501"/>
    </row>
    <row r="10791" spans="25:25" hidden="1" x14ac:dyDescent="0.25">
      <c r="Y10791" s="501"/>
    </row>
    <row r="10792" spans="25:25" hidden="1" x14ac:dyDescent="0.25">
      <c r="Y10792" s="501"/>
    </row>
    <row r="10793" spans="25:25" hidden="1" x14ac:dyDescent="0.25">
      <c r="Y10793" s="501"/>
    </row>
    <row r="10794" spans="25:25" hidden="1" x14ac:dyDescent="0.25">
      <c r="Y10794" s="501"/>
    </row>
    <row r="10795" spans="25:25" hidden="1" x14ac:dyDescent="0.25">
      <c r="Y10795" s="501"/>
    </row>
    <row r="10796" spans="25:25" hidden="1" x14ac:dyDescent="0.25">
      <c r="Y10796" s="501"/>
    </row>
    <row r="10797" spans="25:25" hidden="1" x14ac:dyDescent="0.25">
      <c r="Y10797" s="501"/>
    </row>
    <row r="10798" spans="25:25" hidden="1" x14ac:dyDescent="0.25">
      <c r="Y10798" s="501"/>
    </row>
    <row r="10799" spans="25:25" hidden="1" x14ac:dyDescent="0.25">
      <c r="Y10799" s="501"/>
    </row>
    <row r="10800" spans="25:25" hidden="1" x14ac:dyDescent="0.25">
      <c r="Y10800" s="501"/>
    </row>
    <row r="10801" spans="25:25" hidden="1" x14ac:dyDescent="0.25">
      <c r="Y10801" s="501"/>
    </row>
    <row r="10802" spans="25:25" hidden="1" x14ac:dyDescent="0.25">
      <c r="Y10802" s="501"/>
    </row>
    <row r="10803" spans="25:25" hidden="1" x14ac:dyDescent="0.25">
      <c r="Y10803" s="501"/>
    </row>
    <row r="10804" spans="25:25" hidden="1" x14ac:dyDescent="0.25">
      <c r="Y10804" s="501"/>
    </row>
    <row r="10805" spans="25:25" hidden="1" x14ac:dyDescent="0.25">
      <c r="Y10805" s="501"/>
    </row>
    <row r="10806" spans="25:25" hidden="1" x14ac:dyDescent="0.25">
      <c r="Y10806" s="501"/>
    </row>
    <row r="10807" spans="25:25" hidden="1" x14ac:dyDescent="0.25">
      <c r="Y10807" s="501"/>
    </row>
    <row r="10808" spans="25:25" hidden="1" x14ac:dyDescent="0.25">
      <c r="Y10808" s="501"/>
    </row>
    <row r="10809" spans="25:25" hidden="1" x14ac:dyDescent="0.25">
      <c r="Y10809" s="501"/>
    </row>
    <row r="10810" spans="25:25" hidden="1" x14ac:dyDescent="0.25">
      <c r="Y10810" s="501"/>
    </row>
    <row r="10811" spans="25:25" hidden="1" x14ac:dyDescent="0.25">
      <c r="Y10811" s="501"/>
    </row>
    <row r="10812" spans="25:25" hidden="1" x14ac:dyDescent="0.25">
      <c r="Y10812" s="501"/>
    </row>
    <row r="10813" spans="25:25" hidden="1" x14ac:dyDescent="0.25">
      <c r="Y10813" s="501"/>
    </row>
    <row r="10814" spans="25:25" hidden="1" x14ac:dyDescent="0.25">
      <c r="Y10814" s="501"/>
    </row>
    <row r="10815" spans="25:25" hidden="1" x14ac:dyDescent="0.25">
      <c r="Y10815" s="501"/>
    </row>
    <row r="10816" spans="25:25" hidden="1" x14ac:dyDescent="0.25">
      <c r="Y10816" s="501"/>
    </row>
    <row r="10817" spans="25:25" hidden="1" x14ac:dyDescent="0.25">
      <c r="Y10817" s="501"/>
    </row>
    <row r="10818" spans="25:25" hidden="1" x14ac:dyDescent="0.25">
      <c r="Y10818" s="501"/>
    </row>
    <row r="10819" spans="25:25" hidden="1" x14ac:dyDescent="0.25">
      <c r="Y10819" s="501"/>
    </row>
    <row r="10820" spans="25:25" hidden="1" x14ac:dyDescent="0.25">
      <c r="Y10820" s="501"/>
    </row>
    <row r="10821" spans="25:25" hidden="1" x14ac:dyDescent="0.25">
      <c r="Y10821" s="501"/>
    </row>
    <row r="10822" spans="25:25" hidden="1" x14ac:dyDescent="0.25">
      <c r="Y10822" s="501"/>
    </row>
    <row r="10823" spans="25:25" hidden="1" x14ac:dyDescent="0.25">
      <c r="Y10823" s="501"/>
    </row>
    <row r="10824" spans="25:25" hidden="1" x14ac:dyDescent="0.25">
      <c r="Y10824" s="501"/>
    </row>
    <row r="10825" spans="25:25" hidden="1" x14ac:dyDescent="0.25">
      <c r="Y10825" s="501"/>
    </row>
    <row r="10826" spans="25:25" hidden="1" x14ac:dyDescent="0.25">
      <c r="Y10826" s="501"/>
    </row>
    <row r="10827" spans="25:25" hidden="1" x14ac:dyDescent="0.25">
      <c r="Y10827" s="501"/>
    </row>
    <row r="10828" spans="25:25" hidden="1" x14ac:dyDescent="0.25">
      <c r="Y10828" s="501"/>
    </row>
    <row r="10829" spans="25:25" hidden="1" x14ac:dyDescent="0.25">
      <c r="Y10829" s="501"/>
    </row>
    <row r="10830" spans="25:25" hidden="1" x14ac:dyDescent="0.25">
      <c r="Y10830" s="501"/>
    </row>
    <row r="10831" spans="25:25" hidden="1" x14ac:dyDescent="0.25">
      <c r="Y10831" s="501"/>
    </row>
    <row r="10832" spans="25:25" hidden="1" x14ac:dyDescent="0.25">
      <c r="Y10832" s="501"/>
    </row>
    <row r="10833" spans="25:25" hidden="1" x14ac:dyDescent="0.25">
      <c r="Y10833" s="501"/>
    </row>
    <row r="10834" spans="25:25" hidden="1" x14ac:dyDescent="0.25">
      <c r="Y10834" s="501"/>
    </row>
    <row r="10835" spans="25:25" hidden="1" x14ac:dyDescent="0.25">
      <c r="Y10835" s="501"/>
    </row>
    <row r="10836" spans="25:25" hidden="1" x14ac:dyDescent="0.25">
      <c r="Y10836" s="501"/>
    </row>
    <row r="10837" spans="25:25" hidden="1" x14ac:dyDescent="0.25">
      <c r="Y10837" s="501"/>
    </row>
    <row r="10838" spans="25:25" hidden="1" x14ac:dyDescent="0.25">
      <c r="Y10838" s="501"/>
    </row>
    <row r="10839" spans="25:25" hidden="1" x14ac:dyDescent="0.25">
      <c r="Y10839" s="501"/>
    </row>
    <row r="10840" spans="25:25" hidden="1" x14ac:dyDescent="0.25">
      <c r="Y10840" s="501"/>
    </row>
    <row r="10841" spans="25:25" hidden="1" x14ac:dyDescent="0.25">
      <c r="Y10841" s="501"/>
    </row>
    <row r="10842" spans="25:25" hidden="1" x14ac:dyDescent="0.25">
      <c r="Y10842" s="501"/>
    </row>
    <row r="10843" spans="25:25" hidden="1" x14ac:dyDescent="0.25">
      <c r="Y10843" s="501"/>
    </row>
    <row r="10844" spans="25:25" hidden="1" x14ac:dyDescent="0.25">
      <c r="Y10844" s="501"/>
    </row>
    <row r="10845" spans="25:25" hidden="1" x14ac:dyDescent="0.25">
      <c r="Y10845" s="501"/>
    </row>
    <row r="10846" spans="25:25" hidden="1" x14ac:dyDescent="0.25">
      <c r="Y10846" s="501"/>
    </row>
    <row r="10847" spans="25:25" hidden="1" x14ac:dyDescent="0.25">
      <c r="Y10847" s="501"/>
    </row>
    <row r="10848" spans="25:25" hidden="1" x14ac:dyDescent="0.25">
      <c r="Y10848" s="501"/>
    </row>
    <row r="10849" spans="25:25" hidden="1" x14ac:dyDescent="0.25">
      <c r="Y10849" s="501"/>
    </row>
    <row r="10850" spans="25:25" hidden="1" x14ac:dyDescent="0.25">
      <c r="Y10850" s="501"/>
    </row>
    <row r="10851" spans="25:25" hidden="1" x14ac:dyDescent="0.25">
      <c r="Y10851" s="501"/>
    </row>
    <row r="10852" spans="25:25" hidden="1" x14ac:dyDescent="0.25">
      <c r="Y10852" s="501"/>
    </row>
    <row r="10853" spans="25:25" hidden="1" x14ac:dyDescent="0.25">
      <c r="Y10853" s="501"/>
    </row>
    <row r="10854" spans="25:25" hidden="1" x14ac:dyDescent="0.25">
      <c r="Y10854" s="501"/>
    </row>
    <row r="10855" spans="25:25" hidden="1" x14ac:dyDescent="0.25">
      <c r="Y10855" s="501"/>
    </row>
    <row r="10856" spans="25:25" hidden="1" x14ac:dyDescent="0.25">
      <c r="Y10856" s="501"/>
    </row>
    <row r="10857" spans="25:25" hidden="1" x14ac:dyDescent="0.25">
      <c r="Y10857" s="501"/>
    </row>
    <row r="10858" spans="25:25" hidden="1" x14ac:dyDescent="0.25">
      <c r="Y10858" s="501"/>
    </row>
    <row r="10859" spans="25:25" hidden="1" x14ac:dyDescent="0.25">
      <c r="Y10859" s="501"/>
    </row>
    <row r="10860" spans="25:25" hidden="1" x14ac:dyDescent="0.25">
      <c r="Y10860" s="501"/>
    </row>
    <row r="10861" spans="25:25" hidden="1" x14ac:dyDescent="0.25">
      <c r="Y10861" s="501"/>
    </row>
    <row r="10862" spans="25:25" hidden="1" x14ac:dyDescent="0.25">
      <c r="Y10862" s="501"/>
    </row>
    <row r="10863" spans="25:25" hidden="1" x14ac:dyDescent="0.25">
      <c r="Y10863" s="501"/>
    </row>
    <row r="10864" spans="25:25" hidden="1" x14ac:dyDescent="0.25">
      <c r="Y10864" s="501"/>
    </row>
    <row r="10865" spans="25:25" hidden="1" x14ac:dyDescent="0.25">
      <c r="Y10865" s="501"/>
    </row>
    <row r="10866" spans="25:25" hidden="1" x14ac:dyDescent="0.25">
      <c r="Y10866" s="501"/>
    </row>
    <row r="10867" spans="25:25" hidden="1" x14ac:dyDescent="0.25">
      <c r="Y10867" s="501"/>
    </row>
    <row r="10868" spans="25:25" hidden="1" x14ac:dyDescent="0.25">
      <c r="Y10868" s="501"/>
    </row>
    <row r="10869" spans="25:25" hidden="1" x14ac:dyDescent="0.25">
      <c r="Y10869" s="501"/>
    </row>
    <row r="10870" spans="25:25" hidden="1" x14ac:dyDescent="0.25">
      <c r="Y10870" s="501"/>
    </row>
    <row r="10871" spans="25:25" hidden="1" x14ac:dyDescent="0.25">
      <c r="Y10871" s="501"/>
    </row>
    <row r="10872" spans="25:25" hidden="1" x14ac:dyDescent="0.25">
      <c r="Y10872" s="501"/>
    </row>
    <row r="10873" spans="25:25" hidden="1" x14ac:dyDescent="0.25">
      <c r="Y10873" s="501"/>
    </row>
    <row r="10874" spans="25:25" hidden="1" x14ac:dyDescent="0.25">
      <c r="Y10874" s="501"/>
    </row>
    <row r="10875" spans="25:25" hidden="1" x14ac:dyDescent="0.25">
      <c r="Y10875" s="501"/>
    </row>
    <row r="10876" spans="25:25" hidden="1" x14ac:dyDescent="0.25">
      <c r="Y10876" s="501"/>
    </row>
    <row r="10877" spans="25:25" hidden="1" x14ac:dyDescent="0.25">
      <c r="Y10877" s="501"/>
    </row>
    <row r="10878" spans="25:25" hidden="1" x14ac:dyDescent="0.25">
      <c r="Y10878" s="501"/>
    </row>
    <row r="10879" spans="25:25" hidden="1" x14ac:dyDescent="0.25">
      <c r="Y10879" s="501"/>
    </row>
    <row r="10880" spans="25:25" hidden="1" x14ac:dyDescent="0.25">
      <c r="Y10880" s="501"/>
    </row>
    <row r="10881" spans="25:25" hidden="1" x14ac:dyDescent="0.25">
      <c r="Y10881" s="501"/>
    </row>
    <row r="10882" spans="25:25" hidden="1" x14ac:dyDescent="0.25">
      <c r="Y10882" s="501"/>
    </row>
    <row r="10883" spans="25:25" hidden="1" x14ac:dyDescent="0.25">
      <c r="Y10883" s="501"/>
    </row>
    <row r="10884" spans="25:25" hidden="1" x14ac:dyDescent="0.25">
      <c r="Y10884" s="501"/>
    </row>
    <row r="10885" spans="25:25" hidden="1" x14ac:dyDescent="0.25">
      <c r="Y10885" s="501"/>
    </row>
    <row r="10886" spans="25:25" hidden="1" x14ac:dyDescent="0.25">
      <c r="Y10886" s="501"/>
    </row>
    <row r="10887" spans="25:25" hidden="1" x14ac:dyDescent="0.25">
      <c r="Y10887" s="501"/>
    </row>
    <row r="10888" spans="25:25" hidden="1" x14ac:dyDescent="0.25">
      <c r="Y10888" s="501"/>
    </row>
    <row r="10889" spans="25:25" hidden="1" x14ac:dyDescent="0.25">
      <c r="Y10889" s="501"/>
    </row>
    <row r="10890" spans="25:25" hidden="1" x14ac:dyDescent="0.25">
      <c r="Y10890" s="501"/>
    </row>
    <row r="10891" spans="25:25" hidden="1" x14ac:dyDescent="0.25">
      <c r="Y10891" s="501"/>
    </row>
    <row r="10892" spans="25:25" hidden="1" x14ac:dyDescent="0.25">
      <c r="Y10892" s="501"/>
    </row>
    <row r="10893" spans="25:25" hidden="1" x14ac:dyDescent="0.25">
      <c r="Y10893" s="501"/>
    </row>
    <row r="10894" spans="25:25" hidden="1" x14ac:dyDescent="0.25">
      <c r="Y10894" s="501"/>
    </row>
    <row r="10895" spans="25:25" hidden="1" x14ac:dyDescent="0.25">
      <c r="Y10895" s="501"/>
    </row>
    <row r="10896" spans="25:25" hidden="1" x14ac:dyDescent="0.25">
      <c r="Y10896" s="501"/>
    </row>
    <row r="10897" spans="25:25" hidden="1" x14ac:dyDescent="0.25">
      <c r="Y10897" s="501"/>
    </row>
    <row r="10898" spans="25:25" hidden="1" x14ac:dyDescent="0.25">
      <c r="Y10898" s="501"/>
    </row>
    <row r="10899" spans="25:25" hidden="1" x14ac:dyDescent="0.25">
      <c r="Y10899" s="501"/>
    </row>
    <row r="10900" spans="25:25" hidden="1" x14ac:dyDescent="0.25">
      <c r="Y10900" s="501"/>
    </row>
    <row r="10901" spans="25:25" hidden="1" x14ac:dyDescent="0.25">
      <c r="Y10901" s="501"/>
    </row>
    <row r="10902" spans="25:25" hidden="1" x14ac:dyDescent="0.25">
      <c r="Y10902" s="501"/>
    </row>
    <row r="10903" spans="25:25" hidden="1" x14ac:dyDescent="0.25">
      <c r="Y10903" s="501"/>
    </row>
    <row r="10904" spans="25:25" hidden="1" x14ac:dyDescent="0.25">
      <c r="Y10904" s="501"/>
    </row>
    <row r="10905" spans="25:25" hidden="1" x14ac:dyDescent="0.25">
      <c r="Y10905" s="501"/>
    </row>
    <row r="10906" spans="25:25" hidden="1" x14ac:dyDescent="0.25">
      <c r="Y10906" s="501"/>
    </row>
    <row r="10907" spans="25:25" hidden="1" x14ac:dyDescent="0.25">
      <c r="Y10907" s="501"/>
    </row>
    <row r="10908" spans="25:25" hidden="1" x14ac:dyDescent="0.25">
      <c r="Y10908" s="501"/>
    </row>
    <row r="10909" spans="25:25" hidden="1" x14ac:dyDescent="0.25">
      <c r="Y10909" s="501"/>
    </row>
    <row r="10910" spans="25:25" hidden="1" x14ac:dyDescent="0.25">
      <c r="Y10910" s="501"/>
    </row>
    <row r="10911" spans="25:25" hidden="1" x14ac:dyDescent="0.25">
      <c r="Y10911" s="501"/>
    </row>
    <row r="10912" spans="25:25" hidden="1" x14ac:dyDescent="0.25">
      <c r="Y10912" s="501"/>
    </row>
    <row r="10913" spans="25:25" hidden="1" x14ac:dyDescent="0.25">
      <c r="Y10913" s="501"/>
    </row>
    <row r="10914" spans="25:25" hidden="1" x14ac:dyDescent="0.25">
      <c r="Y10914" s="501"/>
    </row>
    <row r="10915" spans="25:25" hidden="1" x14ac:dyDescent="0.25">
      <c r="Y10915" s="501"/>
    </row>
    <row r="10916" spans="25:25" hidden="1" x14ac:dyDescent="0.25">
      <c r="Y10916" s="501"/>
    </row>
    <row r="10917" spans="25:25" hidden="1" x14ac:dyDescent="0.25">
      <c r="Y10917" s="501"/>
    </row>
    <row r="10918" spans="25:25" hidden="1" x14ac:dyDescent="0.25">
      <c r="Y10918" s="501"/>
    </row>
    <row r="10919" spans="25:25" hidden="1" x14ac:dyDescent="0.25">
      <c r="Y10919" s="501"/>
    </row>
    <row r="10920" spans="25:25" hidden="1" x14ac:dyDescent="0.25">
      <c r="Y10920" s="501"/>
    </row>
    <row r="10921" spans="25:25" hidden="1" x14ac:dyDescent="0.25">
      <c r="Y10921" s="501"/>
    </row>
    <row r="10922" spans="25:25" hidden="1" x14ac:dyDescent="0.25">
      <c r="Y10922" s="501"/>
    </row>
    <row r="10923" spans="25:25" hidden="1" x14ac:dyDescent="0.25">
      <c r="Y10923" s="501"/>
    </row>
    <row r="10924" spans="25:25" hidden="1" x14ac:dyDescent="0.25">
      <c r="Y10924" s="501"/>
    </row>
    <row r="10925" spans="25:25" hidden="1" x14ac:dyDescent="0.25">
      <c r="Y10925" s="501"/>
    </row>
    <row r="10926" spans="25:25" hidden="1" x14ac:dyDescent="0.25">
      <c r="Y10926" s="501"/>
    </row>
    <row r="10927" spans="25:25" hidden="1" x14ac:dyDescent="0.25">
      <c r="Y10927" s="501"/>
    </row>
    <row r="10928" spans="25:25" hidden="1" x14ac:dyDescent="0.25">
      <c r="Y10928" s="501"/>
    </row>
    <row r="10929" spans="25:25" hidden="1" x14ac:dyDescent="0.25">
      <c r="Y10929" s="501"/>
    </row>
    <row r="10930" spans="25:25" hidden="1" x14ac:dyDescent="0.25">
      <c r="Y10930" s="501"/>
    </row>
    <row r="10931" spans="25:25" hidden="1" x14ac:dyDescent="0.25">
      <c r="Y10931" s="501"/>
    </row>
    <row r="10932" spans="25:25" hidden="1" x14ac:dyDescent="0.25">
      <c r="Y10932" s="501"/>
    </row>
    <row r="10933" spans="25:25" hidden="1" x14ac:dyDescent="0.25">
      <c r="Y10933" s="501"/>
    </row>
    <row r="10934" spans="25:25" hidden="1" x14ac:dyDescent="0.25">
      <c r="Y10934" s="501"/>
    </row>
    <row r="10935" spans="25:25" hidden="1" x14ac:dyDescent="0.25">
      <c r="Y10935" s="501"/>
    </row>
    <row r="10936" spans="25:25" hidden="1" x14ac:dyDescent="0.25">
      <c r="Y10936" s="501"/>
    </row>
    <row r="10937" spans="25:25" hidden="1" x14ac:dyDescent="0.25">
      <c r="Y10937" s="501"/>
    </row>
    <row r="10938" spans="25:25" hidden="1" x14ac:dyDescent="0.25">
      <c r="Y10938" s="501"/>
    </row>
    <row r="10939" spans="25:25" hidden="1" x14ac:dyDescent="0.25">
      <c r="Y10939" s="501"/>
    </row>
    <row r="10940" spans="25:25" hidden="1" x14ac:dyDescent="0.25">
      <c r="Y10940" s="501"/>
    </row>
    <row r="10941" spans="25:25" hidden="1" x14ac:dyDescent="0.25">
      <c r="Y10941" s="501"/>
    </row>
    <row r="10942" spans="25:25" hidden="1" x14ac:dyDescent="0.25">
      <c r="Y10942" s="501"/>
    </row>
    <row r="10943" spans="25:25" hidden="1" x14ac:dyDescent="0.25">
      <c r="Y10943" s="501"/>
    </row>
    <row r="10944" spans="25:25" hidden="1" x14ac:dyDescent="0.25">
      <c r="Y10944" s="501"/>
    </row>
    <row r="10945" spans="25:25" hidden="1" x14ac:dyDescent="0.25">
      <c r="Y10945" s="501"/>
    </row>
    <row r="10946" spans="25:25" hidden="1" x14ac:dyDescent="0.25">
      <c r="Y10946" s="501"/>
    </row>
    <row r="10947" spans="25:25" hidden="1" x14ac:dyDescent="0.25">
      <c r="Y10947" s="501"/>
    </row>
    <row r="10948" spans="25:25" hidden="1" x14ac:dyDescent="0.25">
      <c r="Y10948" s="501"/>
    </row>
    <row r="10949" spans="25:25" hidden="1" x14ac:dyDescent="0.25">
      <c r="Y10949" s="501"/>
    </row>
    <row r="10950" spans="25:25" hidden="1" x14ac:dyDescent="0.25">
      <c r="Y10950" s="501"/>
    </row>
    <row r="10951" spans="25:25" hidden="1" x14ac:dyDescent="0.25">
      <c r="Y10951" s="501"/>
    </row>
    <row r="10952" spans="25:25" hidden="1" x14ac:dyDescent="0.25">
      <c r="Y10952" s="501"/>
    </row>
    <row r="10953" spans="25:25" hidden="1" x14ac:dyDescent="0.25">
      <c r="Y10953" s="501"/>
    </row>
    <row r="10954" spans="25:25" hidden="1" x14ac:dyDescent="0.25">
      <c r="Y10954" s="501"/>
    </row>
    <row r="10955" spans="25:25" hidden="1" x14ac:dyDescent="0.25">
      <c r="Y10955" s="501"/>
    </row>
    <row r="10956" spans="25:25" hidden="1" x14ac:dyDescent="0.25">
      <c r="Y10956" s="501"/>
    </row>
    <row r="10957" spans="25:25" hidden="1" x14ac:dyDescent="0.25">
      <c r="Y10957" s="501"/>
    </row>
    <row r="10958" spans="25:25" hidden="1" x14ac:dyDescent="0.25">
      <c r="Y10958" s="501"/>
    </row>
    <row r="10959" spans="25:25" hidden="1" x14ac:dyDescent="0.25">
      <c r="Y10959" s="501"/>
    </row>
    <row r="10960" spans="25:25" hidden="1" x14ac:dyDescent="0.25">
      <c r="Y10960" s="501"/>
    </row>
    <row r="10961" spans="25:25" hidden="1" x14ac:dyDescent="0.25">
      <c r="Y10961" s="501"/>
    </row>
    <row r="10962" spans="25:25" hidden="1" x14ac:dyDescent="0.25">
      <c r="Y10962" s="501"/>
    </row>
    <row r="10963" spans="25:25" hidden="1" x14ac:dyDescent="0.25">
      <c r="Y10963" s="501"/>
    </row>
    <row r="10964" spans="25:25" hidden="1" x14ac:dyDescent="0.25">
      <c r="Y10964" s="501"/>
    </row>
    <row r="10965" spans="25:25" hidden="1" x14ac:dyDescent="0.25">
      <c r="Y10965" s="501"/>
    </row>
    <row r="10966" spans="25:25" hidden="1" x14ac:dyDescent="0.25">
      <c r="Y10966" s="501"/>
    </row>
    <row r="10967" spans="25:25" hidden="1" x14ac:dyDescent="0.25">
      <c r="Y10967" s="501"/>
    </row>
    <row r="10968" spans="25:25" hidden="1" x14ac:dyDescent="0.25">
      <c r="Y10968" s="501"/>
    </row>
    <row r="10969" spans="25:25" hidden="1" x14ac:dyDescent="0.25">
      <c r="Y10969" s="501"/>
    </row>
    <row r="10970" spans="25:25" hidden="1" x14ac:dyDescent="0.25">
      <c r="Y10970" s="501"/>
    </row>
    <row r="10971" spans="25:25" hidden="1" x14ac:dyDescent="0.25">
      <c r="Y10971" s="501"/>
    </row>
    <row r="10972" spans="25:25" hidden="1" x14ac:dyDescent="0.25">
      <c r="Y10972" s="501"/>
    </row>
    <row r="10973" spans="25:25" hidden="1" x14ac:dyDescent="0.25">
      <c r="Y10973" s="501"/>
    </row>
    <row r="10974" spans="25:25" hidden="1" x14ac:dyDescent="0.25">
      <c r="Y10974" s="501"/>
    </row>
    <row r="10975" spans="25:25" hidden="1" x14ac:dyDescent="0.25">
      <c r="Y10975" s="501"/>
    </row>
    <row r="10976" spans="25:25" hidden="1" x14ac:dyDescent="0.25">
      <c r="Y10976" s="501"/>
    </row>
    <row r="10977" spans="25:25" hidden="1" x14ac:dyDescent="0.25">
      <c r="Y10977" s="501"/>
    </row>
    <row r="10978" spans="25:25" hidden="1" x14ac:dyDescent="0.25">
      <c r="Y10978" s="501"/>
    </row>
    <row r="10979" spans="25:25" hidden="1" x14ac:dyDescent="0.25">
      <c r="Y10979" s="501"/>
    </row>
    <row r="10980" spans="25:25" hidden="1" x14ac:dyDescent="0.25">
      <c r="Y10980" s="501"/>
    </row>
    <row r="10981" spans="25:25" hidden="1" x14ac:dyDescent="0.25">
      <c r="Y10981" s="501"/>
    </row>
    <row r="10982" spans="25:25" hidden="1" x14ac:dyDescent="0.25">
      <c r="Y10982" s="501"/>
    </row>
    <row r="10983" spans="25:25" hidden="1" x14ac:dyDescent="0.25">
      <c r="Y10983" s="501"/>
    </row>
    <row r="10984" spans="25:25" hidden="1" x14ac:dyDescent="0.25">
      <c r="Y10984" s="501"/>
    </row>
    <row r="10985" spans="25:25" hidden="1" x14ac:dyDescent="0.25">
      <c r="Y10985" s="501"/>
    </row>
    <row r="10986" spans="25:25" hidden="1" x14ac:dyDescent="0.25">
      <c r="Y10986" s="501"/>
    </row>
    <row r="10987" spans="25:25" hidden="1" x14ac:dyDescent="0.25">
      <c r="Y10987" s="501"/>
    </row>
    <row r="10988" spans="25:25" hidden="1" x14ac:dyDescent="0.25">
      <c r="Y10988" s="501"/>
    </row>
    <row r="10989" spans="25:25" hidden="1" x14ac:dyDescent="0.25">
      <c r="Y10989" s="501"/>
    </row>
    <row r="10990" spans="25:25" hidden="1" x14ac:dyDescent="0.25">
      <c r="Y10990" s="501"/>
    </row>
    <row r="10991" spans="25:25" hidden="1" x14ac:dyDescent="0.25">
      <c r="Y10991" s="501"/>
    </row>
    <row r="10992" spans="25:25" hidden="1" x14ac:dyDescent="0.25">
      <c r="Y10992" s="501"/>
    </row>
    <row r="10993" spans="25:25" hidden="1" x14ac:dyDescent="0.25">
      <c r="Y10993" s="501"/>
    </row>
    <row r="10994" spans="25:25" hidden="1" x14ac:dyDescent="0.25">
      <c r="Y10994" s="501"/>
    </row>
    <row r="10995" spans="25:25" hidden="1" x14ac:dyDescent="0.25">
      <c r="Y10995" s="501"/>
    </row>
    <row r="10996" spans="25:25" hidden="1" x14ac:dyDescent="0.25">
      <c r="Y10996" s="501"/>
    </row>
    <row r="10997" spans="25:25" hidden="1" x14ac:dyDescent="0.25">
      <c r="Y10997" s="501"/>
    </row>
    <row r="10998" spans="25:25" hidden="1" x14ac:dyDescent="0.25">
      <c r="Y10998" s="501"/>
    </row>
    <row r="10999" spans="25:25" hidden="1" x14ac:dyDescent="0.25">
      <c r="Y10999" s="501"/>
    </row>
    <row r="11000" spans="25:25" hidden="1" x14ac:dyDescent="0.25">
      <c r="Y11000" s="501"/>
    </row>
    <row r="11001" spans="25:25" hidden="1" x14ac:dyDescent="0.25">
      <c r="Y11001" s="501"/>
    </row>
    <row r="11002" spans="25:25" hidden="1" x14ac:dyDescent="0.25">
      <c r="Y11002" s="501"/>
    </row>
    <row r="11003" spans="25:25" hidden="1" x14ac:dyDescent="0.25">
      <c r="Y11003" s="501"/>
    </row>
    <row r="11004" spans="25:25" hidden="1" x14ac:dyDescent="0.25">
      <c r="Y11004" s="501"/>
    </row>
    <row r="11005" spans="25:25" hidden="1" x14ac:dyDescent="0.25">
      <c r="Y11005" s="501"/>
    </row>
    <row r="11006" spans="25:25" hidden="1" x14ac:dyDescent="0.25">
      <c r="Y11006" s="501"/>
    </row>
    <row r="11007" spans="25:25" hidden="1" x14ac:dyDescent="0.25">
      <c r="Y11007" s="501"/>
    </row>
    <row r="11008" spans="25:25" hidden="1" x14ac:dyDescent="0.25">
      <c r="Y11008" s="501"/>
    </row>
    <row r="11009" spans="25:25" hidden="1" x14ac:dyDescent="0.25">
      <c r="Y11009" s="501"/>
    </row>
    <row r="11010" spans="25:25" hidden="1" x14ac:dyDescent="0.25">
      <c r="Y11010" s="501"/>
    </row>
    <row r="11011" spans="25:25" hidden="1" x14ac:dyDescent="0.25">
      <c r="Y11011" s="501"/>
    </row>
    <row r="11012" spans="25:25" hidden="1" x14ac:dyDescent="0.25">
      <c r="Y11012" s="501"/>
    </row>
    <row r="11013" spans="25:25" hidden="1" x14ac:dyDescent="0.25">
      <c r="Y11013" s="501"/>
    </row>
    <row r="11014" spans="25:25" hidden="1" x14ac:dyDescent="0.25">
      <c r="Y11014" s="501"/>
    </row>
    <row r="11015" spans="25:25" hidden="1" x14ac:dyDescent="0.25">
      <c r="Y11015" s="501"/>
    </row>
    <row r="11016" spans="25:25" hidden="1" x14ac:dyDescent="0.25">
      <c r="Y11016" s="501"/>
    </row>
    <row r="11017" spans="25:25" hidden="1" x14ac:dyDescent="0.25">
      <c r="Y11017" s="501"/>
    </row>
    <row r="11018" spans="25:25" hidden="1" x14ac:dyDescent="0.25">
      <c r="Y11018" s="501"/>
    </row>
    <row r="11019" spans="25:25" hidden="1" x14ac:dyDescent="0.25">
      <c r="Y11019" s="501"/>
    </row>
    <row r="11020" spans="25:25" hidden="1" x14ac:dyDescent="0.25">
      <c r="Y11020" s="501"/>
    </row>
    <row r="11021" spans="25:25" hidden="1" x14ac:dyDescent="0.25">
      <c r="Y11021" s="501"/>
    </row>
    <row r="11022" spans="25:25" hidden="1" x14ac:dyDescent="0.25">
      <c r="Y11022" s="501"/>
    </row>
    <row r="11023" spans="25:25" hidden="1" x14ac:dyDescent="0.25">
      <c r="Y11023" s="501"/>
    </row>
    <row r="11024" spans="25:25" hidden="1" x14ac:dyDescent="0.25">
      <c r="Y11024" s="501"/>
    </row>
    <row r="11025" spans="25:25" hidden="1" x14ac:dyDescent="0.25">
      <c r="Y11025" s="501"/>
    </row>
    <row r="11026" spans="25:25" hidden="1" x14ac:dyDescent="0.25">
      <c r="Y11026" s="501"/>
    </row>
    <row r="11027" spans="25:25" hidden="1" x14ac:dyDescent="0.25">
      <c r="Y11027" s="501"/>
    </row>
    <row r="11028" spans="25:25" hidden="1" x14ac:dyDescent="0.25">
      <c r="Y11028" s="501"/>
    </row>
    <row r="11029" spans="25:25" hidden="1" x14ac:dyDescent="0.25">
      <c r="Y11029" s="501"/>
    </row>
    <row r="11030" spans="25:25" hidden="1" x14ac:dyDescent="0.25">
      <c r="Y11030" s="501"/>
    </row>
    <row r="11031" spans="25:25" hidden="1" x14ac:dyDescent="0.25">
      <c r="Y11031" s="501"/>
    </row>
    <row r="11032" spans="25:25" hidden="1" x14ac:dyDescent="0.25">
      <c r="Y11032" s="501"/>
    </row>
    <row r="11033" spans="25:25" hidden="1" x14ac:dyDescent="0.25">
      <c r="Y11033" s="501"/>
    </row>
    <row r="11034" spans="25:25" hidden="1" x14ac:dyDescent="0.25">
      <c r="Y11034" s="501"/>
    </row>
    <row r="11035" spans="25:25" hidden="1" x14ac:dyDescent="0.25">
      <c r="Y11035" s="501"/>
    </row>
    <row r="11036" spans="25:25" hidden="1" x14ac:dyDescent="0.25">
      <c r="Y11036" s="501"/>
    </row>
    <row r="11037" spans="25:25" hidden="1" x14ac:dyDescent="0.25">
      <c r="Y11037" s="501"/>
    </row>
    <row r="11038" spans="25:25" hidden="1" x14ac:dyDescent="0.25">
      <c r="Y11038" s="501"/>
    </row>
    <row r="11039" spans="25:25" hidden="1" x14ac:dyDescent="0.25">
      <c r="Y11039" s="501"/>
    </row>
    <row r="11040" spans="25:25" hidden="1" x14ac:dyDescent="0.25">
      <c r="Y11040" s="501"/>
    </row>
    <row r="11041" spans="25:25" hidden="1" x14ac:dyDescent="0.25">
      <c r="Y11041" s="501"/>
    </row>
    <row r="11042" spans="25:25" hidden="1" x14ac:dyDescent="0.25">
      <c r="Y11042" s="501"/>
    </row>
    <row r="11043" spans="25:25" hidden="1" x14ac:dyDescent="0.25">
      <c r="Y11043" s="501"/>
    </row>
    <row r="11044" spans="25:25" hidden="1" x14ac:dyDescent="0.25">
      <c r="Y11044" s="501"/>
    </row>
    <row r="11045" spans="25:25" hidden="1" x14ac:dyDescent="0.25">
      <c r="Y11045" s="501"/>
    </row>
    <row r="11046" spans="25:25" hidden="1" x14ac:dyDescent="0.25">
      <c r="Y11046" s="501"/>
    </row>
    <row r="11047" spans="25:25" hidden="1" x14ac:dyDescent="0.25">
      <c r="Y11047" s="501"/>
    </row>
    <row r="11048" spans="25:25" hidden="1" x14ac:dyDescent="0.25">
      <c r="Y11048" s="501"/>
    </row>
    <row r="11049" spans="25:25" hidden="1" x14ac:dyDescent="0.25">
      <c r="Y11049" s="501"/>
    </row>
    <row r="11050" spans="25:25" hidden="1" x14ac:dyDescent="0.25">
      <c r="Y11050" s="501"/>
    </row>
    <row r="11051" spans="25:25" hidden="1" x14ac:dyDescent="0.25">
      <c r="Y11051" s="501"/>
    </row>
    <row r="11052" spans="25:25" hidden="1" x14ac:dyDescent="0.25">
      <c r="Y11052" s="501"/>
    </row>
    <row r="11053" spans="25:25" hidden="1" x14ac:dyDescent="0.25">
      <c r="Y11053" s="501"/>
    </row>
    <row r="11054" spans="25:25" hidden="1" x14ac:dyDescent="0.25">
      <c r="Y11054" s="501"/>
    </row>
    <row r="11055" spans="25:25" hidden="1" x14ac:dyDescent="0.25">
      <c r="Y11055" s="501"/>
    </row>
    <row r="11056" spans="25:25" hidden="1" x14ac:dyDescent="0.25">
      <c r="Y11056" s="501"/>
    </row>
    <row r="11057" spans="25:25" hidden="1" x14ac:dyDescent="0.25">
      <c r="Y11057" s="501"/>
    </row>
    <row r="11058" spans="25:25" hidden="1" x14ac:dyDescent="0.25">
      <c r="Y11058" s="501"/>
    </row>
    <row r="11059" spans="25:25" hidden="1" x14ac:dyDescent="0.25">
      <c r="Y11059" s="501"/>
    </row>
    <row r="11060" spans="25:25" hidden="1" x14ac:dyDescent="0.25">
      <c r="Y11060" s="501"/>
    </row>
    <row r="11061" spans="25:25" hidden="1" x14ac:dyDescent="0.25">
      <c r="Y11061" s="501"/>
    </row>
    <row r="11062" spans="25:25" hidden="1" x14ac:dyDescent="0.25">
      <c r="Y11062" s="501"/>
    </row>
    <row r="11063" spans="25:25" hidden="1" x14ac:dyDescent="0.25">
      <c r="Y11063" s="501"/>
    </row>
    <row r="11064" spans="25:25" hidden="1" x14ac:dyDescent="0.25">
      <c r="Y11064" s="501"/>
    </row>
    <row r="11065" spans="25:25" hidden="1" x14ac:dyDescent="0.25">
      <c r="Y11065" s="501"/>
    </row>
    <row r="11066" spans="25:25" hidden="1" x14ac:dyDescent="0.25">
      <c r="Y11066" s="501"/>
    </row>
    <row r="11067" spans="25:25" hidden="1" x14ac:dyDescent="0.25">
      <c r="Y11067" s="501"/>
    </row>
    <row r="11068" spans="25:25" hidden="1" x14ac:dyDescent="0.25">
      <c r="Y11068" s="501"/>
    </row>
    <row r="11069" spans="25:25" hidden="1" x14ac:dyDescent="0.25">
      <c r="Y11069" s="501"/>
    </row>
    <row r="11070" spans="25:25" hidden="1" x14ac:dyDescent="0.25">
      <c r="Y11070" s="501"/>
    </row>
    <row r="11071" spans="25:25" hidden="1" x14ac:dyDescent="0.25">
      <c r="Y11071" s="501"/>
    </row>
    <row r="11072" spans="25:25" hidden="1" x14ac:dyDescent="0.25">
      <c r="Y11072" s="501"/>
    </row>
    <row r="11073" spans="25:25" hidden="1" x14ac:dyDescent="0.25">
      <c r="Y11073" s="501"/>
    </row>
    <row r="11074" spans="25:25" hidden="1" x14ac:dyDescent="0.25">
      <c r="Y11074" s="501"/>
    </row>
    <row r="11075" spans="25:25" hidden="1" x14ac:dyDescent="0.25">
      <c r="Y11075" s="501"/>
    </row>
    <row r="11076" spans="25:25" hidden="1" x14ac:dyDescent="0.25">
      <c r="Y11076" s="501"/>
    </row>
    <row r="11077" spans="25:25" hidden="1" x14ac:dyDescent="0.25">
      <c r="Y11077" s="501"/>
    </row>
    <row r="11078" spans="25:25" hidden="1" x14ac:dyDescent="0.25">
      <c r="Y11078" s="501"/>
    </row>
    <row r="11079" spans="25:25" hidden="1" x14ac:dyDescent="0.25">
      <c r="Y11079" s="501"/>
    </row>
    <row r="11080" spans="25:25" hidden="1" x14ac:dyDescent="0.25">
      <c r="Y11080" s="501"/>
    </row>
    <row r="11081" spans="25:25" hidden="1" x14ac:dyDescent="0.25">
      <c r="Y11081" s="501"/>
    </row>
    <row r="11082" spans="25:25" hidden="1" x14ac:dyDescent="0.25">
      <c r="Y11082" s="501"/>
    </row>
    <row r="11083" spans="25:25" hidden="1" x14ac:dyDescent="0.25">
      <c r="Y11083" s="501"/>
    </row>
    <row r="11084" spans="25:25" hidden="1" x14ac:dyDescent="0.25">
      <c r="Y11084" s="501"/>
    </row>
    <row r="11085" spans="25:25" hidden="1" x14ac:dyDescent="0.25">
      <c r="Y11085" s="501"/>
    </row>
    <row r="11086" spans="25:25" hidden="1" x14ac:dyDescent="0.25">
      <c r="Y11086" s="501"/>
    </row>
    <row r="11087" spans="25:25" hidden="1" x14ac:dyDescent="0.25">
      <c r="Y11087" s="501"/>
    </row>
    <row r="11088" spans="25:25" hidden="1" x14ac:dyDescent="0.25">
      <c r="Y11088" s="501"/>
    </row>
    <row r="11089" spans="25:25" hidden="1" x14ac:dyDescent="0.25">
      <c r="Y11089" s="501"/>
    </row>
    <row r="11090" spans="25:25" hidden="1" x14ac:dyDescent="0.25">
      <c r="Y11090" s="501"/>
    </row>
    <row r="11091" spans="25:25" hidden="1" x14ac:dyDescent="0.25">
      <c r="Y11091" s="501"/>
    </row>
    <row r="11092" spans="25:25" hidden="1" x14ac:dyDescent="0.25">
      <c r="Y11092" s="501"/>
    </row>
    <row r="11093" spans="25:25" hidden="1" x14ac:dyDescent="0.25">
      <c r="Y11093" s="501"/>
    </row>
    <row r="11094" spans="25:25" hidden="1" x14ac:dyDescent="0.25">
      <c r="Y11094" s="501"/>
    </row>
    <row r="11095" spans="25:25" hidden="1" x14ac:dyDescent="0.25">
      <c r="Y11095" s="501"/>
    </row>
    <row r="11096" spans="25:25" hidden="1" x14ac:dyDescent="0.25">
      <c r="Y11096" s="501"/>
    </row>
    <row r="11097" spans="25:25" hidden="1" x14ac:dyDescent="0.25">
      <c r="Y11097" s="501"/>
    </row>
    <row r="11098" spans="25:25" hidden="1" x14ac:dyDescent="0.25">
      <c r="Y11098" s="501"/>
    </row>
    <row r="11099" spans="25:25" hidden="1" x14ac:dyDescent="0.25">
      <c r="Y11099" s="501"/>
    </row>
    <row r="11100" spans="25:25" hidden="1" x14ac:dyDescent="0.25">
      <c r="Y11100" s="501"/>
    </row>
    <row r="11101" spans="25:25" hidden="1" x14ac:dyDescent="0.25">
      <c r="Y11101" s="501"/>
    </row>
    <row r="11102" spans="25:25" hidden="1" x14ac:dyDescent="0.25">
      <c r="Y11102" s="501"/>
    </row>
    <row r="11103" spans="25:25" hidden="1" x14ac:dyDescent="0.25">
      <c r="Y11103" s="501"/>
    </row>
    <row r="11104" spans="25:25" hidden="1" x14ac:dyDescent="0.25">
      <c r="Y11104" s="501"/>
    </row>
    <row r="11105" spans="25:25" hidden="1" x14ac:dyDescent="0.25">
      <c r="Y11105" s="501"/>
    </row>
    <row r="11106" spans="25:25" hidden="1" x14ac:dyDescent="0.25">
      <c r="Y11106" s="501"/>
    </row>
    <row r="11107" spans="25:25" hidden="1" x14ac:dyDescent="0.25">
      <c r="Y11107" s="501"/>
    </row>
    <row r="11108" spans="25:25" hidden="1" x14ac:dyDescent="0.25">
      <c r="Y11108" s="501"/>
    </row>
    <row r="11109" spans="25:25" hidden="1" x14ac:dyDescent="0.25">
      <c r="Y11109" s="501"/>
    </row>
    <row r="11110" spans="25:25" hidden="1" x14ac:dyDescent="0.25">
      <c r="Y11110" s="501"/>
    </row>
    <row r="11111" spans="25:25" hidden="1" x14ac:dyDescent="0.25">
      <c r="Y11111" s="501"/>
    </row>
    <row r="11112" spans="25:25" hidden="1" x14ac:dyDescent="0.25">
      <c r="Y11112" s="501"/>
    </row>
    <row r="11113" spans="25:25" hidden="1" x14ac:dyDescent="0.25">
      <c r="Y11113" s="501"/>
    </row>
    <row r="11114" spans="25:25" hidden="1" x14ac:dyDescent="0.25">
      <c r="Y11114" s="501"/>
    </row>
    <row r="11115" spans="25:25" hidden="1" x14ac:dyDescent="0.25">
      <c r="Y11115" s="501"/>
    </row>
    <row r="11116" spans="25:25" hidden="1" x14ac:dyDescent="0.25">
      <c r="Y11116" s="501"/>
    </row>
    <row r="11117" spans="25:25" hidden="1" x14ac:dyDescent="0.25">
      <c r="Y11117" s="501"/>
    </row>
    <row r="11118" spans="25:25" hidden="1" x14ac:dyDescent="0.25">
      <c r="Y11118" s="501"/>
    </row>
    <row r="11119" spans="25:25" hidden="1" x14ac:dyDescent="0.25">
      <c r="Y11119" s="501"/>
    </row>
    <row r="11120" spans="25:25" hidden="1" x14ac:dyDescent="0.25">
      <c r="Y11120" s="501"/>
    </row>
    <row r="11121" spans="25:25" hidden="1" x14ac:dyDescent="0.25">
      <c r="Y11121" s="501"/>
    </row>
    <row r="11122" spans="25:25" hidden="1" x14ac:dyDescent="0.25">
      <c r="Y11122" s="501"/>
    </row>
    <row r="11123" spans="25:25" hidden="1" x14ac:dyDescent="0.25">
      <c r="Y11123" s="501"/>
    </row>
    <row r="11124" spans="25:25" hidden="1" x14ac:dyDescent="0.25">
      <c r="Y11124" s="501"/>
    </row>
    <row r="11125" spans="25:25" hidden="1" x14ac:dyDescent="0.25">
      <c r="Y11125" s="501"/>
    </row>
    <row r="11126" spans="25:25" hidden="1" x14ac:dyDescent="0.25">
      <c r="Y11126" s="501"/>
    </row>
    <row r="11127" spans="25:25" hidden="1" x14ac:dyDescent="0.25">
      <c r="Y11127" s="501"/>
    </row>
    <row r="11128" spans="25:25" hidden="1" x14ac:dyDescent="0.25">
      <c r="Y11128" s="501"/>
    </row>
    <row r="11129" spans="25:25" hidden="1" x14ac:dyDescent="0.25">
      <c r="Y11129" s="501"/>
    </row>
    <row r="11130" spans="25:25" hidden="1" x14ac:dyDescent="0.25">
      <c r="Y11130" s="501"/>
    </row>
    <row r="11131" spans="25:25" hidden="1" x14ac:dyDescent="0.25">
      <c r="Y11131" s="501"/>
    </row>
    <row r="11132" spans="25:25" hidden="1" x14ac:dyDescent="0.25">
      <c r="Y11132" s="501"/>
    </row>
    <row r="11133" spans="25:25" hidden="1" x14ac:dyDescent="0.25">
      <c r="Y11133" s="501"/>
    </row>
    <row r="11134" spans="25:25" hidden="1" x14ac:dyDescent="0.25">
      <c r="Y11134" s="501"/>
    </row>
    <row r="11135" spans="25:25" hidden="1" x14ac:dyDescent="0.25">
      <c r="Y11135" s="501"/>
    </row>
    <row r="11136" spans="25:25" hidden="1" x14ac:dyDescent="0.25">
      <c r="Y11136" s="501"/>
    </row>
    <row r="11137" spans="25:25" hidden="1" x14ac:dyDescent="0.25">
      <c r="Y11137" s="501"/>
    </row>
    <row r="11138" spans="25:25" hidden="1" x14ac:dyDescent="0.25">
      <c r="Y11138" s="501"/>
    </row>
    <row r="11139" spans="25:25" hidden="1" x14ac:dyDescent="0.25">
      <c r="Y11139" s="501"/>
    </row>
    <row r="11140" spans="25:25" hidden="1" x14ac:dyDescent="0.25">
      <c r="Y11140" s="501"/>
    </row>
    <row r="11141" spans="25:25" hidden="1" x14ac:dyDescent="0.25">
      <c r="Y11141" s="501"/>
    </row>
    <row r="11142" spans="25:25" hidden="1" x14ac:dyDescent="0.25">
      <c r="Y11142" s="501"/>
    </row>
    <row r="11143" spans="25:25" hidden="1" x14ac:dyDescent="0.25">
      <c r="Y11143" s="501"/>
    </row>
    <row r="11144" spans="25:25" hidden="1" x14ac:dyDescent="0.25">
      <c r="Y11144" s="501"/>
    </row>
    <row r="11145" spans="25:25" hidden="1" x14ac:dyDescent="0.25">
      <c r="Y11145" s="501"/>
    </row>
    <row r="11146" spans="25:25" hidden="1" x14ac:dyDescent="0.25">
      <c r="Y11146" s="501"/>
    </row>
    <row r="11147" spans="25:25" hidden="1" x14ac:dyDescent="0.25">
      <c r="Y11147" s="501"/>
    </row>
    <row r="11148" spans="25:25" hidden="1" x14ac:dyDescent="0.25">
      <c r="Y11148" s="501"/>
    </row>
    <row r="11149" spans="25:25" hidden="1" x14ac:dyDescent="0.25">
      <c r="Y11149" s="501"/>
    </row>
    <row r="11150" spans="25:25" hidden="1" x14ac:dyDescent="0.25">
      <c r="Y11150" s="501"/>
    </row>
    <row r="11151" spans="25:25" hidden="1" x14ac:dyDescent="0.25">
      <c r="Y11151" s="501"/>
    </row>
    <row r="11152" spans="25:25" hidden="1" x14ac:dyDescent="0.25">
      <c r="Y11152" s="501"/>
    </row>
    <row r="11153" spans="25:25" hidden="1" x14ac:dyDescent="0.25">
      <c r="Y11153" s="501"/>
    </row>
    <row r="11154" spans="25:25" hidden="1" x14ac:dyDescent="0.25">
      <c r="Y11154" s="501"/>
    </row>
    <row r="11155" spans="25:25" hidden="1" x14ac:dyDescent="0.25">
      <c r="Y11155" s="501"/>
    </row>
    <row r="11156" spans="25:25" hidden="1" x14ac:dyDescent="0.25">
      <c r="Y11156" s="501"/>
    </row>
    <row r="11157" spans="25:25" hidden="1" x14ac:dyDescent="0.25">
      <c r="Y11157" s="501"/>
    </row>
    <row r="11158" spans="25:25" hidden="1" x14ac:dyDescent="0.25">
      <c r="Y11158" s="501"/>
    </row>
    <row r="11159" spans="25:25" hidden="1" x14ac:dyDescent="0.25">
      <c r="Y11159" s="501"/>
    </row>
    <row r="11160" spans="25:25" hidden="1" x14ac:dyDescent="0.25">
      <c r="Y11160" s="501"/>
    </row>
    <row r="11161" spans="25:25" hidden="1" x14ac:dyDescent="0.25">
      <c r="Y11161" s="501"/>
    </row>
    <row r="11162" spans="25:25" hidden="1" x14ac:dyDescent="0.25">
      <c r="Y11162" s="501"/>
    </row>
    <row r="11163" spans="25:25" hidden="1" x14ac:dyDescent="0.25">
      <c r="Y11163" s="501"/>
    </row>
    <row r="11164" spans="25:25" hidden="1" x14ac:dyDescent="0.25">
      <c r="Y11164" s="501"/>
    </row>
    <row r="11165" spans="25:25" hidden="1" x14ac:dyDescent="0.25">
      <c r="Y11165" s="501"/>
    </row>
    <row r="11166" spans="25:25" hidden="1" x14ac:dyDescent="0.25">
      <c r="Y11166" s="501"/>
    </row>
    <row r="11167" spans="25:25" hidden="1" x14ac:dyDescent="0.25">
      <c r="Y11167" s="501"/>
    </row>
    <row r="11168" spans="25:25" hidden="1" x14ac:dyDescent="0.25">
      <c r="Y11168" s="501"/>
    </row>
    <row r="11169" spans="25:25" hidden="1" x14ac:dyDescent="0.25">
      <c r="Y11169" s="501"/>
    </row>
    <row r="11170" spans="25:25" hidden="1" x14ac:dyDescent="0.25">
      <c r="Y11170" s="501"/>
    </row>
    <row r="11171" spans="25:25" hidden="1" x14ac:dyDescent="0.25">
      <c r="Y11171" s="501"/>
    </row>
    <row r="11172" spans="25:25" hidden="1" x14ac:dyDescent="0.25">
      <c r="Y11172" s="501"/>
    </row>
    <row r="11173" spans="25:25" hidden="1" x14ac:dyDescent="0.25">
      <c r="Y11173" s="501"/>
    </row>
    <row r="11174" spans="25:25" hidden="1" x14ac:dyDescent="0.25">
      <c r="Y11174" s="501"/>
    </row>
    <row r="11175" spans="25:25" hidden="1" x14ac:dyDescent="0.25">
      <c r="Y11175" s="501"/>
    </row>
    <row r="11176" spans="25:25" hidden="1" x14ac:dyDescent="0.25">
      <c r="Y11176" s="501"/>
    </row>
    <row r="11177" spans="25:25" hidden="1" x14ac:dyDescent="0.25">
      <c r="Y11177" s="501"/>
    </row>
    <row r="11178" spans="25:25" hidden="1" x14ac:dyDescent="0.25">
      <c r="Y11178" s="501"/>
    </row>
    <row r="11179" spans="25:25" hidden="1" x14ac:dyDescent="0.25">
      <c r="Y11179" s="501"/>
    </row>
    <row r="11180" spans="25:25" hidden="1" x14ac:dyDescent="0.25">
      <c r="Y11180" s="501"/>
    </row>
    <row r="11181" spans="25:25" hidden="1" x14ac:dyDescent="0.25">
      <c r="Y11181" s="501"/>
    </row>
    <row r="11182" spans="25:25" hidden="1" x14ac:dyDescent="0.25">
      <c r="Y11182" s="501"/>
    </row>
    <row r="11183" spans="25:25" hidden="1" x14ac:dyDescent="0.25">
      <c r="Y11183" s="501"/>
    </row>
    <row r="11184" spans="25:25" hidden="1" x14ac:dyDescent="0.25">
      <c r="Y11184" s="501"/>
    </row>
    <row r="11185" spans="25:25" hidden="1" x14ac:dyDescent="0.25">
      <c r="Y11185" s="501"/>
    </row>
    <row r="11186" spans="25:25" hidden="1" x14ac:dyDescent="0.25">
      <c r="Y11186" s="501"/>
    </row>
    <row r="11187" spans="25:25" hidden="1" x14ac:dyDescent="0.25">
      <c r="Y11187" s="501"/>
    </row>
    <row r="11188" spans="25:25" hidden="1" x14ac:dyDescent="0.25">
      <c r="Y11188" s="501"/>
    </row>
    <row r="11189" spans="25:25" hidden="1" x14ac:dyDescent="0.25">
      <c r="Y11189" s="501"/>
    </row>
    <row r="11190" spans="25:25" hidden="1" x14ac:dyDescent="0.25">
      <c r="Y11190" s="501"/>
    </row>
    <row r="11191" spans="25:25" hidden="1" x14ac:dyDescent="0.25">
      <c r="Y11191" s="501"/>
    </row>
    <row r="11192" spans="25:25" hidden="1" x14ac:dyDescent="0.25">
      <c r="Y11192" s="501"/>
    </row>
    <row r="11193" spans="25:25" hidden="1" x14ac:dyDescent="0.25">
      <c r="Y11193" s="501"/>
    </row>
    <row r="11194" spans="25:25" hidden="1" x14ac:dyDescent="0.25">
      <c r="Y11194" s="501"/>
    </row>
    <row r="11195" spans="25:25" hidden="1" x14ac:dyDescent="0.25">
      <c r="Y11195" s="501"/>
    </row>
    <row r="11196" spans="25:25" hidden="1" x14ac:dyDescent="0.25">
      <c r="Y11196" s="501"/>
    </row>
    <row r="11197" spans="25:25" hidden="1" x14ac:dyDescent="0.25">
      <c r="Y11197" s="501"/>
    </row>
    <row r="11198" spans="25:25" hidden="1" x14ac:dyDescent="0.25">
      <c r="Y11198" s="501"/>
    </row>
    <row r="11199" spans="25:25" hidden="1" x14ac:dyDescent="0.25">
      <c r="Y11199" s="501"/>
    </row>
    <row r="11200" spans="25:25" hidden="1" x14ac:dyDescent="0.25">
      <c r="Y11200" s="501"/>
    </row>
    <row r="11201" spans="25:25" hidden="1" x14ac:dyDescent="0.25">
      <c r="Y11201" s="501"/>
    </row>
    <row r="11202" spans="25:25" hidden="1" x14ac:dyDescent="0.25">
      <c r="Y11202" s="501"/>
    </row>
    <row r="11203" spans="25:25" hidden="1" x14ac:dyDescent="0.25">
      <c r="Y11203" s="501"/>
    </row>
    <row r="11204" spans="25:25" hidden="1" x14ac:dyDescent="0.25">
      <c r="Y11204" s="501"/>
    </row>
    <row r="11205" spans="25:25" hidden="1" x14ac:dyDescent="0.25">
      <c r="Y11205" s="501"/>
    </row>
    <row r="11206" spans="25:25" hidden="1" x14ac:dyDescent="0.25">
      <c r="Y11206" s="501"/>
    </row>
    <row r="11207" spans="25:25" hidden="1" x14ac:dyDescent="0.25">
      <c r="Y11207" s="501"/>
    </row>
    <row r="11208" spans="25:25" hidden="1" x14ac:dyDescent="0.25">
      <c r="Y11208" s="501"/>
    </row>
    <row r="11209" spans="25:25" hidden="1" x14ac:dyDescent="0.25">
      <c r="Y11209" s="501"/>
    </row>
    <row r="11210" spans="25:25" hidden="1" x14ac:dyDescent="0.25">
      <c r="Y11210" s="501"/>
    </row>
    <row r="11211" spans="25:25" hidden="1" x14ac:dyDescent="0.25">
      <c r="Y11211" s="501"/>
    </row>
    <row r="11212" spans="25:25" hidden="1" x14ac:dyDescent="0.25">
      <c r="Y11212" s="501"/>
    </row>
    <row r="11213" spans="25:25" hidden="1" x14ac:dyDescent="0.25">
      <c r="Y11213" s="501"/>
    </row>
    <row r="11214" spans="25:25" hidden="1" x14ac:dyDescent="0.25">
      <c r="Y11214" s="501"/>
    </row>
    <row r="11215" spans="25:25" hidden="1" x14ac:dyDescent="0.25">
      <c r="Y11215" s="501"/>
    </row>
    <row r="11216" spans="25:25" hidden="1" x14ac:dyDescent="0.25">
      <c r="Y11216" s="501"/>
    </row>
    <row r="11217" spans="25:25" hidden="1" x14ac:dyDescent="0.25">
      <c r="Y11217" s="501"/>
    </row>
    <row r="11218" spans="25:25" hidden="1" x14ac:dyDescent="0.25">
      <c r="Y11218" s="501"/>
    </row>
    <row r="11219" spans="25:25" hidden="1" x14ac:dyDescent="0.25">
      <c r="Y11219" s="501"/>
    </row>
    <row r="11220" spans="25:25" hidden="1" x14ac:dyDescent="0.25">
      <c r="Y11220" s="501"/>
    </row>
    <row r="11221" spans="25:25" hidden="1" x14ac:dyDescent="0.25">
      <c r="Y11221" s="501"/>
    </row>
    <row r="11222" spans="25:25" hidden="1" x14ac:dyDescent="0.25">
      <c r="Y11222" s="501"/>
    </row>
    <row r="11223" spans="25:25" hidden="1" x14ac:dyDescent="0.25">
      <c r="Y11223" s="501"/>
    </row>
    <row r="11224" spans="25:25" hidden="1" x14ac:dyDescent="0.25">
      <c r="Y11224" s="501"/>
    </row>
    <row r="11225" spans="25:25" hidden="1" x14ac:dyDescent="0.25">
      <c r="Y11225" s="501"/>
    </row>
    <row r="11226" spans="25:25" hidden="1" x14ac:dyDescent="0.25">
      <c r="Y11226" s="501"/>
    </row>
    <row r="11227" spans="25:25" hidden="1" x14ac:dyDescent="0.25">
      <c r="Y11227" s="501"/>
    </row>
    <row r="11228" spans="25:25" hidden="1" x14ac:dyDescent="0.25">
      <c r="Y11228" s="501"/>
    </row>
    <row r="11229" spans="25:25" hidden="1" x14ac:dyDescent="0.25">
      <c r="Y11229" s="501"/>
    </row>
    <row r="11230" spans="25:25" hidden="1" x14ac:dyDescent="0.25">
      <c r="Y11230" s="501"/>
    </row>
    <row r="11231" spans="25:25" hidden="1" x14ac:dyDescent="0.25">
      <c r="Y11231" s="501"/>
    </row>
    <row r="11232" spans="25:25" hidden="1" x14ac:dyDescent="0.25">
      <c r="Y11232" s="501"/>
    </row>
    <row r="11233" spans="25:25" hidden="1" x14ac:dyDescent="0.25">
      <c r="Y11233" s="501"/>
    </row>
    <row r="11234" spans="25:25" hidden="1" x14ac:dyDescent="0.25">
      <c r="Y11234" s="501"/>
    </row>
    <row r="11235" spans="25:25" hidden="1" x14ac:dyDescent="0.25">
      <c r="Y11235" s="501"/>
    </row>
    <row r="11236" spans="25:25" hidden="1" x14ac:dyDescent="0.25">
      <c r="Y11236" s="501"/>
    </row>
    <row r="11237" spans="25:25" hidden="1" x14ac:dyDescent="0.25">
      <c r="Y11237" s="501"/>
    </row>
    <row r="11238" spans="25:25" hidden="1" x14ac:dyDescent="0.25">
      <c r="Y11238" s="501"/>
    </row>
    <row r="11239" spans="25:25" hidden="1" x14ac:dyDescent="0.25">
      <c r="Y11239" s="501"/>
    </row>
    <row r="11240" spans="25:25" hidden="1" x14ac:dyDescent="0.25">
      <c r="Y11240" s="501"/>
    </row>
    <row r="11241" spans="25:25" hidden="1" x14ac:dyDescent="0.25">
      <c r="Y11241" s="501"/>
    </row>
    <row r="11242" spans="25:25" hidden="1" x14ac:dyDescent="0.25">
      <c r="Y11242" s="501"/>
    </row>
    <row r="11243" spans="25:25" hidden="1" x14ac:dyDescent="0.25">
      <c r="Y11243" s="501"/>
    </row>
    <row r="11244" spans="25:25" hidden="1" x14ac:dyDescent="0.25">
      <c r="Y11244" s="501"/>
    </row>
    <row r="11245" spans="25:25" hidden="1" x14ac:dyDescent="0.25">
      <c r="Y11245" s="501"/>
    </row>
    <row r="11246" spans="25:25" hidden="1" x14ac:dyDescent="0.25">
      <c r="Y11246" s="501"/>
    </row>
    <row r="11247" spans="25:25" hidden="1" x14ac:dyDescent="0.25">
      <c r="Y11247" s="501"/>
    </row>
    <row r="11248" spans="25:25" hidden="1" x14ac:dyDescent="0.25">
      <c r="Y11248" s="501"/>
    </row>
    <row r="11249" spans="25:25" hidden="1" x14ac:dyDescent="0.25">
      <c r="Y11249" s="501"/>
    </row>
    <row r="11250" spans="25:25" hidden="1" x14ac:dyDescent="0.25">
      <c r="Y11250" s="501"/>
    </row>
    <row r="11251" spans="25:25" hidden="1" x14ac:dyDescent="0.25">
      <c r="Y11251" s="501"/>
    </row>
    <row r="11252" spans="25:25" hidden="1" x14ac:dyDescent="0.25">
      <c r="Y11252" s="501"/>
    </row>
    <row r="11253" spans="25:25" hidden="1" x14ac:dyDescent="0.25">
      <c r="Y11253" s="501"/>
    </row>
    <row r="11254" spans="25:25" hidden="1" x14ac:dyDescent="0.25">
      <c r="Y11254" s="501"/>
    </row>
    <row r="11255" spans="25:25" hidden="1" x14ac:dyDescent="0.25">
      <c r="Y11255" s="501"/>
    </row>
    <row r="11256" spans="25:25" hidden="1" x14ac:dyDescent="0.25">
      <c r="Y11256" s="501"/>
    </row>
    <row r="11257" spans="25:25" hidden="1" x14ac:dyDescent="0.25">
      <c r="Y11257" s="501"/>
    </row>
    <row r="11258" spans="25:25" hidden="1" x14ac:dyDescent="0.25">
      <c r="Y11258" s="501"/>
    </row>
    <row r="11259" spans="25:25" hidden="1" x14ac:dyDescent="0.25">
      <c r="Y11259" s="501"/>
    </row>
    <row r="11260" spans="25:25" hidden="1" x14ac:dyDescent="0.25">
      <c r="Y11260" s="501"/>
    </row>
    <row r="11261" spans="25:25" hidden="1" x14ac:dyDescent="0.25">
      <c r="Y11261" s="501"/>
    </row>
    <row r="11262" spans="25:25" hidden="1" x14ac:dyDescent="0.25">
      <c r="Y11262" s="501"/>
    </row>
    <row r="11263" spans="25:25" hidden="1" x14ac:dyDescent="0.25">
      <c r="Y11263" s="501"/>
    </row>
    <row r="11264" spans="25:25" hidden="1" x14ac:dyDescent="0.25">
      <c r="Y11264" s="501"/>
    </row>
    <row r="11265" spans="25:25" hidden="1" x14ac:dyDescent="0.25">
      <c r="Y11265" s="501"/>
    </row>
    <row r="11266" spans="25:25" hidden="1" x14ac:dyDescent="0.25">
      <c r="Y11266" s="501"/>
    </row>
    <row r="11267" spans="25:25" hidden="1" x14ac:dyDescent="0.25">
      <c r="Y11267" s="501"/>
    </row>
    <row r="11268" spans="25:25" hidden="1" x14ac:dyDescent="0.25">
      <c r="Y11268" s="501"/>
    </row>
    <row r="11269" spans="25:25" hidden="1" x14ac:dyDescent="0.25">
      <c r="Y11269" s="501"/>
    </row>
    <row r="11270" spans="25:25" hidden="1" x14ac:dyDescent="0.25">
      <c r="Y11270" s="501"/>
    </row>
    <row r="11271" spans="25:25" hidden="1" x14ac:dyDescent="0.25">
      <c r="Y11271" s="501"/>
    </row>
    <row r="11272" spans="25:25" hidden="1" x14ac:dyDescent="0.25">
      <c r="Y11272" s="501"/>
    </row>
    <row r="11273" spans="25:25" hidden="1" x14ac:dyDescent="0.25">
      <c r="Y11273" s="501"/>
    </row>
    <row r="11274" spans="25:25" hidden="1" x14ac:dyDescent="0.25">
      <c r="Y11274" s="501"/>
    </row>
    <row r="11275" spans="25:25" hidden="1" x14ac:dyDescent="0.25">
      <c r="Y11275" s="501"/>
    </row>
    <row r="11276" spans="25:25" hidden="1" x14ac:dyDescent="0.25">
      <c r="Y11276" s="501"/>
    </row>
    <row r="11277" spans="25:25" hidden="1" x14ac:dyDescent="0.25">
      <c r="Y11277" s="501"/>
    </row>
    <row r="11278" spans="25:25" hidden="1" x14ac:dyDescent="0.25">
      <c r="Y11278" s="501"/>
    </row>
    <row r="11279" spans="25:25" hidden="1" x14ac:dyDescent="0.25">
      <c r="Y11279" s="501"/>
    </row>
    <row r="11280" spans="25:25" hidden="1" x14ac:dyDescent="0.25">
      <c r="Y11280" s="501"/>
    </row>
    <row r="11281" spans="25:25" hidden="1" x14ac:dyDescent="0.25">
      <c r="Y11281" s="501"/>
    </row>
    <row r="11282" spans="25:25" hidden="1" x14ac:dyDescent="0.25">
      <c r="Y11282" s="501"/>
    </row>
    <row r="11283" spans="25:25" hidden="1" x14ac:dyDescent="0.25">
      <c r="Y11283" s="501"/>
    </row>
    <row r="11284" spans="25:25" hidden="1" x14ac:dyDescent="0.25">
      <c r="Y11284" s="501"/>
    </row>
    <row r="11285" spans="25:25" hidden="1" x14ac:dyDescent="0.25">
      <c r="Y11285" s="501"/>
    </row>
    <row r="11286" spans="25:25" hidden="1" x14ac:dyDescent="0.25">
      <c r="Y11286" s="501"/>
    </row>
    <row r="11287" spans="25:25" hidden="1" x14ac:dyDescent="0.25">
      <c r="Y11287" s="501"/>
    </row>
    <row r="11288" spans="25:25" hidden="1" x14ac:dyDescent="0.25">
      <c r="Y11288" s="501"/>
    </row>
    <row r="11289" spans="25:25" hidden="1" x14ac:dyDescent="0.25">
      <c r="Y11289" s="501"/>
    </row>
    <row r="11290" spans="25:25" hidden="1" x14ac:dyDescent="0.25">
      <c r="Y11290" s="501"/>
    </row>
    <row r="11291" spans="25:25" hidden="1" x14ac:dyDescent="0.25">
      <c r="Y11291" s="501"/>
    </row>
    <row r="11292" spans="25:25" hidden="1" x14ac:dyDescent="0.25">
      <c r="Y11292" s="501"/>
    </row>
    <row r="11293" spans="25:25" hidden="1" x14ac:dyDescent="0.25">
      <c r="Y11293" s="501"/>
    </row>
    <row r="11294" spans="25:25" hidden="1" x14ac:dyDescent="0.25">
      <c r="Y11294" s="501"/>
    </row>
    <row r="11295" spans="25:25" hidden="1" x14ac:dyDescent="0.25">
      <c r="Y11295" s="501"/>
    </row>
    <row r="11296" spans="25:25" hidden="1" x14ac:dyDescent="0.25">
      <c r="Y11296" s="501"/>
    </row>
    <row r="11297" spans="25:25" hidden="1" x14ac:dyDescent="0.25">
      <c r="Y11297" s="501"/>
    </row>
    <row r="11298" spans="25:25" hidden="1" x14ac:dyDescent="0.25">
      <c r="Y11298" s="501"/>
    </row>
    <row r="11299" spans="25:25" hidden="1" x14ac:dyDescent="0.25">
      <c r="Y11299" s="501"/>
    </row>
    <row r="11300" spans="25:25" hidden="1" x14ac:dyDescent="0.25">
      <c r="Y11300" s="501"/>
    </row>
    <row r="11301" spans="25:25" hidden="1" x14ac:dyDescent="0.25">
      <c r="Y11301" s="501"/>
    </row>
    <row r="11302" spans="25:25" hidden="1" x14ac:dyDescent="0.25">
      <c r="Y11302" s="501"/>
    </row>
    <row r="11303" spans="25:25" hidden="1" x14ac:dyDescent="0.25">
      <c r="Y11303" s="501"/>
    </row>
    <row r="11304" spans="25:25" hidden="1" x14ac:dyDescent="0.25">
      <c r="Y11304" s="501"/>
    </row>
    <row r="11305" spans="25:25" hidden="1" x14ac:dyDescent="0.25">
      <c r="Y11305" s="501"/>
    </row>
    <row r="11306" spans="25:25" hidden="1" x14ac:dyDescent="0.25">
      <c r="Y11306" s="501"/>
    </row>
    <row r="11307" spans="25:25" hidden="1" x14ac:dyDescent="0.25">
      <c r="Y11307" s="501"/>
    </row>
    <row r="11308" spans="25:25" hidden="1" x14ac:dyDescent="0.25">
      <c r="Y11308" s="501"/>
    </row>
    <row r="11309" spans="25:25" hidden="1" x14ac:dyDescent="0.25">
      <c r="Y11309" s="501"/>
    </row>
    <row r="11310" spans="25:25" hidden="1" x14ac:dyDescent="0.25">
      <c r="Y11310" s="501"/>
    </row>
    <row r="11311" spans="25:25" hidden="1" x14ac:dyDescent="0.25">
      <c r="Y11311" s="501"/>
    </row>
    <row r="11312" spans="25:25" hidden="1" x14ac:dyDescent="0.25">
      <c r="Y11312" s="501"/>
    </row>
    <row r="11313" spans="25:25" hidden="1" x14ac:dyDescent="0.25">
      <c r="Y11313" s="501"/>
    </row>
    <row r="11314" spans="25:25" hidden="1" x14ac:dyDescent="0.25">
      <c r="Y11314" s="501"/>
    </row>
    <row r="11315" spans="25:25" hidden="1" x14ac:dyDescent="0.25">
      <c r="Y11315" s="501"/>
    </row>
    <row r="11316" spans="25:25" hidden="1" x14ac:dyDescent="0.25">
      <c r="Y11316" s="501"/>
    </row>
    <row r="11317" spans="25:25" hidden="1" x14ac:dyDescent="0.25">
      <c r="Y11317" s="501"/>
    </row>
    <row r="11318" spans="25:25" hidden="1" x14ac:dyDescent="0.25">
      <c r="Y11318" s="501"/>
    </row>
    <row r="11319" spans="25:25" hidden="1" x14ac:dyDescent="0.25">
      <c r="Y11319" s="501"/>
    </row>
    <row r="11320" spans="25:25" hidden="1" x14ac:dyDescent="0.25">
      <c r="Y11320" s="501"/>
    </row>
    <row r="11321" spans="25:25" hidden="1" x14ac:dyDescent="0.25">
      <c r="Y11321" s="501"/>
    </row>
    <row r="11322" spans="25:25" hidden="1" x14ac:dyDescent="0.25">
      <c r="Y11322" s="501"/>
    </row>
    <row r="11323" spans="25:25" hidden="1" x14ac:dyDescent="0.25">
      <c r="Y11323" s="501"/>
    </row>
    <row r="11324" spans="25:25" hidden="1" x14ac:dyDescent="0.25">
      <c r="Y11324" s="501"/>
    </row>
    <row r="11325" spans="25:25" hidden="1" x14ac:dyDescent="0.25">
      <c r="Y11325" s="501"/>
    </row>
    <row r="11326" spans="25:25" hidden="1" x14ac:dyDescent="0.25">
      <c r="Y11326" s="501"/>
    </row>
    <row r="11327" spans="25:25" hidden="1" x14ac:dyDescent="0.25">
      <c r="Y11327" s="501"/>
    </row>
    <row r="11328" spans="25:25" hidden="1" x14ac:dyDescent="0.25">
      <c r="Y11328" s="501"/>
    </row>
    <row r="11329" spans="25:25" hidden="1" x14ac:dyDescent="0.25">
      <c r="Y11329" s="501"/>
    </row>
    <row r="11330" spans="25:25" hidden="1" x14ac:dyDescent="0.25">
      <c r="Y11330" s="501"/>
    </row>
    <row r="11331" spans="25:25" hidden="1" x14ac:dyDescent="0.25">
      <c r="Y11331" s="501"/>
    </row>
    <row r="11332" spans="25:25" hidden="1" x14ac:dyDescent="0.25">
      <c r="Y11332" s="501"/>
    </row>
    <row r="11333" spans="25:25" hidden="1" x14ac:dyDescent="0.25">
      <c r="Y11333" s="501"/>
    </row>
    <row r="11334" spans="25:25" hidden="1" x14ac:dyDescent="0.25">
      <c r="Y11334" s="501"/>
    </row>
    <row r="11335" spans="25:25" hidden="1" x14ac:dyDescent="0.25">
      <c r="Y11335" s="501"/>
    </row>
    <row r="11336" spans="25:25" hidden="1" x14ac:dyDescent="0.25">
      <c r="Y11336" s="501"/>
    </row>
    <row r="11337" spans="25:25" hidden="1" x14ac:dyDescent="0.25">
      <c r="Y11337" s="501"/>
    </row>
    <row r="11338" spans="25:25" hidden="1" x14ac:dyDescent="0.25">
      <c r="Y11338" s="501"/>
    </row>
    <row r="11339" spans="25:25" hidden="1" x14ac:dyDescent="0.25">
      <c r="Y11339" s="501"/>
    </row>
    <row r="11340" spans="25:25" hidden="1" x14ac:dyDescent="0.25">
      <c r="Y11340" s="501"/>
    </row>
    <row r="11341" spans="25:25" hidden="1" x14ac:dyDescent="0.25">
      <c r="Y11341" s="501"/>
    </row>
    <row r="11342" spans="25:25" hidden="1" x14ac:dyDescent="0.25">
      <c r="Y11342" s="501"/>
    </row>
    <row r="11343" spans="25:25" hidden="1" x14ac:dyDescent="0.25">
      <c r="Y11343" s="501"/>
    </row>
    <row r="11344" spans="25:25" hidden="1" x14ac:dyDescent="0.25">
      <c r="Y11344" s="501"/>
    </row>
    <row r="11345" spans="25:25" hidden="1" x14ac:dyDescent="0.25">
      <c r="Y11345" s="501"/>
    </row>
    <row r="11346" spans="25:25" hidden="1" x14ac:dyDescent="0.25">
      <c r="Y11346" s="501"/>
    </row>
    <row r="11347" spans="25:25" hidden="1" x14ac:dyDescent="0.25">
      <c r="Y11347" s="501"/>
    </row>
    <row r="11348" spans="25:25" hidden="1" x14ac:dyDescent="0.25">
      <c r="Y11348" s="501"/>
    </row>
    <row r="11349" spans="25:25" hidden="1" x14ac:dyDescent="0.25">
      <c r="Y11349" s="501"/>
    </row>
    <row r="11350" spans="25:25" hidden="1" x14ac:dyDescent="0.25">
      <c r="Y11350" s="501"/>
    </row>
    <row r="11351" spans="25:25" hidden="1" x14ac:dyDescent="0.25">
      <c r="Y11351" s="501"/>
    </row>
    <row r="11352" spans="25:25" hidden="1" x14ac:dyDescent="0.25">
      <c r="Y11352" s="501"/>
    </row>
    <row r="11353" spans="25:25" hidden="1" x14ac:dyDescent="0.25">
      <c r="Y11353" s="501"/>
    </row>
    <row r="11354" spans="25:25" hidden="1" x14ac:dyDescent="0.25">
      <c r="Y11354" s="501"/>
    </row>
    <row r="11355" spans="25:25" hidden="1" x14ac:dyDescent="0.25">
      <c r="Y11355" s="501"/>
    </row>
    <row r="11356" spans="25:25" hidden="1" x14ac:dyDescent="0.25">
      <c r="Y11356" s="501"/>
    </row>
    <row r="11357" spans="25:25" hidden="1" x14ac:dyDescent="0.25">
      <c r="Y11357" s="501"/>
    </row>
    <row r="11358" spans="25:25" hidden="1" x14ac:dyDescent="0.25">
      <c r="Y11358" s="501"/>
    </row>
    <row r="11359" spans="25:25" hidden="1" x14ac:dyDescent="0.25">
      <c r="Y11359" s="501"/>
    </row>
    <row r="11360" spans="25:25" hidden="1" x14ac:dyDescent="0.25">
      <c r="Y11360" s="501"/>
    </row>
    <row r="11361" spans="25:25" hidden="1" x14ac:dyDescent="0.25">
      <c r="Y11361" s="501"/>
    </row>
    <row r="11362" spans="25:25" hidden="1" x14ac:dyDescent="0.25">
      <c r="Y11362" s="501"/>
    </row>
    <row r="11363" spans="25:25" hidden="1" x14ac:dyDescent="0.25">
      <c r="Y11363" s="501"/>
    </row>
    <row r="11364" spans="25:25" hidden="1" x14ac:dyDescent="0.25">
      <c r="Y11364" s="501"/>
    </row>
    <row r="11365" spans="25:25" hidden="1" x14ac:dyDescent="0.25">
      <c r="Y11365" s="501"/>
    </row>
    <row r="11366" spans="25:25" hidden="1" x14ac:dyDescent="0.25">
      <c r="Y11366" s="501"/>
    </row>
    <row r="11367" spans="25:25" hidden="1" x14ac:dyDescent="0.25">
      <c r="Y11367" s="501"/>
    </row>
    <row r="11368" spans="25:25" hidden="1" x14ac:dyDescent="0.25">
      <c r="Y11368" s="501"/>
    </row>
    <row r="11369" spans="25:25" hidden="1" x14ac:dyDescent="0.25">
      <c r="Y11369" s="501"/>
    </row>
    <row r="11370" spans="25:25" hidden="1" x14ac:dyDescent="0.25">
      <c r="Y11370" s="501"/>
    </row>
    <row r="11371" spans="25:25" hidden="1" x14ac:dyDescent="0.25">
      <c r="Y11371" s="501"/>
    </row>
    <row r="11372" spans="25:25" hidden="1" x14ac:dyDescent="0.25">
      <c r="Y11372" s="501"/>
    </row>
    <row r="11373" spans="25:25" hidden="1" x14ac:dyDescent="0.25">
      <c r="Y11373" s="501"/>
    </row>
    <row r="11374" spans="25:25" hidden="1" x14ac:dyDescent="0.25">
      <c r="Y11374" s="501"/>
    </row>
    <row r="11375" spans="25:25" hidden="1" x14ac:dyDescent="0.25">
      <c r="Y11375" s="501"/>
    </row>
    <row r="11376" spans="25:25" hidden="1" x14ac:dyDescent="0.25">
      <c r="Y11376" s="501"/>
    </row>
    <row r="11377" spans="25:25" hidden="1" x14ac:dyDescent="0.25">
      <c r="Y11377" s="501"/>
    </row>
    <row r="11378" spans="25:25" hidden="1" x14ac:dyDescent="0.25">
      <c r="Y11378" s="501"/>
    </row>
    <row r="11379" spans="25:25" hidden="1" x14ac:dyDescent="0.25">
      <c r="Y11379" s="501"/>
    </row>
    <row r="11380" spans="25:25" hidden="1" x14ac:dyDescent="0.25">
      <c r="Y11380" s="501"/>
    </row>
    <row r="11381" spans="25:25" hidden="1" x14ac:dyDescent="0.25">
      <c r="Y11381" s="501"/>
    </row>
    <row r="11382" spans="25:25" hidden="1" x14ac:dyDescent="0.25">
      <c r="Y11382" s="501"/>
    </row>
    <row r="11383" spans="25:25" hidden="1" x14ac:dyDescent="0.25">
      <c r="Y11383" s="501"/>
    </row>
    <row r="11384" spans="25:25" hidden="1" x14ac:dyDescent="0.25">
      <c r="Y11384" s="501"/>
    </row>
    <row r="11385" spans="25:25" hidden="1" x14ac:dyDescent="0.25">
      <c r="Y11385" s="501"/>
    </row>
    <row r="11386" spans="25:25" hidden="1" x14ac:dyDescent="0.25">
      <c r="Y11386" s="501"/>
    </row>
    <row r="11387" spans="25:25" hidden="1" x14ac:dyDescent="0.25">
      <c r="Y11387" s="501"/>
    </row>
    <row r="11388" spans="25:25" hidden="1" x14ac:dyDescent="0.25">
      <c r="Y11388" s="501"/>
    </row>
    <row r="11389" spans="25:25" hidden="1" x14ac:dyDescent="0.25">
      <c r="Y11389" s="501"/>
    </row>
    <row r="11390" spans="25:25" hidden="1" x14ac:dyDescent="0.25">
      <c r="Y11390" s="501"/>
    </row>
    <row r="11391" spans="25:25" hidden="1" x14ac:dyDescent="0.25">
      <c r="Y11391" s="501"/>
    </row>
    <row r="11392" spans="25:25" hidden="1" x14ac:dyDescent="0.25">
      <c r="Y11392" s="501"/>
    </row>
    <row r="11393" spans="25:25" hidden="1" x14ac:dyDescent="0.25">
      <c r="Y11393" s="501"/>
    </row>
    <row r="11394" spans="25:25" hidden="1" x14ac:dyDescent="0.25">
      <c r="Y11394" s="501"/>
    </row>
    <row r="11395" spans="25:25" hidden="1" x14ac:dyDescent="0.25">
      <c r="Y11395" s="501"/>
    </row>
    <row r="11396" spans="25:25" hidden="1" x14ac:dyDescent="0.25">
      <c r="Y11396" s="501"/>
    </row>
    <row r="11397" spans="25:25" hidden="1" x14ac:dyDescent="0.25">
      <c r="Y11397" s="501"/>
    </row>
    <row r="11398" spans="25:25" hidden="1" x14ac:dyDescent="0.25">
      <c r="Y11398" s="501"/>
    </row>
    <row r="11399" spans="25:25" hidden="1" x14ac:dyDescent="0.25">
      <c r="Y11399" s="501"/>
    </row>
    <row r="11400" spans="25:25" hidden="1" x14ac:dyDescent="0.25">
      <c r="Y11400" s="501"/>
    </row>
    <row r="11401" spans="25:25" hidden="1" x14ac:dyDescent="0.25">
      <c r="Y11401" s="501"/>
    </row>
    <row r="11402" spans="25:25" hidden="1" x14ac:dyDescent="0.25">
      <c r="Y11402" s="501"/>
    </row>
    <row r="11403" spans="25:25" hidden="1" x14ac:dyDescent="0.25">
      <c r="Y11403" s="501"/>
    </row>
    <row r="11404" spans="25:25" hidden="1" x14ac:dyDescent="0.25">
      <c r="Y11404" s="501"/>
    </row>
    <row r="11405" spans="25:25" hidden="1" x14ac:dyDescent="0.25">
      <c r="Y11405" s="501"/>
    </row>
    <row r="11406" spans="25:25" hidden="1" x14ac:dyDescent="0.25">
      <c r="Y11406" s="501"/>
    </row>
    <row r="11407" spans="25:25" hidden="1" x14ac:dyDescent="0.25">
      <c r="Y11407" s="501"/>
    </row>
    <row r="11408" spans="25:25" hidden="1" x14ac:dyDescent="0.25">
      <c r="Y11408" s="501"/>
    </row>
    <row r="11409" spans="25:25" hidden="1" x14ac:dyDescent="0.25">
      <c r="Y11409" s="501"/>
    </row>
    <row r="11410" spans="25:25" hidden="1" x14ac:dyDescent="0.25">
      <c r="Y11410" s="501"/>
    </row>
    <row r="11411" spans="25:25" hidden="1" x14ac:dyDescent="0.25">
      <c r="Y11411" s="501"/>
    </row>
    <row r="11412" spans="25:25" hidden="1" x14ac:dyDescent="0.25">
      <c r="Y11412" s="501"/>
    </row>
    <row r="11413" spans="25:25" hidden="1" x14ac:dyDescent="0.25">
      <c r="Y11413" s="501"/>
    </row>
    <row r="11414" spans="25:25" hidden="1" x14ac:dyDescent="0.25">
      <c r="Y11414" s="501"/>
    </row>
    <row r="11415" spans="25:25" hidden="1" x14ac:dyDescent="0.25">
      <c r="Y11415" s="501"/>
    </row>
    <row r="11416" spans="25:25" hidden="1" x14ac:dyDescent="0.25">
      <c r="Y11416" s="501"/>
    </row>
    <row r="11417" spans="25:25" hidden="1" x14ac:dyDescent="0.25">
      <c r="Y11417" s="501"/>
    </row>
    <row r="11418" spans="25:25" hidden="1" x14ac:dyDescent="0.25">
      <c r="Y11418" s="501"/>
    </row>
    <row r="11419" spans="25:25" hidden="1" x14ac:dyDescent="0.25">
      <c r="Y11419" s="501"/>
    </row>
    <row r="11420" spans="25:25" hidden="1" x14ac:dyDescent="0.25">
      <c r="Y11420" s="501"/>
    </row>
    <row r="11421" spans="25:25" hidden="1" x14ac:dyDescent="0.25">
      <c r="Y11421" s="501"/>
    </row>
    <row r="11422" spans="25:25" hidden="1" x14ac:dyDescent="0.25">
      <c r="Y11422" s="501"/>
    </row>
    <row r="11423" spans="25:25" hidden="1" x14ac:dyDescent="0.25">
      <c r="Y11423" s="501"/>
    </row>
    <row r="11424" spans="25:25" hidden="1" x14ac:dyDescent="0.25">
      <c r="Y11424" s="501"/>
    </row>
    <row r="11425" spans="25:25" hidden="1" x14ac:dyDescent="0.25">
      <c r="Y11425" s="501"/>
    </row>
    <row r="11426" spans="25:25" hidden="1" x14ac:dyDescent="0.25">
      <c r="Y11426" s="501"/>
    </row>
    <row r="11427" spans="25:25" hidden="1" x14ac:dyDescent="0.25">
      <c r="Y11427" s="501"/>
    </row>
    <row r="11428" spans="25:25" hidden="1" x14ac:dyDescent="0.25">
      <c r="Y11428" s="501"/>
    </row>
    <row r="11429" spans="25:25" hidden="1" x14ac:dyDescent="0.25">
      <c r="Y11429" s="501"/>
    </row>
    <row r="11430" spans="25:25" hidden="1" x14ac:dyDescent="0.25">
      <c r="Y11430" s="501"/>
    </row>
    <row r="11431" spans="25:25" hidden="1" x14ac:dyDescent="0.25">
      <c r="Y11431" s="501"/>
    </row>
    <row r="11432" spans="25:25" hidden="1" x14ac:dyDescent="0.25">
      <c r="Y11432" s="501"/>
    </row>
    <row r="11433" spans="25:25" hidden="1" x14ac:dyDescent="0.25">
      <c r="Y11433" s="501"/>
    </row>
    <row r="11434" spans="25:25" hidden="1" x14ac:dyDescent="0.25">
      <c r="Y11434" s="501"/>
    </row>
    <row r="11435" spans="25:25" hidden="1" x14ac:dyDescent="0.25">
      <c r="Y11435" s="501"/>
    </row>
    <row r="11436" spans="25:25" hidden="1" x14ac:dyDescent="0.25">
      <c r="Y11436" s="501"/>
    </row>
    <row r="11437" spans="25:25" hidden="1" x14ac:dyDescent="0.25">
      <c r="Y11437" s="501"/>
    </row>
    <row r="11438" spans="25:25" hidden="1" x14ac:dyDescent="0.25">
      <c r="Y11438" s="501"/>
    </row>
    <row r="11439" spans="25:25" hidden="1" x14ac:dyDescent="0.25">
      <c r="Y11439" s="501"/>
    </row>
    <row r="11440" spans="25:25" hidden="1" x14ac:dyDescent="0.25">
      <c r="Y11440" s="501"/>
    </row>
    <row r="11441" spans="25:25" hidden="1" x14ac:dyDescent="0.25">
      <c r="Y11441" s="501"/>
    </row>
    <row r="11442" spans="25:25" hidden="1" x14ac:dyDescent="0.25">
      <c r="Y11442" s="501"/>
    </row>
    <row r="11443" spans="25:25" hidden="1" x14ac:dyDescent="0.25">
      <c r="Y11443" s="501"/>
    </row>
    <row r="11444" spans="25:25" hidden="1" x14ac:dyDescent="0.25">
      <c r="Y11444" s="501"/>
    </row>
    <row r="11445" spans="25:25" hidden="1" x14ac:dyDescent="0.25">
      <c r="Y11445" s="501"/>
    </row>
    <row r="11446" spans="25:25" hidden="1" x14ac:dyDescent="0.25">
      <c r="Y11446" s="501"/>
    </row>
    <row r="11447" spans="25:25" hidden="1" x14ac:dyDescent="0.25">
      <c r="Y11447" s="501"/>
    </row>
    <row r="11448" spans="25:25" hidden="1" x14ac:dyDescent="0.25">
      <c r="Y11448" s="501"/>
    </row>
    <row r="11449" spans="25:25" hidden="1" x14ac:dyDescent="0.25">
      <c r="Y11449" s="501"/>
    </row>
    <row r="11450" spans="25:25" hidden="1" x14ac:dyDescent="0.25">
      <c r="Y11450" s="501"/>
    </row>
    <row r="11451" spans="25:25" hidden="1" x14ac:dyDescent="0.25">
      <c r="Y11451" s="501"/>
    </row>
    <row r="11452" spans="25:25" hidden="1" x14ac:dyDescent="0.25">
      <c r="Y11452" s="501"/>
    </row>
    <row r="11453" spans="25:25" hidden="1" x14ac:dyDescent="0.25">
      <c r="Y11453" s="501"/>
    </row>
    <row r="11454" spans="25:25" hidden="1" x14ac:dyDescent="0.25">
      <c r="Y11454" s="501"/>
    </row>
    <row r="11455" spans="25:25" hidden="1" x14ac:dyDescent="0.25">
      <c r="Y11455" s="501"/>
    </row>
    <row r="11456" spans="25:25" hidden="1" x14ac:dyDescent="0.25">
      <c r="Y11456" s="501"/>
    </row>
    <row r="11457" spans="25:25" hidden="1" x14ac:dyDescent="0.25">
      <c r="Y11457" s="501"/>
    </row>
    <row r="11458" spans="25:25" hidden="1" x14ac:dyDescent="0.25">
      <c r="Y11458" s="501"/>
    </row>
    <row r="11459" spans="25:25" hidden="1" x14ac:dyDescent="0.25">
      <c r="Y11459" s="501"/>
    </row>
    <row r="11460" spans="25:25" hidden="1" x14ac:dyDescent="0.25">
      <c r="Y11460" s="501"/>
    </row>
    <row r="11461" spans="25:25" hidden="1" x14ac:dyDescent="0.25">
      <c r="Y11461" s="501"/>
    </row>
    <row r="11462" spans="25:25" hidden="1" x14ac:dyDescent="0.25">
      <c r="Y11462" s="501"/>
    </row>
    <row r="11463" spans="25:25" hidden="1" x14ac:dyDescent="0.25">
      <c r="Y11463" s="501"/>
    </row>
    <row r="11464" spans="25:25" hidden="1" x14ac:dyDescent="0.25">
      <c r="Y11464" s="501"/>
    </row>
    <row r="11465" spans="25:25" hidden="1" x14ac:dyDescent="0.25">
      <c r="Y11465" s="501"/>
    </row>
    <row r="11466" spans="25:25" hidden="1" x14ac:dyDescent="0.25">
      <c r="Y11466" s="501"/>
    </row>
    <row r="11467" spans="25:25" hidden="1" x14ac:dyDescent="0.25">
      <c r="Y11467" s="501"/>
    </row>
    <row r="11468" spans="25:25" hidden="1" x14ac:dyDescent="0.25">
      <c r="Y11468" s="501"/>
    </row>
    <row r="11469" spans="25:25" hidden="1" x14ac:dyDescent="0.25">
      <c r="Y11469" s="501"/>
    </row>
    <row r="11470" spans="25:25" hidden="1" x14ac:dyDescent="0.25">
      <c r="Y11470" s="501"/>
    </row>
    <row r="11471" spans="25:25" hidden="1" x14ac:dyDescent="0.25">
      <c r="Y11471" s="501"/>
    </row>
    <row r="11472" spans="25:25" hidden="1" x14ac:dyDescent="0.25">
      <c r="Y11472" s="501"/>
    </row>
    <row r="11473" spans="25:25" hidden="1" x14ac:dyDescent="0.25">
      <c r="Y11473" s="501"/>
    </row>
    <row r="11474" spans="25:25" hidden="1" x14ac:dyDescent="0.25">
      <c r="Y11474" s="501"/>
    </row>
    <row r="11475" spans="25:25" hidden="1" x14ac:dyDescent="0.25">
      <c r="Y11475" s="501"/>
    </row>
    <row r="11476" spans="25:25" hidden="1" x14ac:dyDescent="0.25">
      <c r="Y11476" s="501"/>
    </row>
    <row r="11477" spans="25:25" hidden="1" x14ac:dyDescent="0.25">
      <c r="Y11477" s="501"/>
    </row>
    <row r="11478" spans="25:25" hidden="1" x14ac:dyDescent="0.25">
      <c r="Y11478" s="501"/>
    </row>
    <row r="11479" spans="25:25" hidden="1" x14ac:dyDescent="0.25">
      <c r="Y11479" s="501"/>
    </row>
    <row r="11480" spans="25:25" hidden="1" x14ac:dyDescent="0.25">
      <c r="Y11480" s="501"/>
    </row>
    <row r="11481" spans="25:25" hidden="1" x14ac:dyDescent="0.25">
      <c r="Y11481" s="501"/>
    </row>
    <row r="11482" spans="25:25" hidden="1" x14ac:dyDescent="0.25">
      <c r="Y11482" s="501"/>
    </row>
    <row r="11483" spans="25:25" hidden="1" x14ac:dyDescent="0.25">
      <c r="Y11483" s="501"/>
    </row>
    <row r="11484" spans="25:25" hidden="1" x14ac:dyDescent="0.25">
      <c r="Y11484" s="501"/>
    </row>
    <row r="11485" spans="25:25" hidden="1" x14ac:dyDescent="0.25">
      <c r="Y11485" s="501"/>
    </row>
    <row r="11486" spans="25:25" hidden="1" x14ac:dyDescent="0.25">
      <c r="Y11486" s="501"/>
    </row>
    <row r="11487" spans="25:25" hidden="1" x14ac:dyDescent="0.25">
      <c r="Y11487" s="501"/>
    </row>
    <row r="11488" spans="25:25" hidden="1" x14ac:dyDescent="0.25">
      <c r="Y11488" s="501"/>
    </row>
    <row r="11489" spans="25:25" hidden="1" x14ac:dyDescent="0.25">
      <c r="Y11489" s="501"/>
    </row>
    <row r="11490" spans="25:25" hidden="1" x14ac:dyDescent="0.25">
      <c r="Y11490" s="501"/>
    </row>
    <row r="11491" spans="25:25" hidden="1" x14ac:dyDescent="0.25">
      <c r="Y11491" s="501"/>
    </row>
    <row r="11492" spans="25:25" hidden="1" x14ac:dyDescent="0.25">
      <c r="Y11492" s="501"/>
    </row>
    <row r="11493" spans="25:25" hidden="1" x14ac:dyDescent="0.25">
      <c r="Y11493" s="501"/>
    </row>
    <row r="11494" spans="25:25" hidden="1" x14ac:dyDescent="0.25">
      <c r="Y11494" s="501"/>
    </row>
    <row r="11495" spans="25:25" hidden="1" x14ac:dyDescent="0.25">
      <c r="Y11495" s="501"/>
    </row>
    <row r="11496" spans="25:25" hidden="1" x14ac:dyDescent="0.25">
      <c r="Y11496" s="501"/>
    </row>
    <row r="11497" spans="25:25" hidden="1" x14ac:dyDescent="0.25">
      <c r="Y11497" s="501"/>
    </row>
    <row r="11498" spans="25:25" hidden="1" x14ac:dyDescent="0.25">
      <c r="Y11498" s="501"/>
    </row>
    <row r="11499" spans="25:25" hidden="1" x14ac:dyDescent="0.25">
      <c r="Y11499" s="501"/>
    </row>
    <row r="11500" spans="25:25" hidden="1" x14ac:dyDescent="0.25">
      <c r="Y11500" s="501"/>
    </row>
    <row r="11501" spans="25:25" hidden="1" x14ac:dyDescent="0.25">
      <c r="Y11501" s="501"/>
    </row>
    <row r="11502" spans="25:25" hidden="1" x14ac:dyDescent="0.25">
      <c r="Y11502" s="501"/>
    </row>
    <row r="11503" spans="25:25" hidden="1" x14ac:dyDescent="0.25">
      <c r="Y11503" s="501"/>
    </row>
    <row r="11504" spans="25:25" hidden="1" x14ac:dyDescent="0.25">
      <c r="Y11504" s="501"/>
    </row>
    <row r="11505" spans="25:25" hidden="1" x14ac:dyDescent="0.25">
      <c r="Y11505" s="501"/>
    </row>
    <row r="11506" spans="25:25" hidden="1" x14ac:dyDescent="0.25">
      <c r="Y11506" s="501"/>
    </row>
    <row r="11507" spans="25:25" hidden="1" x14ac:dyDescent="0.25">
      <c r="Y11507" s="501"/>
    </row>
    <row r="11508" spans="25:25" hidden="1" x14ac:dyDescent="0.25">
      <c r="Y11508" s="501"/>
    </row>
    <row r="11509" spans="25:25" hidden="1" x14ac:dyDescent="0.25">
      <c r="Y11509" s="501"/>
    </row>
    <row r="11510" spans="25:25" hidden="1" x14ac:dyDescent="0.25">
      <c r="Y11510" s="501"/>
    </row>
    <row r="11511" spans="25:25" hidden="1" x14ac:dyDescent="0.25">
      <c r="Y11511" s="501"/>
    </row>
    <row r="11512" spans="25:25" hidden="1" x14ac:dyDescent="0.25">
      <c r="Y11512" s="501"/>
    </row>
    <row r="11513" spans="25:25" hidden="1" x14ac:dyDescent="0.25">
      <c r="Y11513" s="501"/>
    </row>
    <row r="11514" spans="25:25" hidden="1" x14ac:dyDescent="0.25">
      <c r="Y11514" s="501"/>
    </row>
    <row r="11515" spans="25:25" hidden="1" x14ac:dyDescent="0.25">
      <c r="Y11515" s="501"/>
    </row>
    <row r="11516" spans="25:25" hidden="1" x14ac:dyDescent="0.25">
      <c r="Y11516" s="501"/>
    </row>
    <row r="11517" spans="25:25" hidden="1" x14ac:dyDescent="0.25">
      <c r="Y11517" s="501"/>
    </row>
    <row r="11518" spans="25:25" hidden="1" x14ac:dyDescent="0.25">
      <c r="Y11518" s="501"/>
    </row>
    <row r="11519" spans="25:25" hidden="1" x14ac:dyDescent="0.25">
      <c r="Y11519" s="501"/>
    </row>
    <row r="11520" spans="25:25" hidden="1" x14ac:dyDescent="0.25">
      <c r="Y11520" s="501"/>
    </row>
    <row r="11521" spans="25:25" hidden="1" x14ac:dyDescent="0.25">
      <c r="Y11521" s="501"/>
    </row>
    <row r="11522" spans="25:25" hidden="1" x14ac:dyDescent="0.25">
      <c r="Y11522" s="501"/>
    </row>
    <row r="11523" spans="25:25" hidden="1" x14ac:dyDescent="0.25">
      <c r="Y11523" s="501"/>
    </row>
    <row r="11524" spans="25:25" hidden="1" x14ac:dyDescent="0.25">
      <c r="Y11524" s="501"/>
    </row>
    <row r="11525" spans="25:25" hidden="1" x14ac:dyDescent="0.25">
      <c r="Y11525" s="501"/>
    </row>
    <row r="11526" spans="25:25" hidden="1" x14ac:dyDescent="0.25">
      <c r="Y11526" s="501"/>
    </row>
    <row r="11527" spans="25:25" hidden="1" x14ac:dyDescent="0.25">
      <c r="Y11527" s="501"/>
    </row>
    <row r="11528" spans="25:25" hidden="1" x14ac:dyDescent="0.25">
      <c r="Y11528" s="501"/>
    </row>
    <row r="11529" spans="25:25" hidden="1" x14ac:dyDescent="0.25">
      <c r="Y11529" s="501"/>
    </row>
    <row r="11530" spans="25:25" hidden="1" x14ac:dyDescent="0.25">
      <c r="Y11530" s="501"/>
    </row>
    <row r="11531" spans="25:25" hidden="1" x14ac:dyDescent="0.25">
      <c r="Y11531" s="501"/>
    </row>
    <row r="11532" spans="25:25" hidden="1" x14ac:dyDescent="0.25">
      <c r="Y11532" s="501"/>
    </row>
    <row r="11533" spans="25:25" hidden="1" x14ac:dyDescent="0.25">
      <c r="Y11533" s="501"/>
    </row>
    <row r="11534" spans="25:25" hidden="1" x14ac:dyDescent="0.25">
      <c r="Y11534" s="501"/>
    </row>
    <row r="11535" spans="25:25" hidden="1" x14ac:dyDescent="0.25">
      <c r="Y11535" s="501"/>
    </row>
    <row r="11536" spans="25:25" hidden="1" x14ac:dyDescent="0.25">
      <c r="Y11536" s="501"/>
    </row>
    <row r="11537" spans="25:25" hidden="1" x14ac:dyDescent="0.25">
      <c r="Y11537" s="501"/>
    </row>
    <row r="11538" spans="25:25" hidden="1" x14ac:dyDescent="0.25">
      <c r="Y11538" s="501"/>
    </row>
    <row r="11539" spans="25:25" hidden="1" x14ac:dyDescent="0.25">
      <c r="Y11539" s="501"/>
    </row>
    <row r="11540" spans="25:25" hidden="1" x14ac:dyDescent="0.25">
      <c r="Y11540" s="501"/>
    </row>
    <row r="11541" spans="25:25" hidden="1" x14ac:dyDescent="0.25">
      <c r="Y11541" s="501"/>
    </row>
    <row r="11542" spans="25:25" hidden="1" x14ac:dyDescent="0.25">
      <c r="Y11542" s="501"/>
    </row>
    <row r="11543" spans="25:25" hidden="1" x14ac:dyDescent="0.25">
      <c r="Y11543" s="501"/>
    </row>
    <row r="11544" spans="25:25" hidden="1" x14ac:dyDescent="0.25">
      <c r="Y11544" s="501"/>
    </row>
    <row r="11545" spans="25:25" hidden="1" x14ac:dyDescent="0.25">
      <c r="Y11545" s="501"/>
    </row>
    <row r="11546" spans="25:25" hidden="1" x14ac:dyDescent="0.25">
      <c r="Y11546" s="501"/>
    </row>
    <row r="11547" spans="25:25" hidden="1" x14ac:dyDescent="0.25">
      <c r="Y11547" s="501"/>
    </row>
    <row r="11548" spans="25:25" hidden="1" x14ac:dyDescent="0.25">
      <c r="Y11548" s="501"/>
    </row>
    <row r="11549" spans="25:25" hidden="1" x14ac:dyDescent="0.25">
      <c r="Y11549" s="501"/>
    </row>
    <row r="11550" spans="25:25" hidden="1" x14ac:dyDescent="0.25">
      <c r="Y11550" s="501"/>
    </row>
    <row r="11551" spans="25:25" hidden="1" x14ac:dyDescent="0.25">
      <c r="Y11551" s="501"/>
    </row>
    <row r="11552" spans="25:25" hidden="1" x14ac:dyDescent="0.25">
      <c r="Y11552" s="501"/>
    </row>
    <row r="11553" spans="25:25" hidden="1" x14ac:dyDescent="0.25">
      <c r="Y11553" s="501"/>
    </row>
    <row r="11554" spans="25:25" hidden="1" x14ac:dyDescent="0.25">
      <c r="Y11554" s="501"/>
    </row>
    <row r="11555" spans="25:25" hidden="1" x14ac:dyDescent="0.25">
      <c r="Y11555" s="501"/>
    </row>
    <row r="11556" spans="25:25" hidden="1" x14ac:dyDescent="0.25">
      <c r="Y11556" s="501"/>
    </row>
    <row r="11557" spans="25:25" hidden="1" x14ac:dyDescent="0.25">
      <c r="Y11557" s="501"/>
    </row>
    <row r="11558" spans="25:25" hidden="1" x14ac:dyDescent="0.25">
      <c r="Y11558" s="501"/>
    </row>
    <row r="11559" spans="25:25" hidden="1" x14ac:dyDescent="0.25">
      <c r="Y11559" s="501"/>
    </row>
    <row r="11560" spans="25:25" hidden="1" x14ac:dyDescent="0.25">
      <c r="Y11560" s="501"/>
    </row>
    <row r="11561" spans="25:25" hidden="1" x14ac:dyDescent="0.25">
      <c r="Y11561" s="501"/>
    </row>
    <row r="11562" spans="25:25" hidden="1" x14ac:dyDescent="0.25">
      <c r="Y11562" s="501"/>
    </row>
    <row r="11563" spans="25:25" hidden="1" x14ac:dyDescent="0.25">
      <c r="Y11563" s="501"/>
    </row>
    <row r="11564" spans="25:25" hidden="1" x14ac:dyDescent="0.25">
      <c r="Y11564" s="501"/>
    </row>
    <row r="11565" spans="25:25" hidden="1" x14ac:dyDescent="0.25">
      <c r="Y11565" s="501"/>
    </row>
    <row r="11566" spans="25:25" hidden="1" x14ac:dyDescent="0.25">
      <c r="Y11566" s="501"/>
    </row>
    <row r="11567" spans="25:25" hidden="1" x14ac:dyDescent="0.25">
      <c r="Y11567" s="501"/>
    </row>
    <row r="11568" spans="25:25" hidden="1" x14ac:dyDescent="0.25">
      <c r="Y11568" s="501"/>
    </row>
    <row r="11569" spans="25:25" hidden="1" x14ac:dyDescent="0.25">
      <c r="Y11569" s="501"/>
    </row>
    <row r="11570" spans="25:25" hidden="1" x14ac:dyDescent="0.25">
      <c r="Y11570" s="501"/>
    </row>
    <row r="11571" spans="25:25" hidden="1" x14ac:dyDescent="0.25">
      <c r="Y11571" s="501"/>
    </row>
    <row r="11572" spans="25:25" hidden="1" x14ac:dyDescent="0.25">
      <c r="Y11572" s="501"/>
    </row>
    <row r="11573" spans="25:25" hidden="1" x14ac:dyDescent="0.25">
      <c r="Y11573" s="501"/>
    </row>
    <row r="11574" spans="25:25" hidden="1" x14ac:dyDescent="0.25">
      <c r="Y11574" s="501"/>
    </row>
    <row r="11575" spans="25:25" hidden="1" x14ac:dyDescent="0.25">
      <c r="Y11575" s="501"/>
    </row>
    <row r="11576" spans="25:25" hidden="1" x14ac:dyDescent="0.25">
      <c r="Y11576" s="501"/>
    </row>
    <row r="11577" spans="25:25" hidden="1" x14ac:dyDescent="0.25">
      <c r="Y11577" s="501"/>
    </row>
    <row r="11578" spans="25:25" hidden="1" x14ac:dyDescent="0.25">
      <c r="Y11578" s="501"/>
    </row>
    <row r="11579" spans="25:25" hidden="1" x14ac:dyDescent="0.25">
      <c r="Y11579" s="501"/>
    </row>
    <row r="11580" spans="25:25" hidden="1" x14ac:dyDescent="0.25">
      <c r="Y11580" s="501"/>
    </row>
    <row r="11581" spans="25:25" hidden="1" x14ac:dyDescent="0.25">
      <c r="Y11581" s="501"/>
    </row>
    <row r="11582" spans="25:25" hidden="1" x14ac:dyDescent="0.25">
      <c r="Y11582" s="501"/>
    </row>
    <row r="11583" spans="25:25" hidden="1" x14ac:dyDescent="0.25">
      <c r="Y11583" s="501"/>
    </row>
    <row r="11584" spans="25:25" hidden="1" x14ac:dyDescent="0.25">
      <c r="Y11584" s="501"/>
    </row>
    <row r="11585" spans="25:25" hidden="1" x14ac:dyDescent="0.25">
      <c r="Y11585" s="501"/>
    </row>
    <row r="11586" spans="25:25" hidden="1" x14ac:dyDescent="0.25">
      <c r="Y11586" s="501"/>
    </row>
    <row r="11587" spans="25:25" hidden="1" x14ac:dyDescent="0.25">
      <c r="Y11587" s="501"/>
    </row>
    <row r="11588" spans="25:25" hidden="1" x14ac:dyDescent="0.25">
      <c r="Y11588" s="501"/>
    </row>
    <row r="11589" spans="25:25" hidden="1" x14ac:dyDescent="0.25">
      <c r="Y11589" s="501"/>
    </row>
    <row r="11590" spans="25:25" hidden="1" x14ac:dyDescent="0.25">
      <c r="Y11590" s="501"/>
    </row>
    <row r="11591" spans="25:25" hidden="1" x14ac:dyDescent="0.25">
      <c r="Y11591" s="501"/>
    </row>
    <row r="11592" spans="25:25" hidden="1" x14ac:dyDescent="0.25">
      <c r="Y11592" s="501"/>
    </row>
    <row r="11593" spans="25:25" hidden="1" x14ac:dyDescent="0.25">
      <c r="Y11593" s="501"/>
    </row>
    <row r="11594" spans="25:25" hidden="1" x14ac:dyDescent="0.25">
      <c r="Y11594" s="501"/>
    </row>
    <row r="11595" spans="25:25" hidden="1" x14ac:dyDescent="0.25">
      <c r="Y11595" s="501"/>
    </row>
    <row r="11596" spans="25:25" hidden="1" x14ac:dyDescent="0.25">
      <c r="Y11596" s="501"/>
    </row>
    <row r="11597" spans="25:25" hidden="1" x14ac:dyDescent="0.25">
      <c r="Y11597" s="501"/>
    </row>
    <row r="11598" spans="25:25" hidden="1" x14ac:dyDescent="0.25">
      <c r="Y11598" s="501"/>
    </row>
    <row r="11599" spans="25:25" hidden="1" x14ac:dyDescent="0.25">
      <c r="Y11599" s="501"/>
    </row>
    <row r="11600" spans="25:25" hidden="1" x14ac:dyDescent="0.25">
      <c r="Y11600" s="501"/>
    </row>
    <row r="11601" spans="25:25" hidden="1" x14ac:dyDescent="0.25">
      <c r="Y11601" s="501"/>
    </row>
    <row r="11602" spans="25:25" hidden="1" x14ac:dyDescent="0.25">
      <c r="Y11602" s="501"/>
    </row>
    <row r="11603" spans="25:25" hidden="1" x14ac:dyDescent="0.25">
      <c r="Y11603" s="501"/>
    </row>
    <row r="11604" spans="25:25" hidden="1" x14ac:dyDescent="0.25">
      <c r="Y11604" s="501"/>
    </row>
    <row r="11605" spans="25:25" hidden="1" x14ac:dyDescent="0.25">
      <c r="Y11605" s="501"/>
    </row>
    <row r="11606" spans="25:25" hidden="1" x14ac:dyDescent="0.25">
      <c r="Y11606" s="501"/>
    </row>
    <row r="11607" spans="25:25" hidden="1" x14ac:dyDescent="0.25">
      <c r="Y11607" s="501"/>
    </row>
    <row r="11608" spans="25:25" hidden="1" x14ac:dyDescent="0.25">
      <c r="Y11608" s="501"/>
    </row>
    <row r="11609" spans="25:25" hidden="1" x14ac:dyDescent="0.25">
      <c r="Y11609" s="501"/>
    </row>
    <row r="11610" spans="25:25" hidden="1" x14ac:dyDescent="0.25">
      <c r="Y11610" s="501"/>
    </row>
    <row r="11611" spans="25:25" hidden="1" x14ac:dyDescent="0.25">
      <c r="Y11611" s="501"/>
    </row>
    <row r="11612" spans="25:25" hidden="1" x14ac:dyDescent="0.25">
      <c r="Y11612" s="501"/>
    </row>
    <row r="11613" spans="25:25" hidden="1" x14ac:dyDescent="0.25">
      <c r="Y11613" s="501"/>
    </row>
    <row r="11614" spans="25:25" hidden="1" x14ac:dyDescent="0.25">
      <c r="Y11614" s="501"/>
    </row>
    <row r="11615" spans="25:25" hidden="1" x14ac:dyDescent="0.25">
      <c r="Y11615" s="501"/>
    </row>
    <row r="11616" spans="25:25" hidden="1" x14ac:dyDescent="0.25">
      <c r="Y11616" s="501"/>
    </row>
    <row r="11617" spans="25:25" hidden="1" x14ac:dyDescent="0.25">
      <c r="Y11617" s="501"/>
    </row>
    <row r="11618" spans="25:25" hidden="1" x14ac:dyDescent="0.25">
      <c r="Y11618" s="501"/>
    </row>
    <row r="11619" spans="25:25" hidden="1" x14ac:dyDescent="0.25">
      <c r="Y11619" s="501"/>
    </row>
    <row r="11620" spans="25:25" hidden="1" x14ac:dyDescent="0.25">
      <c r="Y11620" s="501"/>
    </row>
    <row r="11621" spans="25:25" hidden="1" x14ac:dyDescent="0.25">
      <c r="Y11621" s="501"/>
    </row>
    <row r="11622" spans="25:25" hidden="1" x14ac:dyDescent="0.25">
      <c r="Y11622" s="501"/>
    </row>
    <row r="11623" spans="25:25" hidden="1" x14ac:dyDescent="0.25">
      <c r="Y11623" s="501"/>
    </row>
    <row r="11624" spans="25:25" hidden="1" x14ac:dyDescent="0.25">
      <c r="Y11624" s="501"/>
    </row>
    <row r="11625" spans="25:25" hidden="1" x14ac:dyDescent="0.25">
      <c r="Y11625" s="501"/>
    </row>
    <row r="11626" spans="25:25" hidden="1" x14ac:dyDescent="0.25">
      <c r="Y11626" s="501"/>
    </row>
    <row r="11627" spans="25:25" hidden="1" x14ac:dyDescent="0.25">
      <c r="Y11627" s="501"/>
    </row>
    <row r="11628" spans="25:25" hidden="1" x14ac:dyDescent="0.25">
      <c r="Y11628" s="501"/>
    </row>
    <row r="11629" spans="25:25" hidden="1" x14ac:dyDescent="0.25">
      <c r="Y11629" s="501"/>
    </row>
    <row r="11630" spans="25:25" hidden="1" x14ac:dyDescent="0.25">
      <c r="Y11630" s="501"/>
    </row>
    <row r="11631" spans="25:25" hidden="1" x14ac:dyDescent="0.25">
      <c r="Y11631" s="501"/>
    </row>
    <row r="11632" spans="25:25" hidden="1" x14ac:dyDescent="0.25">
      <c r="Y11632" s="501"/>
    </row>
    <row r="11633" spans="25:25" hidden="1" x14ac:dyDescent="0.25">
      <c r="Y11633" s="501"/>
    </row>
    <row r="11634" spans="25:25" hidden="1" x14ac:dyDescent="0.25">
      <c r="Y11634" s="501"/>
    </row>
    <row r="11635" spans="25:25" hidden="1" x14ac:dyDescent="0.25">
      <c r="Y11635" s="501"/>
    </row>
    <row r="11636" spans="25:25" hidden="1" x14ac:dyDescent="0.25">
      <c r="Y11636" s="501"/>
    </row>
    <row r="11637" spans="25:25" hidden="1" x14ac:dyDescent="0.25">
      <c r="Y11637" s="501"/>
    </row>
    <row r="11638" spans="25:25" hidden="1" x14ac:dyDescent="0.25">
      <c r="Y11638" s="501"/>
    </row>
    <row r="11639" spans="25:25" hidden="1" x14ac:dyDescent="0.25">
      <c r="Y11639" s="501"/>
    </row>
    <row r="11640" spans="25:25" hidden="1" x14ac:dyDescent="0.25">
      <c r="Y11640" s="501"/>
    </row>
    <row r="11641" spans="25:25" hidden="1" x14ac:dyDescent="0.25">
      <c r="Y11641" s="501"/>
    </row>
    <row r="11642" spans="25:25" hidden="1" x14ac:dyDescent="0.25">
      <c r="Y11642" s="501"/>
    </row>
    <row r="11643" spans="25:25" hidden="1" x14ac:dyDescent="0.25">
      <c r="Y11643" s="501"/>
    </row>
    <row r="11644" spans="25:25" hidden="1" x14ac:dyDescent="0.25">
      <c r="Y11644" s="501"/>
    </row>
    <row r="11645" spans="25:25" hidden="1" x14ac:dyDescent="0.25">
      <c r="Y11645" s="501"/>
    </row>
    <row r="11646" spans="25:25" hidden="1" x14ac:dyDescent="0.25">
      <c r="Y11646" s="501"/>
    </row>
    <row r="11647" spans="25:25" hidden="1" x14ac:dyDescent="0.25">
      <c r="Y11647" s="501"/>
    </row>
    <row r="11648" spans="25:25" hidden="1" x14ac:dyDescent="0.25">
      <c r="Y11648" s="501"/>
    </row>
    <row r="11649" spans="25:25" hidden="1" x14ac:dyDescent="0.25">
      <c r="Y11649" s="501"/>
    </row>
    <row r="11650" spans="25:25" hidden="1" x14ac:dyDescent="0.25">
      <c r="Y11650" s="501"/>
    </row>
    <row r="11651" spans="25:25" hidden="1" x14ac:dyDescent="0.25">
      <c r="Y11651" s="501"/>
    </row>
    <row r="11652" spans="25:25" hidden="1" x14ac:dyDescent="0.25">
      <c r="Y11652" s="501"/>
    </row>
    <row r="11653" spans="25:25" hidden="1" x14ac:dyDescent="0.25">
      <c r="Y11653" s="501"/>
    </row>
    <row r="11654" spans="25:25" hidden="1" x14ac:dyDescent="0.25">
      <c r="Y11654" s="501"/>
    </row>
    <row r="11655" spans="25:25" hidden="1" x14ac:dyDescent="0.25">
      <c r="Y11655" s="501"/>
    </row>
    <row r="11656" spans="25:25" hidden="1" x14ac:dyDescent="0.25">
      <c r="Y11656" s="501"/>
    </row>
    <row r="11657" spans="25:25" hidden="1" x14ac:dyDescent="0.25">
      <c r="Y11657" s="501"/>
    </row>
    <row r="11658" spans="25:25" hidden="1" x14ac:dyDescent="0.25">
      <c r="Y11658" s="501"/>
    </row>
    <row r="11659" spans="25:25" hidden="1" x14ac:dyDescent="0.25">
      <c r="Y11659" s="501"/>
    </row>
    <row r="11660" spans="25:25" hidden="1" x14ac:dyDescent="0.25">
      <c r="Y11660" s="501"/>
    </row>
    <row r="11661" spans="25:25" hidden="1" x14ac:dyDescent="0.25">
      <c r="Y11661" s="501"/>
    </row>
    <row r="11662" spans="25:25" hidden="1" x14ac:dyDescent="0.25">
      <c r="Y11662" s="501"/>
    </row>
    <row r="11663" spans="25:25" hidden="1" x14ac:dyDescent="0.25">
      <c r="Y11663" s="501"/>
    </row>
    <row r="11664" spans="25:25" hidden="1" x14ac:dyDescent="0.25">
      <c r="Y11664" s="501"/>
    </row>
    <row r="11665" spans="25:25" hidden="1" x14ac:dyDescent="0.25">
      <c r="Y11665" s="501"/>
    </row>
    <row r="11666" spans="25:25" hidden="1" x14ac:dyDescent="0.25">
      <c r="Y11666" s="501"/>
    </row>
    <row r="11667" spans="25:25" hidden="1" x14ac:dyDescent="0.25">
      <c r="Y11667" s="501"/>
    </row>
    <row r="11668" spans="25:25" hidden="1" x14ac:dyDescent="0.25">
      <c r="Y11668" s="501"/>
    </row>
    <row r="11669" spans="25:25" hidden="1" x14ac:dyDescent="0.25">
      <c r="Y11669" s="501"/>
    </row>
    <row r="11670" spans="25:25" hidden="1" x14ac:dyDescent="0.25">
      <c r="Y11670" s="501"/>
    </row>
    <row r="11671" spans="25:25" hidden="1" x14ac:dyDescent="0.25">
      <c r="Y11671" s="501"/>
    </row>
    <row r="11672" spans="25:25" hidden="1" x14ac:dyDescent="0.25">
      <c r="Y11672" s="501"/>
    </row>
    <row r="11673" spans="25:25" hidden="1" x14ac:dyDescent="0.25">
      <c r="Y11673" s="501"/>
    </row>
    <row r="11674" spans="25:25" hidden="1" x14ac:dyDescent="0.25">
      <c r="Y11674" s="501"/>
    </row>
    <row r="11675" spans="25:25" hidden="1" x14ac:dyDescent="0.25">
      <c r="Y11675" s="501"/>
    </row>
    <row r="11676" spans="25:25" hidden="1" x14ac:dyDescent="0.25">
      <c r="Y11676" s="501"/>
    </row>
    <row r="11677" spans="25:25" hidden="1" x14ac:dyDescent="0.25">
      <c r="Y11677" s="501"/>
    </row>
    <row r="11678" spans="25:25" hidden="1" x14ac:dyDescent="0.25">
      <c r="Y11678" s="501"/>
    </row>
    <row r="11679" spans="25:25" hidden="1" x14ac:dyDescent="0.25">
      <c r="Y11679" s="501"/>
    </row>
    <row r="11680" spans="25:25" hidden="1" x14ac:dyDescent="0.25">
      <c r="Y11680" s="501"/>
    </row>
    <row r="11681" spans="25:25" hidden="1" x14ac:dyDescent="0.25">
      <c r="Y11681" s="501"/>
    </row>
    <row r="11682" spans="25:25" hidden="1" x14ac:dyDescent="0.25">
      <c r="Y11682" s="501"/>
    </row>
    <row r="11683" spans="25:25" hidden="1" x14ac:dyDescent="0.25">
      <c r="Y11683" s="501"/>
    </row>
    <row r="11684" spans="25:25" hidden="1" x14ac:dyDescent="0.25">
      <c r="Y11684" s="501"/>
    </row>
    <row r="11685" spans="25:25" hidden="1" x14ac:dyDescent="0.25">
      <c r="Y11685" s="501"/>
    </row>
    <row r="11686" spans="25:25" hidden="1" x14ac:dyDescent="0.25">
      <c r="Y11686" s="501"/>
    </row>
    <row r="11687" spans="25:25" hidden="1" x14ac:dyDescent="0.25">
      <c r="Y11687" s="501"/>
    </row>
    <row r="11688" spans="25:25" hidden="1" x14ac:dyDescent="0.25">
      <c r="Y11688" s="501"/>
    </row>
    <row r="11689" spans="25:25" hidden="1" x14ac:dyDescent="0.25">
      <c r="Y11689" s="501"/>
    </row>
    <row r="11690" spans="25:25" hidden="1" x14ac:dyDescent="0.25">
      <c r="Y11690" s="501"/>
    </row>
    <row r="11691" spans="25:25" hidden="1" x14ac:dyDescent="0.25">
      <c r="Y11691" s="501"/>
    </row>
    <row r="11692" spans="25:25" hidden="1" x14ac:dyDescent="0.25">
      <c r="Y11692" s="501"/>
    </row>
    <row r="11693" spans="25:25" hidden="1" x14ac:dyDescent="0.25">
      <c r="Y11693" s="501"/>
    </row>
    <row r="11694" spans="25:25" hidden="1" x14ac:dyDescent="0.25">
      <c r="Y11694" s="501"/>
    </row>
    <row r="11695" spans="25:25" hidden="1" x14ac:dyDescent="0.25">
      <c r="Y11695" s="501"/>
    </row>
    <row r="11696" spans="25:25" hidden="1" x14ac:dyDescent="0.25">
      <c r="Y11696" s="501"/>
    </row>
    <row r="11697" spans="25:25" hidden="1" x14ac:dyDescent="0.25">
      <c r="Y11697" s="501"/>
    </row>
    <row r="11698" spans="25:25" hidden="1" x14ac:dyDescent="0.25">
      <c r="Y11698" s="501"/>
    </row>
    <row r="11699" spans="25:25" hidden="1" x14ac:dyDescent="0.25">
      <c r="Y11699" s="501"/>
    </row>
    <row r="11700" spans="25:25" hidden="1" x14ac:dyDescent="0.25">
      <c r="Y11700" s="501"/>
    </row>
    <row r="11701" spans="25:25" hidden="1" x14ac:dyDescent="0.25">
      <c r="Y11701" s="501"/>
    </row>
    <row r="11702" spans="25:25" hidden="1" x14ac:dyDescent="0.25">
      <c r="Y11702" s="501"/>
    </row>
    <row r="11703" spans="25:25" hidden="1" x14ac:dyDescent="0.25">
      <c r="Y11703" s="501"/>
    </row>
    <row r="11704" spans="25:25" hidden="1" x14ac:dyDescent="0.25">
      <c r="Y11704" s="501"/>
    </row>
    <row r="11705" spans="25:25" hidden="1" x14ac:dyDescent="0.25">
      <c r="Y11705" s="501"/>
    </row>
    <row r="11706" spans="25:25" hidden="1" x14ac:dyDescent="0.25">
      <c r="Y11706" s="501"/>
    </row>
    <row r="11707" spans="25:25" hidden="1" x14ac:dyDescent="0.25">
      <c r="Y11707" s="501"/>
    </row>
    <row r="11708" spans="25:25" hidden="1" x14ac:dyDescent="0.25">
      <c r="Y11708" s="501"/>
    </row>
    <row r="11709" spans="25:25" hidden="1" x14ac:dyDescent="0.25">
      <c r="Y11709" s="501"/>
    </row>
    <row r="11710" spans="25:25" hidden="1" x14ac:dyDescent="0.25">
      <c r="Y11710" s="501"/>
    </row>
    <row r="11711" spans="25:25" hidden="1" x14ac:dyDescent="0.25">
      <c r="Y11711" s="501"/>
    </row>
    <row r="11712" spans="25:25" hidden="1" x14ac:dyDescent="0.25">
      <c r="Y11712" s="501"/>
    </row>
    <row r="11713" spans="25:25" hidden="1" x14ac:dyDescent="0.25">
      <c r="Y11713" s="501"/>
    </row>
    <row r="11714" spans="25:25" hidden="1" x14ac:dyDescent="0.25">
      <c r="Y11714" s="501"/>
    </row>
    <row r="11715" spans="25:25" hidden="1" x14ac:dyDescent="0.25">
      <c r="Y11715" s="501"/>
    </row>
    <row r="11716" spans="25:25" hidden="1" x14ac:dyDescent="0.25">
      <c r="Y11716" s="501"/>
    </row>
    <row r="11717" spans="25:25" hidden="1" x14ac:dyDescent="0.25">
      <c r="Y11717" s="501"/>
    </row>
    <row r="11718" spans="25:25" hidden="1" x14ac:dyDescent="0.25">
      <c r="Y11718" s="501"/>
    </row>
    <row r="11719" spans="25:25" hidden="1" x14ac:dyDescent="0.25">
      <c r="Y11719" s="501"/>
    </row>
    <row r="11720" spans="25:25" hidden="1" x14ac:dyDescent="0.25">
      <c r="Y11720" s="501"/>
    </row>
    <row r="11721" spans="25:25" hidden="1" x14ac:dyDescent="0.25">
      <c r="Y11721" s="501"/>
    </row>
    <row r="11722" spans="25:25" hidden="1" x14ac:dyDescent="0.25">
      <c r="Y11722" s="501"/>
    </row>
    <row r="11723" spans="25:25" hidden="1" x14ac:dyDescent="0.25">
      <c r="Y11723" s="501"/>
    </row>
    <row r="11724" spans="25:25" hidden="1" x14ac:dyDescent="0.25">
      <c r="Y11724" s="501"/>
    </row>
    <row r="11725" spans="25:25" hidden="1" x14ac:dyDescent="0.25">
      <c r="Y11725" s="501"/>
    </row>
    <row r="11726" spans="25:25" hidden="1" x14ac:dyDescent="0.25">
      <c r="Y11726" s="501"/>
    </row>
    <row r="11727" spans="25:25" hidden="1" x14ac:dyDescent="0.25">
      <c r="Y11727" s="501"/>
    </row>
    <row r="11728" spans="25:25" hidden="1" x14ac:dyDescent="0.25">
      <c r="Y11728" s="501"/>
    </row>
    <row r="11729" spans="25:25" hidden="1" x14ac:dyDescent="0.25">
      <c r="Y11729" s="501"/>
    </row>
    <row r="11730" spans="25:25" hidden="1" x14ac:dyDescent="0.25">
      <c r="Y11730" s="501"/>
    </row>
    <row r="11731" spans="25:25" hidden="1" x14ac:dyDescent="0.25">
      <c r="Y11731" s="501"/>
    </row>
    <row r="11732" spans="25:25" hidden="1" x14ac:dyDescent="0.25">
      <c r="Y11732" s="501"/>
    </row>
    <row r="11733" spans="25:25" hidden="1" x14ac:dyDescent="0.25">
      <c r="Y11733" s="501"/>
    </row>
    <row r="11734" spans="25:25" hidden="1" x14ac:dyDescent="0.25">
      <c r="Y11734" s="501"/>
    </row>
    <row r="11735" spans="25:25" hidden="1" x14ac:dyDescent="0.25">
      <c r="Y11735" s="501"/>
    </row>
    <row r="11736" spans="25:25" hidden="1" x14ac:dyDescent="0.25">
      <c r="Y11736" s="501"/>
    </row>
    <row r="11737" spans="25:25" hidden="1" x14ac:dyDescent="0.25">
      <c r="Y11737" s="501"/>
    </row>
    <row r="11738" spans="25:25" hidden="1" x14ac:dyDescent="0.25">
      <c r="Y11738" s="501"/>
    </row>
    <row r="11739" spans="25:25" hidden="1" x14ac:dyDescent="0.25">
      <c r="Y11739" s="501"/>
    </row>
    <row r="11740" spans="25:25" hidden="1" x14ac:dyDescent="0.25">
      <c r="Y11740" s="501"/>
    </row>
    <row r="11741" spans="25:25" hidden="1" x14ac:dyDescent="0.25">
      <c r="Y11741" s="501"/>
    </row>
    <row r="11742" spans="25:25" hidden="1" x14ac:dyDescent="0.25">
      <c r="Y11742" s="501"/>
    </row>
    <row r="11743" spans="25:25" hidden="1" x14ac:dyDescent="0.25">
      <c r="Y11743" s="501"/>
    </row>
    <row r="11744" spans="25:25" hidden="1" x14ac:dyDescent="0.25">
      <c r="Y11744" s="501"/>
    </row>
    <row r="11745" spans="25:25" hidden="1" x14ac:dyDescent="0.25">
      <c r="Y11745" s="501"/>
    </row>
    <row r="11746" spans="25:25" hidden="1" x14ac:dyDescent="0.25">
      <c r="Y11746" s="501"/>
    </row>
    <row r="11747" spans="25:25" hidden="1" x14ac:dyDescent="0.25">
      <c r="Y11747" s="501"/>
    </row>
    <row r="11748" spans="25:25" hidden="1" x14ac:dyDescent="0.25">
      <c r="Y11748" s="501"/>
    </row>
    <row r="11749" spans="25:25" hidden="1" x14ac:dyDescent="0.25">
      <c r="Y11749" s="501"/>
    </row>
    <row r="11750" spans="25:25" hidden="1" x14ac:dyDescent="0.25">
      <c r="Y11750" s="501"/>
    </row>
    <row r="11751" spans="25:25" hidden="1" x14ac:dyDescent="0.25">
      <c r="Y11751" s="501"/>
    </row>
    <row r="11752" spans="25:25" hidden="1" x14ac:dyDescent="0.25">
      <c r="Y11752" s="501"/>
    </row>
    <row r="11753" spans="25:25" hidden="1" x14ac:dyDescent="0.25">
      <c r="Y11753" s="501"/>
    </row>
    <row r="11754" spans="25:25" hidden="1" x14ac:dyDescent="0.25">
      <c r="Y11754" s="501"/>
    </row>
    <row r="11755" spans="25:25" hidden="1" x14ac:dyDescent="0.25">
      <c r="Y11755" s="501"/>
    </row>
    <row r="11756" spans="25:25" hidden="1" x14ac:dyDescent="0.25">
      <c r="Y11756" s="501"/>
    </row>
    <row r="11757" spans="25:25" hidden="1" x14ac:dyDescent="0.25">
      <c r="Y11757" s="501"/>
    </row>
    <row r="11758" spans="25:25" hidden="1" x14ac:dyDescent="0.25">
      <c r="Y11758" s="501"/>
    </row>
    <row r="11759" spans="25:25" hidden="1" x14ac:dyDescent="0.25">
      <c r="Y11759" s="501"/>
    </row>
    <row r="11760" spans="25:25" hidden="1" x14ac:dyDescent="0.25">
      <c r="Y11760" s="501"/>
    </row>
    <row r="11761" spans="25:25" hidden="1" x14ac:dyDescent="0.25">
      <c r="Y11761" s="501"/>
    </row>
    <row r="11762" spans="25:25" hidden="1" x14ac:dyDescent="0.25">
      <c r="Y11762" s="501"/>
    </row>
    <row r="11763" spans="25:25" hidden="1" x14ac:dyDescent="0.25">
      <c r="Y11763" s="501"/>
    </row>
    <row r="11764" spans="25:25" hidden="1" x14ac:dyDescent="0.25">
      <c r="Y11764" s="501"/>
    </row>
    <row r="11765" spans="25:25" hidden="1" x14ac:dyDescent="0.25">
      <c r="Y11765" s="501"/>
    </row>
    <row r="11766" spans="25:25" hidden="1" x14ac:dyDescent="0.25">
      <c r="Y11766" s="501"/>
    </row>
    <row r="11767" spans="25:25" hidden="1" x14ac:dyDescent="0.25">
      <c r="Y11767" s="501"/>
    </row>
    <row r="11768" spans="25:25" hidden="1" x14ac:dyDescent="0.25">
      <c r="Y11768" s="501"/>
    </row>
    <row r="11769" spans="25:25" hidden="1" x14ac:dyDescent="0.25">
      <c r="Y11769" s="501"/>
    </row>
    <row r="11770" spans="25:25" hidden="1" x14ac:dyDescent="0.25">
      <c r="Y11770" s="501"/>
    </row>
    <row r="11771" spans="25:25" hidden="1" x14ac:dyDescent="0.25">
      <c r="Y11771" s="501"/>
    </row>
    <row r="11772" spans="25:25" hidden="1" x14ac:dyDescent="0.25">
      <c r="Y11772" s="501"/>
    </row>
    <row r="11773" spans="25:25" hidden="1" x14ac:dyDescent="0.25">
      <c r="Y11773" s="501"/>
    </row>
    <row r="11774" spans="25:25" hidden="1" x14ac:dyDescent="0.25">
      <c r="Y11774" s="501"/>
    </row>
    <row r="11775" spans="25:25" hidden="1" x14ac:dyDescent="0.25">
      <c r="Y11775" s="501"/>
    </row>
    <row r="11776" spans="25:25" hidden="1" x14ac:dyDescent="0.25">
      <c r="Y11776" s="501"/>
    </row>
    <row r="11777" spans="25:25" hidden="1" x14ac:dyDescent="0.25">
      <c r="Y11777" s="501"/>
    </row>
    <row r="11778" spans="25:25" hidden="1" x14ac:dyDescent="0.25">
      <c r="Y11778" s="501"/>
    </row>
    <row r="11779" spans="25:25" hidden="1" x14ac:dyDescent="0.25">
      <c r="Y11779" s="501"/>
    </row>
    <row r="11780" spans="25:25" hidden="1" x14ac:dyDescent="0.25">
      <c r="Y11780" s="501"/>
    </row>
    <row r="11781" spans="25:25" hidden="1" x14ac:dyDescent="0.25">
      <c r="Y11781" s="501"/>
    </row>
    <row r="11782" spans="25:25" hidden="1" x14ac:dyDescent="0.25">
      <c r="Y11782" s="501"/>
    </row>
    <row r="11783" spans="25:25" hidden="1" x14ac:dyDescent="0.25">
      <c r="Y11783" s="501"/>
    </row>
    <row r="11784" spans="25:25" hidden="1" x14ac:dyDescent="0.25">
      <c r="Y11784" s="501"/>
    </row>
    <row r="11785" spans="25:25" hidden="1" x14ac:dyDescent="0.25">
      <c r="Y11785" s="501"/>
    </row>
    <row r="11786" spans="25:25" hidden="1" x14ac:dyDescent="0.25">
      <c r="Y11786" s="501"/>
    </row>
    <row r="11787" spans="25:25" hidden="1" x14ac:dyDescent="0.25">
      <c r="Y11787" s="501"/>
    </row>
    <row r="11788" spans="25:25" hidden="1" x14ac:dyDescent="0.25">
      <c r="Y11788" s="501"/>
    </row>
    <row r="11789" spans="25:25" hidden="1" x14ac:dyDescent="0.25">
      <c r="Y11789" s="501"/>
    </row>
    <row r="11790" spans="25:25" hidden="1" x14ac:dyDescent="0.25">
      <c r="Y11790" s="501"/>
    </row>
    <row r="11791" spans="25:25" hidden="1" x14ac:dyDescent="0.25">
      <c r="Y11791" s="501"/>
    </row>
    <row r="11792" spans="25:25" hidden="1" x14ac:dyDescent="0.25">
      <c r="Y11792" s="501"/>
    </row>
    <row r="11793" spans="25:25" hidden="1" x14ac:dyDescent="0.25">
      <c r="Y11793" s="501"/>
    </row>
    <row r="11794" spans="25:25" hidden="1" x14ac:dyDescent="0.25">
      <c r="Y11794" s="501"/>
    </row>
    <row r="11795" spans="25:25" hidden="1" x14ac:dyDescent="0.25">
      <c r="Y11795" s="501"/>
    </row>
    <row r="11796" spans="25:25" hidden="1" x14ac:dyDescent="0.25">
      <c r="Y11796" s="501"/>
    </row>
    <row r="11797" spans="25:25" hidden="1" x14ac:dyDescent="0.25">
      <c r="Y11797" s="501"/>
    </row>
    <row r="11798" spans="25:25" hidden="1" x14ac:dyDescent="0.25">
      <c r="Y11798" s="501"/>
    </row>
    <row r="11799" spans="25:25" hidden="1" x14ac:dyDescent="0.25">
      <c r="Y11799" s="501"/>
    </row>
    <row r="11800" spans="25:25" hidden="1" x14ac:dyDescent="0.25">
      <c r="Y11800" s="501"/>
    </row>
    <row r="11801" spans="25:25" hidden="1" x14ac:dyDescent="0.25">
      <c r="Y11801" s="501"/>
    </row>
    <row r="11802" spans="25:25" hidden="1" x14ac:dyDescent="0.25">
      <c r="Y11802" s="501"/>
    </row>
    <row r="11803" spans="25:25" hidden="1" x14ac:dyDescent="0.25">
      <c r="Y11803" s="501"/>
    </row>
    <row r="11804" spans="25:25" hidden="1" x14ac:dyDescent="0.25">
      <c r="Y11804" s="501"/>
    </row>
    <row r="11805" spans="25:25" hidden="1" x14ac:dyDescent="0.25">
      <c r="Y11805" s="501"/>
    </row>
    <row r="11806" spans="25:25" hidden="1" x14ac:dyDescent="0.25">
      <c r="Y11806" s="501"/>
    </row>
    <row r="11807" spans="25:25" hidden="1" x14ac:dyDescent="0.25">
      <c r="Y11807" s="501"/>
    </row>
    <row r="11808" spans="25:25" hidden="1" x14ac:dyDescent="0.25">
      <c r="Y11808" s="501"/>
    </row>
    <row r="11809" spans="25:25" hidden="1" x14ac:dyDescent="0.25">
      <c r="Y11809" s="501"/>
    </row>
    <row r="11810" spans="25:25" hidden="1" x14ac:dyDescent="0.25">
      <c r="Y11810" s="501"/>
    </row>
    <row r="11811" spans="25:25" hidden="1" x14ac:dyDescent="0.25">
      <c r="Y11811" s="501"/>
    </row>
    <row r="11812" spans="25:25" hidden="1" x14ac:dyDescent="0.25">
      <c r="Y11812" s="501"/>
    </row>
    <row r="11813" spans="25:25" hidden="1" x14ac:dyDescent="0.25">
      <c r="Y11813" s="501"/>
    </row>
    <row r="11814" spans="25:25" hidden="1" x14ac:dyDescent="0.25">
      <c r="Y11814" s="501"/>
    </row>
    <row r="11815" spans="25:25" hidden="1" x14ac:dyDescent="0.25">
      <c r="Y11815" s="501"/>
    </row>
    <row r="11816" spans="25:25" hidden="1" x14ac:dyDescent="0.25">
      <c r="Y11816" s="501"/>
    </row>
    <row r="11817" spans="25:25" hidden="1" x14ac:dyDescent="0.25">
      <c r="Y11817" s="501"/>
    </row>
    <row r="11818" spans="25:25" hidden="1" x14ac:dyDescent="0.25">
      <c r="Y11818" s="501"/>
    </row>
    <row r="11819" spans="25:25" hidden="1" x14ac:dyDescent="0.25">
      <c r="Y11819" s="501"/>
    </row>
    <row r="11820" spans="25:25" hidden="1" x14ac:dyDescent="0.25">
      <c r="Y11820" s="501"/>
    </row>
    <row r="11821" spans="25:25" hidden="1" x14ac:dyDescent="0.25">
      <c r="Y11821" s="501"/>
    </row>
    <row r="11822" spans="25:25" hidden="1" x14ac:dyDescent="0.25">
      <c r="Y11822" s="501"/>
    </row>
    <row r="11823" spans="25:25" hidden="1" x14ac:dyDescent="0.25">
      <c r="Y11823" s="501"/>
    </row>
    <row r="11824" spans="25:25" hidden="1" x14ac:dyDescent="0.25">
      <c r="Y11824" s="501"/>
    </row>
    <row r="11825" spans="25:25" hidden="1" x14ac:dyDescent="0.25">
      <c r="Y11825" s="501"/>
    </row>
    <row r="11826" spans="25:25" hidden="1" x14ac:dyDescent="0.25">
      <c r="Y11826" s="501"/>
    </row>
    <row r="11827" spans="25:25" hidden="1" x14ac:dyDescent="0.25">
      <c r="Y11827" s="501"/>
    </row>
    <row r="11828" spans="25:25" hidden="1" x14ac:dyDescent="0.25">
      <c r="Y11828" s="501"/>
    </row>
    <row r="11829" spans="25:25" hidden="1" x14ac:dyDescent="0.25">
      <c r="Y11829" s="501"/>
    </row>
    <row r="11830" spans="25:25" hidden="1" x14ac:dyDescent="0.25">
      <c r="Y11830" s="501"/>
    </row>
    <row r="11831" spans="25:25" hidden="1" x14ac:dyDescent="0.25">
      <c r="Y11831" s="501"/>
    </row>
    <row r="11832" spans="25:25" hidden="1" x14ac:dyDescent="0.25">
      <c r="Y11832" s="501"/>
    </row>
    <row r="11833" spans="25:25" hidden="1" x14ac:dyDescent="0.25">
      <c r="Y11833" s="501"/>
    </row>
    <row r="11834" spans="25:25" hidden="1" x14ac:dyDescent="0.25">
      <c r="Y11834" s="501"/>
    </row>
    <row r="11835" spans="25:25" hidden="1" x14ac:dyDescent="0.25">
      <c r="Y11835" s="501"/>
    </row>
    <row r="11836" spans="25:25" hidden="1" x14ac:dyDescent="0.25">
      <c r="Y11836" s="501"/>
    </row>
    <row r="11837" spans="25:25" hidden="1" x14ac:dyDescent="0.25">
      <c r="Y11837" s="501"/>
    </row>
    <row r="11838" spans="25:25" hidden="1" x14ac:dyDescent="0.25">
      <c r="Y11838" s="501"/>
    </row>
    <row r="11839" spans="25:25" hidden="1" x14ac:dyDescent="0.25">
      <c r="Y11839" s="501"/>
    </row>
    <row r="11840" spans="25:25" hidden="1" x14ac:dyDescent="0.25">
      <c r="Y11840" s="501"/>
    </row>
    <row r="11841" spans="25:25" hidden="1" x14ac:dyDescent="0.25">
      <c r="Y11841" s="501"/>
    </row>
    <row r="11842" spans="25:25" hidden="1" x14ac:dyDescent="0.25">
      <c r="Y11842" s="501"/>
    </row>
    <row r="11843" spans="25:25" hidden="1" x14ac:dyDescent="0.25">
      <c r="Y11843" s="501"/>
    </row>
    <row r="11844" spans="25:25" hidden="1" x14ac:dyDescent="0.25">
      <c r="Y11844" s="501"/>
    </row>
    <row r="11845" spans="25:25" hidden="1" x14ac:dyDescent="0.25">
      <c r="Y11845" s="501"/>
    </row>
    <row r="11846" spans="25:25" hidden="1" x14ac:dyDescent="0.25">
      <c r="Y11846" s="501"/>
    </row>
    <row r="11847" spans="25:25" hidden="1" x14ac:dyDescent="0.25">
      <c r="Y11847" s="501"/>
    </row>
    <row r="11848" spans="25:25" hidden="1" x14ac:dyDescent="0.25">
      <c r="Y11848" s="501"/>
    </row>
    <row r="11849" spans="25:25" hidden="1" x14ac:dyDescent="0.25">
      <c r="Y11849" s="501"/>
    </row>
    <row r="11850" spans="25:25" hidden="1" x14ac:dyDescent="0.25">
      <c r="Y11850" s="501"/>
    </row>
    <row r="11851" spans="25:25" hidden="1" x14ac:dyDescent="0.25">
      <c r="Y11851" s="501"/>
    </row>
    <row r="11852" spans="25:25" hidden="1" x14ac:dyDescent="0.25">
      <c r="Y11852" s="501"/>
    </row>
    <row r="11853" spans="25:25" hidden="1" x14ac:dyDescent="0.25">
      <c r="Y11853" s="501"/>
    </row>
    <row r="11854" spans="25:25" hidden="1" x14ac:dyDescent="0.25">
      <c r="Y11854" s="501"/>
    </row>
    <row r="11855" spans="25:25" hidden="1" x14ac:dyDescent="0.25">
      <c r="Y11855" s="501"/>
    </row>
    <row r="11856" spans="25:25" hidden="1" x14ac:dyDescent="0.25">
      <c r="Y11856" s="501"/>
    </row>
    <row r="11857" spans="25:25" hidden="1" x14ac:dyDescent="0.25">
      <c r="Y11857" s="501"/>
    </row>
    <row r="11858" spans="25:25" hidden="1" x14ac:dyDescent="0.25">
      <c r="Y11858" s="501"/>
    </row>
    <row r="11859" spans="25:25" hidden="1" x14ac:dyDescent="0.25">
      <c r="Y11859" s="501"/>
    </row>
    <row r="11860" spans="25:25" hidden="1" x14ac:dyDescent="0.25">
      <c r="Y11860" s="501"/>
    </row>
    <row r="11861" spans="25:25" hidden="1" x14ac:dyDescent="0.25">
      <c r="Y11861" s="501"/>
    </row>
    <row r="11862" spans="25:25" hidden="1" x14ac:dyDescent="0.25">
      <c r="Y11862" s="501"/>
    </row>
    <row r="11863" spans="25:25" hidden="1" x14ac:dyDescent="0.25">
      <c r="Y11863" s="501"/>
    </row>
    <row r="11864" spans="25:25" hidden="1" x14ac:dyDescent="0.25">
      <c r="Y11864" s="501"/>
    </row>
    <row r="11865" spans="25:25" hidden="1" x14ac:dyDescent="0.25">
      <c r="Y11865" s="501"/>
    </row>
    <row r="11866" spans="25:25" hidden="1" x14ac:dyDescent="0.25">
      <c r="Y11866" s="501"/>
    </row>
    <row r="11867" spans="25:25" hidden="1" x14ac:dyDescent="0.25">
      <c r="Y11867" s="501"/>
    </row>
    <row r="11868" spans="25:25" hidden="1" x14ac:dyDescent="0.25">
      <c r="Y11868" s="501"/>
    </row>
    <row r="11869" spans="25:25" hidden="1" x14ac:dyDescent="0.25">
      <c r="Y11869" s="501"/>
    </row>
    <row r="11870" spans="25:25" hidden="1" x14ac:dyDescent="0.25">
      <c r="Y11870" s="501"/>
    </row>
    <row r="11871" spans="25:25" hidden="1" x14ac:dyDescent="0.25">
      <c r="Y11871" s="501"/>
    </row>
    <row r="11872" spans="25:25" hidden="1" x14ac:dyDescent="0.25">
      <c r="Y11872" s="501"/>
    </row>
    <row r="11873" spans="25:25" hidden="1" x14ac:dyDescent="0.25">
      <c r="Y11873" s="501"/>
    </row>
    <row r="11874" spans="25:25" hidden="1" x14ac:dyDescent="0.25">
      <c r="Y11874" s="501"/>
    </row>
    <row r="11875" spans="25:25" hidden="1" x14ac:dyDescent="0.25">
      <c r="Y11875" s="501"/>
    </row>
    <row r="11876" spans="25:25" hidden="1" x14ac:dyDescent="0.25">
      <c r="Y11876" s="501"/>
    </row>
    <row r="11877" spans="25:25" hidden="1" x14ac:dyDescent="0.25">
      <c r="Y11877" s="501"/>
    </row>
    <row r="11878" spans="25:25" hidden="1" x14ac:dyDescent="0.25">
      <c r="Y11878" s="501"/>
    </row>
    <row r="11879" spans="25:25" hidden="1" x14ac:dyDescent="0.25">
      <c r="Y11879" s="501"/>
    </row>
    <row r="11880" spans="25:25" hidden="1" x14ac:dyDescent="0.25">
      <c r="Y11880" s="501"/>
    </row>
    <row r="11881" spans="25:25" hidden="1" x14ac:dyDescent="0.25">
      <c r="Y11881" s="501"/>
    </row>
    <row r="11882" spans="25:25" hidden="1" x14ac:dyDescent="0.25">
      <c r="Y11882" s="501"/>
    </row>
    <row r="11883" spans="25:25" hidden="1" x14ac:dyDescent="0.25">
      <c r="Y11883" s="501"/>
    </row>
    <row r="11884" spans="25:25" hidden="1" x14ac:dyDescent="0.25">
      <c r="Y11884" s="501"/>
    </row>
    <row r="11885" spans="25:25" hidden="1" x14ac:dyDescent="0.25">
      <c r="Y11885" s="501"/>
    </row>
    <row r="11886" spans="25:25" hidden="1" x14ac:dyDescent="0.25">
      <c r="Y11886" s="501"/>
    </row>
    <row r="11887" spans="25:25" hidden="1" x14ac:dyDescent="0.25">
      <c r="Y11887" s="501"/>
    </row>
    <row r="11888" spans="25:25" hidden="1" x14ac:dyDescent="0.25">
      <c r="Y11888" s="501"/>
    </row>
    <row r="11889" spans="25:25" hidden="1" x14ac:dyDescent="0.25">
      <c r="Y11889" s="501"/>
    </row>
    <row r="11890" spans="25:25" hidden="1" x14ac:dyDescent="0.25">
      <c r="Y11890" s="501"/>
    </row>
    <row r="11891" spans="25:25" hidden="1" x14ac:dyDescent="0.25">
      <c r="Y11891" s="501"/>
    </row>
    <row r="11892" spans="25:25" hidden="1" x14ac:dyDescent="0.25">
      <c r="Y11892" s="501"/>
    </row>
    <row r="11893" spans="25:25" hidden="1" x14ac:dyDescent="0.25">
      <c r="Y11893" s="501"/>
    </row>
    <row r="11894" spans="25:25" hidden="1" x14ac:dyDescent="0.25">
      <c r="Y11894" s="501"/>
    </row>
    <row r="11895" spans="25:25" hidden="1" x14ac:dyDescent="0.25">
      <c r="Y11895" s="501"/>
    </row>
    <row r="11896" spans="25:25" hidden="1" x14ac:dyDescent="0.25">
      <c r="Y11896" s="501"/>
    </row>
    <row r="11897" spans="25:25" hidden="1" x14ac:dyDescent="0.25">
      <c r="Y11897" s="501"/>
    </row>
    <row r="11898" spans="25:25" hidden="1" x14ac:dyDescent="0.25">
      <c r="Y11898" s="501"/>
    </row>
    <row r="11899" spans="25:25" hidden="1" x14ac:dyDescent="0.25">
      <c r="Y11899" s="501"/>
    </row>
    <row r="11900" spans="25:25" hidden="1" x14ac:dyDescent="0.25">
      <c r="Y11900" s="501"/>
    </row>
    <row r="11901" spans="25:25" hidden="1" x14ac:dyDescent="0.25">
      <c r="Y11901" s="501"/>
    </row>
    <row r="11902" spans="25:25" hidden="1" x14ac:dyDescent="0.25">
      <c r="Y11902" s="501"/>
    </row>
    <row r="11903" spans="25:25" hidden="1" x14ac:dyDescent="0.25">
      <c r="Y11903" s="501"/>
    </row>
    <row r="11904" spans="25:25" hidden="1" x14ac:dyDescent="0.25">
      <c r="Y11904" s="501"/>
    </row>
    <row r="11905" spans="25:25" hidden="1" x14ac:dyDescent="0.25">
      <c r="Y11905" s="501"/>
    </row>
    <row r="11906" spans="25:25" hidden="1" x14ac:dyDescent="0.25">
      <c r="Y11906" s="501"/>
    </row>
    <row r="11907" spans="25:25" hidden="1" x14ac:dyDescent="0.25">
      <c r="Y11907" s="501"/>
    </row>
    <row r="11908" spans="25:25" hidden="1" x14ac:dyDescent="0.25">
      <c r="Y11908" s="501"/>
    </row>
    <row r="11909" spans="25:25" hidden="1" x14ac:dyDescent="0.25">
      <c r="Y11909" s="501"/>
    </row>
    <row r="11910" spans="25:25" hidden="1" x14ac:dyDescent="0.25">
      <c r="Y11910" s="501"/>
    </row>
    <row r="11911" spans="25:25" hidden="1" x14ac:dyDescent="0.25">
      <c r="Y11911" s="501"/>
    </row>
    <row r="11912" spans="25:25" hidden="1" x14ac:dyDescent="0.25">
      <c r="Y11912" s="501"/>
    </row>
    <row r="11913" spans="25:25" hidden="1" x14ac:dyDescent="0.25">
      <c r="Y11913" s="501"/>
    </row>
    <row r="11914" spans="25:25" hidden="1" x14ac:dyDescent="0.25">
      <c r="Y11914" s="501"/>
    </row>
    <row r="11915" spans="25:25" hidden="1" x14ac:dyDescent="0.25">
      <c r="Y11915" s="501"/>
    </row>
    <row r="11916" spans="25:25" hidden="1" x14ac:dyDescent="0.25">
      <c r="Y11916" s="501"/>
    </row>
    <row r="11917" spans="25:25" hidden="1" x14ac:dyDescent="0.25">
      <c r="Y11917" s="501"/>
    </row>
    <row r="11918" spans="25:25" hidden="1" x14ac:dyDescent="0.25">
      <c r="Y11918" s="501"/>
    </row>
    <row r="11919" spans="25:25" hidden="1" x14ac:dyDescent="0.25">
      <c r="Y11919" s="501"/>
    </row>
    <row r="11920" spans="25:25" hidden="1" x14ac:dyDescent="0.25">
      <c r="Y11920" s="501"/>
    </row>
    <row r="11921" spans="25:25" hidden="1" x14ac:dyDescent="0.25">
      <c r="Y11921" s="501"/>
    </row>
    <row r="11922" spans="25:25" hidden="1" x14ac:dyDescent="0.25">
      <c r="Y11922" s="501"/>
    </row>
    <row r="11923" spans="25:25" hidden="1" x14ac:dyDescent="0.25">
      <c r="Y11923" s="501"/>
    </row>
    <row r="11924" spans="25:25" hidden="1" x14ac:dyDescent="0.25">
      <c r="Y11924" s="501"/>
    </row>
    <row r="11925" spans="25:25" hidden="1" x14ac:dyDescent="0.25">
      <c r="Y11925" s="501"/>
    </row>
    <row r="11926" spans="25:25" hidden="1" x14ac:dyDescent="0.25">
      <c r="Y11926" s="501"/>
    </row>
    <row r="11927" spans="25:25" hidden="1" x14ac:dyDescent="0.25">
      <c r="Y11927" s="501"/>
    </row>
    <row r="11928" spans="25:25" hidden="1" x14ac:dyDescent="0.25">
      <c r="Y11928" s="501"/>
    </row>
    <row r="11929" spans="25:25" hidden="1" x14ac:dyDescent="0.25">
      <c r="Y11929" s="501"/>
    </row>
    <row r="11930" spans="25:25" hidden="1" x14ac:dyDescent="0.25">
      <c r="Y11930" s="501"/>
    </row>
    <row r="11931" spans="25:25" hidden="1" x14ac:dyDescent="0.25">
      <c r="Y11931" s="501"/>
    </row>
    <row r="11932" spans="25:25" hidden="1" x14ac:dyDescent="0.25">
      <c r="Y11932" s="501"/>
    </row>
    <row r="11933" spans="25:25" hidden="1" x14ac:dyDescent="0.25">
      <c r="Y11933" s="501"/>
    </row>
    <row r="11934" spans="25:25" hidden="1" x14ac:dyDescent="0.25">
      <c r="Y11934" s="501"/>
    </row>
    <row r="11935" spans="25:25" hidden="1" x14ac:dyDescent="0.25">
      <c r="Y11935" s="501"/>
    </row>
    <row r="11936" spans="25:25" hidden="1" x14ac:dyDescent="0.25">
      <c r="Y11936" s="501"/>
    </row>
    <row r="11937" spans="25:25" hidden="1" x14ac:dyDescent="0.25">
      <c r="Y11937" s="501"/>
    </row>
    <row r="11938" spans="25:25" hidden="1" x14ac:dyDescent="0.25">
      <c r="Y11938" s="501"/>
    </row>
    <row r="11939" spans="25:25" hidden="1" x14ac:dyDescent="0.25">
      <c r="Y11939" s="501"/>
    </row>
    <row r="11940" spans="25:25" hidden="1" x14ac:dyDescent="0.25">
      <c r="Y11940" s="501"/>
    </row>
    <row r="11941" spans="25:25" hidden="1" x14ac:dyDescent="0.25">
      <c r="Y11941" s="501"/>
    </row>
    <row r="11942" spans="25:25" hidden="1" x14ac:dyDescent="0.25">
      <c r="Y11942" s="501"/>
    </row>
    <row r="11943" spans="25:25" hidden="1" x14ac:dyDescent="0.25">
      <c r="Y11943" s="501"/>
    </row>
    <row r="11944" spans="25:25" hidden="1" x14ac:dyDescent="0.25">
      <c r="Y11944" s="501"/>
    </row>
    <row r="11945" spans="25:25" hidden="1" x14ac:dyDescent="0.25">
      <c r="Y11945" s="501"/>
    </row>
    <row r="11946" spans="25:25" hidden="1" x14ac:dyDescent="0.25">
      <c r="Y11946" s="501"/>
    </row>
    <row r="11947" spans="25:25" hidden="1" x14ac:dyDescent="0.25">
      <c r="Y11947" s="501"/>
    </row>
    <row r="11948" spans="25:25" hidden="1" x14ac:dyDescent="0.25">
      <c r="Y11948" s="501"/>
    </row>
    <row r="11949" spans="25:25" hidden="1" x14ac:dyDescent="0.25">
      <c r="Y11949" s="501"/>
    </row>
    <row r="11950" spans="25:25" hidden="1" x14ac:dyDescent="0.25">
      <c r="Y11950" s="501"/>
    </row>
    <row r="11951" spans="25:25" hidden="1" x14ac:dyDescent="0.25">
      <c r="Y11951" s="501"/>
    </row>
    <row r="11952" spans="25:25" hidden="1" x14ac:dyDescent="0.25">
      <c r="Y11952" s="501"/>
    </row>
    <row r="11953" spans="25:25" hidden="1" x14ac:dyDescent="0.25">
      <c r="Y11953" s="501"/>
    </row>
    <row r="11954" spans="25:25" hidden="1" x14ac:dyDescent="0.25">
      <c r="Y11954" s="501"/>
    </row>
    <row r="11955" spans="25:25" hidden="1" x14ac:dyDescent="0.25">
      <c r="Y11955" s="501"/>
    </row>
    <row r="11956" spans="25:25" hidden="1" x14ac:dyDescent="0.25">
      <c r="Y11956" s="501"/>
    </row>
    <row r="11957" spans="25:25" hidden="1" x14ac:dyDescent="0.25">
      <c r="Y11957" s="501"/>
    </row>
    <row r="11958" spans="25:25" hidden="1" x14ac:dyDescent="0.25">
      <c r="Y11958" s="501"/>
    </row>
    <row r="11959" spans="25:25" hidden="1" x14ac:dyDescent="0.25">
      <c r="Y11959" s="501"/>
    </row>
    <row r="11960" spans="25:25" hidden="1" x14ac:dyDescent="0.25">
      <c r="Y11960" s="501"/>
    </row>
    <row r="11961" spans="25:25" hidden="1" x14ac:dyDescent="0.25">
      <c r="Y11961" s="501"/>
    </row>
    <row r="11962" spans="25:25" hidden="1" x14ac:dyDescent="0.25">
      <c r="Y11962" s="501"/>
    </row>
    <row r="11963" spans="25:25" hidden="1" x14ac:dyDescent="0.25">
      <c r="Y11963" s="501"/>
    </row>
    <row r="11964" spans="25:25" hidden="1" x14ac:dyDescent="0.25">
      <c r="Y11964" s="501"/>
    </row>
    <row r="11965" spans="25:25" hidden="1" x14ac:dyDescent="0.25">
      <c r="Y11965" s="501"/>
    </row>
    <row r="11966" spans="25:25" hidden="1" x14ac:dyDescent="0.25">
      <c r="Y11966" s="501"/>
    </row>
    <row r="11967" spans="25:25" hidden="1" x14ac:dyDescent="0.25">
      <c r="Y11967" s="501"/>
    </row>
    <row r="11968" spans="25:25" hidden="1" x14ac:dyDescent="0.25">
      <c r="Y11968" s="501"/>
    </row>
    <row r="11969" spans="25:25" hidden="1" x14ac:dyDescent="0.25">
      <c r="Y11969" s="501"/>
    </row>
    <row r="11970" spans="25:25" hidden="1" x14ac:dyDescent="0.25">
      <c r="Y11970" s="501"/>
    </row>
    <row r="11971" spans="25:25" hidden="1" x14ac:dyDescent="0.25">
      <c r="Y11971" s="501"/>
    </row>
    <row r="11972" spans="25:25" hidden="1" x14ac:dyDescent="0.25">
      <c r="Y11972" s="501"/>
    </row>
    <row r="11973" spans="25:25" hidden="1" x14ac:dyDescent="0.25">
      <c r="Y11973" s="501"/>
    </row>
    <row r="11974" spans="25:25" hidden="1" x14ac:dyDescent="0.25">
      <c r="Y11974" s="501"/>
    </row>
    <row r="11975" spans="25:25" hidden="1" x14ac:dyDescent="0.25">
      <c r="Y11975" s="501"/>
    </row>
    <row r="11976" spans="25:25" hidden="1" x14ac:dyDescent="0.25">
      <c r="Y11976" s="501"/>
    </row>
    <row r="11977" spans="25:25" hidden="1" x14ac:dyDescent="0.25">
      <c r="Y11977" s="501"/>
    </row>
    <row r="11978" spans="25:25" hidden="1" x14ac:dyDescent="0.25">
      <c r="Y11978" s="501"/>
    </row>
    <row r="11979" spans="25:25" hidden="1" x14ac:dyDescent="0.25">
      <c r="Y11979" s="501"/>
    </row>
    <row r="11980" spans="25:25" hidden="1" x14ac:dyDescent="0.25">
      <c r="Y11980" s="501"/>
    </row>
    <row r="11981" spans="25:25" hidden="1" x14ac:dyDescent="0.25">
      <c r="Y11981" s="501"/>
    </row>
    <row r="11982" spans="25:25" hidden="1" x14ac:dyDescent="0.25">
      <c r="Y11982" s="501"/>
    </row>
    <row r="11983" spans="25:25" hidden="1" x14ac:dyDescent="0.25">
      <c r="Y11983" s="501"/>
    </row>
    <row r="11984" spans="25:25" hidden="1" x14ac:dyDescent="0.25">
      <c r="Y11984" s="501"/>
    </row>
    <row r="11985" spans="25:25" hidden="1" x14ac:dyDescent="0.25">
      <c r="Y11985" s="501"/>
    </row>
    <row r="11986" spans="25:25" hidden="1" x14ac:dyDescent="0.25">
      <c r="Y11986" s="501"/>
    </row>
    <row r="11987" spans="25:25" hidden="1" x14ac:dyDescent="0.25">
      <c r="Y11987" s="501"/>
    </row>
    <row r="11988" spans="25:25" hidden="1" x14ac:dyDescent="0.25">
      <c r="Y11988" s="501"/>
    </row>
    <row r="11989" spans="25:25" hidden="1" x14ac:dyDescent="0.25">
      <c r="Y11989" s="501"/>
    </row>
    <row r="11990" spans="25:25" hidden="1" x14ac:dyDescent="0.25">
      <c r="Y11990" s="501"/>
    </row>
    <row r="11991" spans="25:25" hidden="1" x14ac:dyDescent="0.25">
      <c r="Y11991" s="501"/>
    </row>
    <row r="11992" spans="25:25" hidden="1" x14ac:dyDescent="0.25">
      <c r="Y11992" s="501"/>
    </row>
    <row r="11993" spans="25:25" hidden="1" x14ac:dyDescent="0.25">
      <c r="Y11993" s="501"/>
    </row>
    <row r="11994" spans="25:25" hidden="1" x14ac:dyDescent="0.25">
      <c r="Y11994" s="501"/>
    </row>
    <row r="11995" spans="25:25" hidden="1" x14ac:dyDescent="0.25">
      <c r="Y11995" s="501"/>
    </row>
    <row r="11996" spans="25:25" hidden="1" x14ac:dyDescent="0.25">
      <c r="Y11996" s="501"/>
    </row>
    <row r="11997" spans="25:25" hidden="1" x14ac:dyDescent="0.25">
      <c r="Y11997" s="501"/>
    </row>
    <row r="11998" spans="25:25" hidden="1" x14ac:dyDescent="0.25">
      <c r="Y11998" s="501"/>
    </row>
    <row r="11999" spans="25:25" hidden="1" x14ac:dyDescent="0.25">
      <c r="Y11999" s="501"/>
    </row>
    <row r="12000" spans="25:25" hidden="1" x14ac:dyDescent="0.25">
      <c r="Y12000" s="501"/>
    </row>
    <row r="12001" spans="25:25" hidden="1" x14ac:dyDescent="0.25">
      <c r="Y12001" s="501"/>
    </row>
    <row r="12002" spans="25:25" hidden="1" x14ac:dyDescent="0.25">
      <c r="Y12002" s="501"/>
    </row>
    <row r="12003" spans="25:25" hidden="1" x14ac:dyDescent="0.25">
      <c r="Y12003" s="501"/>
    </row>
    <row r="12004" spans="25:25" hidden="1" x14ac:dyDescent="0.25">
      <c r="Y12004" s="501"/>
    </row>
    <row r="12005" spans="25:25" hidden="1" x14ac:dyDescent="0.25">
      <c r="Y12005" s="501"/>
    </row>
    <row r="12006" spans="25:25" hidden="1" x14ac:dyDescent="0.25">
      <c r="Y12006" s="501"/>
    </row>
    <row r="12007" spans="25:25" hidden="1" x14ac:dyDescent="0.25">
      <c r="Y12007" s="501"/>
    </row>
    <row r="12008" spans="25:25" hidden="1" x14ac:dyDescent="0.25">
      <c r="Y12008" s="501"/>
    </row>
    <row r="12009" spans="25:25" hidden="1" x14ac:dyDescent="0.25">
      <c r="Y12009" s="501"/>
    </row>
    <row r="12010" spans="25:25" hidden="1" x14ac:dyDescent="0.25">
      <c r="Y12010" s="501"/>
    </row>
    <row r="12011" spans="25:25" hidden="1" x14ac:dyDescent="0.25">
      <c r="Y12011" s="501"/>
    </row>
    <row r="12012" spans="25:25" hidden="1" x14ac:dyDescent="0.25">
      <c r="Y12012" s="501"/>
    </row>
    <row r="12013" spans="25:25" hidden="1" x14ac:dyDescent="0.25">
      <c r="Y12013" s="501"/>
    </row>
    <row r="12014" spans="25:25" hidden="1" x14ac:dyDescent="0.25">
      <c r="Y12014" s="501"/>
    </row>
    <row r="12015" spans="25:25" hidden="1" x14ac:dyDescent="0.25">
      <c r="Y12015" s="501"/>
    </row>
    <row r="12016" spans="25:25" hidden="1" x14ac:dyDescent="0.25">
      <c r="Y12016" s="501"/>
    </row>
    <row r="12017" spans="25:25" hidden="1" x14ac:dyDescent="0.25">
      <c r="Y12017" s="501"/>
    </row>
    <row r="12018" spans="25:25" hidden="1" x14ac:dyDescent="0.25">
      <c r="Y12018" s="501"/>
    </row>
    <row r="12019" spans="25:25" hidden="1" x14ac:dyDescent="0.25">
      <c r="Y12019" s="501"/>
    </row>
    <row r="12020" spans="25:25" hidden="1" x14ac:dyDescent="0.25">
      <c r="Y12020" s="501"/>
    </row>
    <row r="12021" spans="25:25" hidden="1" x14ac:dyDescent="0.25">
      <c r="Y12021" s="501"/>
    </row>
    <row r="12022" spans="25:25" hidden="1" x14ac:dyDescent="0.25">
      <c r="Y12022" s="501"/>
    </row>
    <row r="12023" spans="25:25" hidden="1" x14ac:dyDescent="0.25">
      <c r="Y12023" s="501"/>
    </row>
    <row r="12024" spans="25:25" hidden="1" x14ac:dyDescent="0.25">
      <c r="Y12024" s="501"/>
    </row>
    <row r="12025" spans="25:25" hidden="1" x14ac:dyDescent="0.25">
      <c r="Y12025" s="501"/>
    </row>
    <row r="12026" spans="25:25" hidden="1" x14ac:dyDescent="0.25">
      <c r="Y12026" s="501"/>
    </row>
    <row r="12027" spans="25:25" hidden="1" x14ac:dyDescent="0.25">
      <c r="Y12027" s="501"/>
    </row>
    <row r="12028" spans="25:25" hidden="1" x14ac:dyDescent="0.25">
      <c r="Y12028" s="501"/>
    </row>
    <row r="12029" spans="25:25" hidden="1" x14ac:dyDescent="0.25">
      <c r="Y12029" s="501"/>
    </row>
    <row r="12030" spans="25:25" hidden="1" x14ac:dyDescent="0.25">
      <c r="Y12030" s="501"/>
    </row>
    <row r="12031" spans="25:25" hidden="1" x14ac:dyDescent="0.25">
      <c r="Y12031" s="501"/>
    </row>
    <row r="12032" spans="25:25" hidden="1" x14ac:dyDescent="0.25">
      <c r="Y12032" s="501"/>
    </row>
    <row r="12033" spans="25:25" hidden="1" x14ac:dyDescent="0.25">
      <c r="Y12033" s="501"/>
    </row>
    <row r="12034" spans="25:25" hidden="1" x14ac:dyDescent="0.25">
      <c r="Y12034" s="501"/>
    </row>
    <row r="12035" spans="25:25" hidden="1" x14ac:dyDescent="0.25">
      <c r="Y12035" s="501"/>
    </row>
    <row r="12036" spans="25:25" hidden="1" x14ac:dyDescent="0.25">
      <c r="Y12036" s="501"/>
    </row>
    <row r="12037" spans="25:25" hidden="1" x14ac:dyDescent="0.25">
      <c r="Y12037" s="501"/>
    </row>
    <row r="12038" spans="25:25" hidden="1" x14ac:dyDescent="0.25">
      <c r="Y12038" s="501"/>
    </row>
    <row r="12039" spans="25:25" hidden="1" x14ac:dyDescent="0.25">
      <c r="Y12039" s="501"/>
    </row>
    <row r="12040" spans="25:25" hidden="1" x14ac:dyDescent="0.25">
      <c r="Y12040" s="501"/>
    </row>
    <row r="12041" spans="25:25" hidden="1" x14ac:dyDescent="0.25">
      <c r="Y12041" s="501"/>
    </row>
    <row r="12042" spans="25:25" hidden="1" x14ac:dyDescent="0.25">
      <c r="Y12042" s="501"/>
    </row>
    <row r="12043" spans="25:25" hidden="1" x14ac:dyDescent="0.25">
      <c r="Y12043" s="501"/>
    </row>
    <row r="12044" spans="25:25" hidden="1" x14ac:dyDescent="0.25">
      <c r="Y12044" s="501"/>
    </row>
    <row r="12045" spans="25:25" hidden="1" x14ac:dyDescent="0.25">
      <c r="Y12045" s="501"/>
    </row>
    <row r="12046" spans="25:25" hidden="1" x14ac:dyDescent="0.25">
      <c r="Y12046" s="501"/>
    </row>
    <row r="12047" spans="25:25" hidden="1" x14ac:dyDescent="0.25">
      <c r="Y12047" s="501"/>
    </row>
    <row r="12048" spans="25:25" hidden="1" x14ac:dyDescent="0.25">
      <c r="Y12048" s="501"/>
    </row>
    <row r="12049" spans="25:25" hidden="1" x14ac:dyDescent="0.25">
      <c r="Y12049" s="501"/>
    </row>
    <row r="12050" spans="25:25" hidden="1" x14ac:dyDescent="0.25">
      <c r="Y12050" s="501"/>
    </row>
    <row r="12051" spans="25:25" hidden="1" x14ac:dyDescent="0.25">
      <c r="Y12051" s="501"/>
    </row>
    <row r="12052" spans="25:25" hidden="1" x14ac:dyDescent="0.25">
      <c r="Y12052" s="501"/>
    </row>
    <row r="12053" spans="25:25" hidden="1" x14ac:dyDescent="0.25">
      <c r="Y12053" s="501"/>
    </row>
    <row r="12054" spans="25:25" hidden="1" x14ac:dyDescent="0.25">
      <c r="Y12054" s="501"/>
    </row>
    <row r="12055" spans="25:25" hidden="1" x14ac:dyDescent="0.25">
      <c r="Y12055" s="501"/>
    </row>
    <row r="12056" spans="25:25" hidden="1" x14ac:dyDescent="0.25">
      <c r="Y12056" s="501"/>
    </row>
    <row r="12057" spans="25:25" hidden="1" x14ac:dyDescent="0.25">
      <c r="Y12057" s="501"/>
    </row>
    <row r="12058" spans="25:25" hidden="1" x14ac:dyDescent="0.25">
      <c r="Y12058" s="501"/>
    </row>
    <row r="12059" spans="25:25" hidden="1" x14ac:dyDescent="0.25">
      <c r="Y12059" s="501"/>
    </row>
    <row r="12060" spans="25:25" hidden="1" x14ac:dyDescent="0.25">
      <c r="Y12060" s="501"/>
    </row>
    <row r="12061" spans="25:25" hidden="1" x14ac:dyDescent="0.25">
      <c r="Y12061" s="501"/>
    </row>
    <row r="12062" spans="25:25" hidden="1" x14ac:dyDescent="0.25">
      <c r="Y12062" s="501"/>
    </row>
    <row r="12063" spans="25:25" hidden="1" x14ac:dyDescent="0.25">
      <c r="Y12063" s="501"/>
    </row>
    <row r="12064" spans="25:25" hidden="1" x14ac:dyDescent="0.25">
      <c r="Y12064" s="501"/>
    </row>
    <row r="12065" spans="25:25" hidden="1" x14ac:dyDescent="0.25">
      <c r="Y12065" s="501"/>
    </row>
    <row r="12066" spans="25:25" hidden="1" x14ac:dyDescent="0.25">
      <c r="Y12066" s="501"/>
    </row>
    <row r="12067" spans="25:25" hidden="1" x14ac:dyDescent="0.25">
      <c r="Y12067" s="501"/>
    </row>
    <row r="12068" spans="25:25" hidden="1" x14ac:dyDescent="0.25">
      <c r="Y12068" s="501"/>
    </row>
    <row r="12069" spans="25:25" hidden="1" x14ac:dyDescent="0.25">
      <c r="Y12069" s="501"/>
    </row>
    <row r="12070" spans="25:25" hidden="1" x14ac:dyDescent="0.25">
      <c r="Y12070" s="501"/>
    </row>
    <row r="12071" spans="25:25" hidden="1" x14ac:dyDescent="0.25">
      <c r="Y12071" s="501"/>
    </row>
    <row r="12072" spans="25:25" hidden="1" x14ac:dyDescent="0.25">
      <c r="Y12072" s="501"/>
    </row>
    <row r="12073" spans="25:25" hidden="1" x14ac:dyDescent="0.25">
      <c r="Y12073" s="501"/>
    </row>
    <row r="12074" spans="25:25" hidden="1" x14ac:dyDescent="0.25">
      <c r="Y12074" s="501"/>
    </row>
    <row r="12075" spans="25:25" hidden="1" x14ac:dyDescent="0.25">
      <c r="Y12075" s="501"/>
    </row>
    <row r="12076" spans="25:25" hidden="1" x14ac:dyDescent="0.25">
      <c r="Y12076" s="501"/>
    </row>
    <row r="12077" spans="25:25" hidden="1" x14ac:dyDescent="0.25">
      <c r="Y12077" s="501"/>
    </row>
    <row r="12078" spans="25:25" hidden="1" x14ac:dyDescent="0.25">
      <c r="Y12078" s="501"/>
    </row>
    <row r="12079" spans="25:25" hidden="1" x14ac:dyDescent="0.25">
      <c r="Y12079" s="501"/>
    </row>
    <row r="12080" spans="25:25" hidden="1" x14ac:dyDescent="0.25">
      <c r="Y12080" s="501"/>
    </row>
    <row r="12081" spans="25:25" hidden="1" x14ac:dyDescent="0.25">
      <c r="Y12081" s="501"/>
    </row>
    <row r="12082" spans="25:25" hidden="1" x14ac:dyDescent="0.25">
      <c r="Y12082" s="501"/>
    </row>
    <row r="12083" spans="25:25" hidden="1" x14ac:dyDescent="0.25">
      <c r="Y12083" s="501"/>
    </row>
    <row r="12084" spans="25:25" hidden="1" x14ac:dyDescent="0.25">
      <c r="Y12084" s="501"/>
    </row>
    <row r="12085" spans="25:25" hidden="1" x14ac:dyDescent="0.25">
      <c r="Y12085" s="501"/>
    </row>
    <row r="12086" spans="25:25" hidden="1" x14ac:dyDescent="0.25">
      <c r="Y12086" s="501"/>
    </row>
    <row r="12087" spans="25:25" hidden="1" x14ac:dyDescent="0.25">
      <c r="Y12087" s="501"/>
    </row>
    <row r="12088" spans="25:25" hidden="1" x14ac:dyDescent="0.25">
      <c r="Y12088" s="501"/>
    </row>
    <row r="12089" spans="25:25" hidden="1" x14ac:dyDescent="0.25">
      <c r="Y12089" s="501"/>
    </row>
    <row r="12090" spans="25:25" hidden="1" x14ac:dyDescent="0.25">
      <c r="Y12090" s="501"/>
    </row>
    <row r="12091" spans="25:25" hidden="1" x14ac:dyDescent="0.25">
      <c r="Y12091" s="501"/>
    </row>
    <row r="12092" spans="25:25" hidden="1" x14ac:dyDescent="0.25">
      <c r="Y12092" s="501"/>
    </row>
    <row r="12093" spans="25:25" hidden="1" x14ac:dyDescent="0.25">
      <c r="Y12093" s="501"/>
    </row>
    <row r="12094" spans="25:25" hidden="1" x14ac:dyDescent="0.25">
      <c r="Y12094" s="501"/>
    </row>
    <row r="12095" spans="25:25" hidden="1" x14ac:dyDescent="0.25">
      <c r="Y12095" s="501"/>
    </row>
    <row r="12096" spans="25:25" hidden="1" x14ac:dyDescent="0.25">
      <c r="Y12096" s="501"/>
    </row>
    <row r="12097" spans="25:25" hidden="1" x14ac:dyDescent="0.25">
      <c r="Y12097" s="501"/>
    </row>
    <row r="12098" spans="25:25" hidden="1" x14ac:dyDescent="0.25">
      <c r="Y12098" s="501"/>
    </row>
    <row r="12099" spans="25:25" hidden="1" x14ac:dyDescent="0.25">
      <c r="Y12099" s="501"/>
    </row>
    <row r="12100" spans="25:25" hidden="1" x14ac:dyDescent="0.25">
      <c r="Y12100" s="501"/>
    </row>
    <row r="12101" spans="25:25" hidden="1" x14ac:dyDescent="0.25">
      <c r="Y12101" s="501"/>
    </row>
    <row r="12102" spans="25:25" hidden="1" x14ac:dyDescent="0.25">
      <c r="Y12102" s="501"/>
    </row>
    <row r="12103" spans="25:25" hidden="1" x14ac:dyDescent="0.25">
      <c r="Y12103" s="501"/>
    </row>
    <row r="12104" spans="25:25" hidden="1" x14ac:dyDescent="0.25">
      <c r="Y12104" s="501"/>
    </row>
    <row r="12105" spans="25:25" hidden="1" x14ac:dyDescent="0.25">
      <c r="Y12105" s="501"/>
    </row>
    <row r="12106" spans="25:25" hidden="1" x14ac:dyDescent="0.25">
      <c r="Y12106" s="501"/>
    </row>
    <row r="12107" spans="25:25" hidden="1" x14ac:dyDescent="0.25">
      <c r="Y12107" s="501"/>
    </row>
    <row r="12108" spans="25:25" hidden="1" x14ac:dyDescent="0.25">
      <c r="Y12108" s="501"/>
    </row>
    <row r="12109" spans="25:25" hidden="1" x14ac:dyDescent="0.25">
      <c r="Y12109" s="501"/>
    </row>
    <row r="12110" spans="25:25" hidden="1" x14ac:dyDescent="0.25">
      <c r="Y12110" s="501"/>
    </row>
    <row r="12111" spans="25:25" hidden="1" x14ac:dyDescent="0.25">
      <c r="Y12111" s="501"/>
    </row>
    <row r="12112" spans="25:25" hidden="1" x14ac:dyDescent="0.25">
      <c r="Y12112" s="501"/>
    </row>
    <row r="12113" spans="25:25" hidden="1" x14ac:dyDescent="0.25">
      <c r="Y12113" s="501"/>
    </row>
    <row r="12114" spans="25:25" hidden="1" x14ac:dyDescent="0.25">
      <c r="Y12114" s="501"/>
    </row>
    <row r="12115" spans="25:25" hidden="1" x14ac:dyDescent="0.25">
      <c r="Y12115" s="501"/>
    </row>
    <row r="12116" spans="25:25" hidden="1" x14ac:dyDescent="0.25">
      <c r="Y12116" s="501"/>
    </row>
    <row r="12117" spans="25:25" hidden="1" x14ac:dyDescent="0.25">
      <c r="Y12117" s="501"/>
    </row>
    <row r="12118" spans="25:25" hidden="1" x14ac:dyDescent="0.25">
      <c r="Y12118" s="501"/>
    </row>
    <row r="12119" spans="25:25" hidden="1" x14ac:dyDescent="0.25">
      <c r="Y12119" s="501"/>
    </row>
    <row r="12120" spans="25:25" hidden="1" x14ac:dyDescent="0.25">
      <c r="Y12120" s="501"/>
    </row>
    <row r="12121" spans="25:25" hidden="1" x14ac:dyDescent="0.25">
      <c r="Y12121" s="501"/>
    </row>
    <row r="12122" spans="25:25" hidden="1" x14ac:dyDescent="0.25">
      <c r="Y12122" s="501"/>
    </row>
    <row r="12123" spans="25:25" hidden="1" x14ac:dyDescent="0.25">
      <c r="Y12123" s="501"/>
    </row>
    <row r="12124" spans="25:25" hidden="1" x14ac:dyDescent="0.25">
      <c r="Y12124" s="501"/>
    </row>
    <row r="12125" spans="25:25" hidden="1" x14ac:dyDescent="0.25">
      <c r="Y12125" s="501"/>
    </row>
    <row r="12126" spans="25:25" hidden="1" x14ac:dyDescent="0.25">
      <c r="Y12126" s="501"/>
    </row>
    <row r="12127" spans="25:25" hidden="1" x14ac:dyDescent="0.25">
      <c r="Y12127" s="501"/>
    </row>
    <row r="12128" spans="25:25" hidden="1" x14ac:dyDescent="0.25">
      <c r="Y12128" s="501"/>
    </row>
    <row r="12129" spans="25:25" hidden="1" x14ac:dyDescent="0.25">
      <c r="Y12129" s="501"/>
    </row>
    <row r="12130" spans="25:25" hidden="1" x14ac:dyDescent="0.25">
      <c r="Y12130" s="501"/>
    </row>
    <row r="12131" spans="25:25" hidden="1" x14ac:dyDescent="0.25">
      <c r="Y12131" s="501"/>
    </row>
    <row r="12132" spans="25:25" hidden="1" x14ac:dyDescent="0.25">
      <c r="Y12132" s="501"/>
    </row>
    <row r="12133" spans="25:25" hidden="1" x14ac:dyDescent="0.25">
      <c r="Y12133" s="501"/>
    </row>
    <row r="12134" spans="25:25" hidden="1" x14ac:dyDescent="0.25">
      <c r="Y12134" s="501"/>
    </row>
    <row r="12135" spans="25:25" hidden="1" x14ac:dyDescent="0.25">
      <c r="Y12135" s="501"/>
    </row>
    <row r="12136" spans="25:25" hidden="1" x14ac:dyDescent="0.25">
      <c r="Y12136" s="501"/>
    </row>
    <row r="12137" spans="25:25" hidden="1" x14ac:dyDescent="0.25">
      <c r="Y12137" s="501"/>
    </row>
    <row r="12138" spans="25:25" hidden="1" x14ac:dyDescent="0.25">
      <c r="Y12138" s="501"/>
    </row>
    <row r="12139" spans="25:25" hidden="1" x14ac:dyDescent="0.25">
      <c r="Y12139" s="501"/>
    </row>
    <row r="12140" spans="25:25" hidden="1" x14ac:dyDescent="0.25">
      <c r="Y12140" s="501"/>
    </row>
    <row r="12141" spans="25:25" hidden="1" x14ac:dyDescent="0.25">
      <c r="Y12141" s="501"/>
    </row>
    <row r="12142" spans="25:25" hidden="1" x14ac:dyDescent="0.25">
      <c r="Y12142" s="501"/>
    </row>
    <row r="12143" spans="25:25" hidden="1" x14ac:dyDescent="0.25">
      <c r="Y12143" s="501"/>
    </row>
    <row r="12144" spans="25:25" hidden="1" x14ac:dyDescent="0.25">
      <c r="Y12144" s="501"/>
    </row>
    <row r="12145" spans="25:25" hidden="1" x14ac:dyDescent="0.25">
      <c r="Y12145" s="501"/>
    </row>
    <row r="12146" spans="25:25" hidden="1" x14ac:dyDescent="0.25">
      <c r="Y12146" s="501"/>
    </row>
    <row r="12147" spans="25:25" hidden="1" x14ac:dyDescent="0.25">
      <c r="Y12147" s="501"/>
    </row>
    <row r="12148" spans="25:25" hidden="1" x14ac:dyDescent="0.25">
      <c r="Y12148" s="501"/>
    </row>
    <row r="12149" spans="25:25" hidden="1" x14ac:dyDescent="0.25">
      <c r="Y12149" s="501"/>
    </row>
    <row r="12150" spans="25:25" hidden="1" x14ac:dyDescent="0.25">
      <c r="Y12150" s="501"/>
    </row>
    <row r="12151" spans="25:25" hidden="1" x14ac:dyDescent="0.25">
      <c r="Y12151" s="501"/>
    </row>
    <row r="12152" spans="25:25" hidden="1" x14ac:dyDescent="0.25">
      <c r="Y12152" s="501"/>
    </row>
    <row r="12153" spans="25:25" hidden="1" x14ac:dyDescent="0.25">
      <c r="Y12153" s="501"/>
    </row>
    <row r="12154" spans="25:25" hidden="1" x14ac:dyDescent="0.25">
      <c r="Y12154" s="501"/>
    </row>
    <row r="12155" spans="25:25" hidden="1" x14ac:dyDescent="0.25">
      <c r="Y12155" s="501"/>
    </row>
    <row r="12156" spans="25:25" hidden="1" x14ac:dyDescent="0.25">
      <c r="Y12156" s="501"/>
    </row>
    <row r="12157" spans="25:25" hidden="1" x14ac:dyDescent="0.25">
      <c r="Y12157" s="501"/>
    </row>
    <row r="12158" spans="25:25" hidden="1" x14ac:dyDescent="0.25">
      <c r="Y12158" s="501"/>
    </row>
    <row r="12159" spans="25:25" hidden="1" x14ac:dyDescent="0.25">
      <c r="Y12159" s="501"/>
    </row>
    <row r="12160" spans="25:25" hidden="1" x14ac:dyDescent="0.25">
      <c r="Y12160" s="501"/>
    </row>
    <row r="12161" spans="25:25" hidden="1" x14ac:dyDescent="0.25">
      <c r="Y12161" s="501"/>
    </row>
    <row r="12162" spans="25:25" hidden="1" x14ac:dyDescent="0.25">
      <c r="Y12162" s="501"/>
    </row>
    <row r="12163" spans="25:25" hidden="1" x14ac:dyDescent="0.25">
      <c r="Y12163" s="501"/>
    </row>
    <row r="12164" spans="25:25" hidden="1" x14ac:dyDescent="0.25">
      <c r="Y12164" s="501"/>
    </row>
    <row r="12165" spans="25:25" hidden="1" x14ac:dyDescent="0.25">
      <c r="Y12165" s="501"/>
    </row>
    <row r="12166" spans="25:25" hidden="1" x14ac:dyDescent="0.25">
      <c r="Y12166" s="501"/>
    </row>
    <row r="12167" spans="25:25" hidden="1" x14ac:dyDescent="0.25">
      <c r="Y12167" s="501"/>
    </row>
    <row r="12168" spans="25:25" hidden="1" x14ac:dyDescent="0.25">
      <c r="Y12168" s="501"/>
    </row>
    <row r="12169" spans="25:25" hidden="1" x14ac:dyDescent="0.25">
      <c r="Y12169" s="501"/>
    </row>
    <row r="12170" spans="25:25" hidden="1" x14ac:dyDescent="0.25">
      <c r="Y12170" s="501"/>
    </row>
    <row r="12171" spans="25:25" hidden="1" x14ac:dyDescent="0.25">
      <c r="Y12171" s="501"/>
    </row>
    <row r="12172" spans="25:25" hidden="1" x14ac:dyDescent="0.25">
      <c r="Y12172" s="501"/>
    </row>
    <row r="12173" spans="25:25" hidden="1" x14ac:dyDescent="0.25">
      <c r="Y12173" s="501"/>
    </row>
    <row r="12174" spans="25:25" hidden="1" x14ac:dyDescent="0.25">
      <c r="Y12174" s="501"/>
    </row>
    <row r="12175" spans="25:25" hidden="1" x14ac:dyDescent="0.25">
      <c r="Y12175" s="501"/>
    </row>
    <row r="12176" spans="25:25" hidden="1" x14ac:dyDescent="0.25">
      <c r="Y12176" s="501"/>
    </row>
    <row r="12177" spans="25:25" hidden="1" x14ac:dyDescent="0.25">
      <c r="Y12177" s="501"/>
    </row>
    <row r="12178" spans="25:25" hidden="1" x14ac:dyDescent="0.25">
      <c r="Y12178" s="501"/>
    </row>
    <row r="12179" spans="25:25" hidden="1" x14ac:dyDescent="0.25">
      <c r="Y12179" s="501"/>
    </row>
    <row r="12180" spans="25:25" hidden="1" x14ac:dyDescent="0.25">
      <c r="Y12180" s="501"/>
    </row>
    <row r="12181" spans="25:25" hidden="1" x14ac:dyDescent="0.25">
      <c r="Y12181" s="501"/>
    </row>
    <row r="12182" spans="25:25" hidden="1" x14ac:dyDescent="0.25">
      <c r="Y12182" s="501"/>
    </row>
    <row r="12183" spans="25:25" hidden="1" x14ac:dyDescent="0.25">
      <c r="Y12183" s="501"/>
    </row>
    <row r="12184" spans="25:25" hidden="1" x14ac:dyDescent="0.25">
      <c r="Y12184" s="501"/>
    </row>
    <row r="12185" spans="25:25" hidden="1" x14ac:dyDescent="0.25">
      <c r="Y12185" s="501"/>
    </row>
    <row r="12186" spans="25:25" hidden="1" x14ac:dyDescent="0.25">
      <c r="Y12186" s="501"/>
    </row>
    <row r="12187" spans="25:25" hidden="1" x14ac:dyDescent="0.25">
      <c r="Y12187" s="501"/>
    </row>
    <row r="12188" spans="25:25" hidden="1" x14ac:dyDescent="0.25">
      <c r="Y12188" s="501"/>
    </row>
    <row r="12189" spans="25:25" hidden="1" x14ac:dyDescent="0.25">
      <c r="Y12189" s="501"/>
    </row>
    <row r="12190" spans="25:25" hidden="1" x14ac:dyDescent="0.25">
      <c r="Y12190" s="501"/>
    </row>
    <row r="12191" spans="25:25" hidden="1" x14ac:dyDescent="0.25">
      <c r="Y12191" s="501"/>
    </row>
    <row r="12192" spans="25:25" hidden="1" x14ac:dyDescent="0.25">
      <c r="Y12192" s="501"/>
    </row>
    <row r="12193" spans="25:25" hidden="1" x14ac:dyDescent="0.25">
      <c r="Y12193" s="501"/>
    </row>
    <row r="12194" spans="25:25" hidden="1" x14ac:dyDescent="0.25">
      <c r="Y12194" s="501"/>
    </row>
    <row r="12195" spans="25:25" hidden="1" x14ac:dyDescent="0.25">
      <c r="Y12195" s="501"/>
    </row>
    <row r="12196" spans="25:25" hidden="1" x14ac:dyDescent="0.25">
      <c r="Y12196" s="501"/>
    </row>
    <row r="12197" spans="25:25" hidden="1" x14ac:dyDescent="0.25">
      <c r="Y12197" s="501"/>
    </row>
    <row r="12198" spans="25:25" hidden="1" x14ac:dyDescent="0.25">
      <c r="Y12198" s="501"/>
    </row>
    <row r="12199" spans="25:25" hidden="1" x14ac:dyDescent="0.25">
      <c r="Y12199" s="501"/>
    </row>
    <row r="12200" spans="25:25" hidden="1" x14ac:dyDescent="0.25">
      <c r="Y12200" s="501"/>
    </row>
    <row r="12201" spans="25:25" hidden="1" x14ac:dyDescent="0.25">
      <c r="Y12201" s="501"/>
    </row>
    <row r="12202" spans="25:25" hidden="1" x14ac:dyDescent="0.25">
      <c r="Y12202" s="501"/>
    </row>
    <row r="12203" spans="25:25" hidden="1" x14ac:dyDescent="0.25">
      <c r="Y12203" s="501"/>
    </row>
    <row r="12204" spans="25:25" hidden="1" x14ac:dyDescent="0.25">
      <c r="Y12204" s="501"/>
    </row>
    <row r="12205" spans="25:25" hidden="1" x14ac:dyDescent="0.25">
      <c r="Y12205" s="501"/>
    </row>
    <row r="12206" spans="25:25" hidden="1" x14ac:dyDescent="0.25">
      <c r="Y12206" s="501"/>
    </row>
    <row r="12207" spans="25:25" hidden="1" x14ac:dyDescent="0.25">
      <c r="Y12207" s="501"/>
    </row>
    <row r="12208" spans="25:25" hidden="1" x14ac:dyDescent="0.25">
      <c r="Y12208" s="501"/>
    </row>
    <row r="12209" spans="25:25" hidden="1" x14ac:dyDescent="0.25">
      <c r="Y12209" s="501"/>
    </row>
    <row r="12210" spans="25:25" hidden="1" x14ac:dyDescent="0.25">
      <c r="Y12210" s="501"/>
    </row>
    <row r="12211" spans="25:25" hidden="1" x14ac:dyDescent="0.25">
      <c r="Y12211" s="501"/>
    </row>
    <row r="12212" spans="25:25" hidden="1" x14ac:dyDescent="0.25">
      <c r="Y12212" s="501"/>
    </row>
    <row r="12213" spans="25:25" hidden="1" x14ac:dyDescent="0.25">
      <c r="Y12213" s="501"/>
    </row>
    <row r="12214" spans="25:25" hidden="1" x14ac:dyDescent="0.25">
      <c r="Y12214" s="501"/>
    </row>
    <row r="12215" spans="25:25" hidden="1" x14ac:dyDescent="0.25">
      <c r="Y12215" s="501"/>
    </row>
    <row r="12216" spans="25:25" hidden="1" x14ac:dyDescent="0.25">
      <c r="Y12216" s="501"/>
    </row>
    <row r="12217" spans="25:25" hidden="1" x14ac:dyDescent="0.25">
      <c r="Y12217" s="501"/>
    </row>
    <row r="12218" spans="25:25" hidden="1" x14ac:dyDescent="0.25">
      <c r="Y12218" s="501"/>
    </row>
    <row r="12219" spans="25:25" hidden="1" x14ac:dyDescent="0.25">
      <c r="Y12219" s="501"/>
    </row>
    <row r="12220" spans="25:25" hidden="1" x14ac:dyDescent="0.25">
      <c r="Y12220" s="501"/>
    </row>
    <row r="12221" spans="25:25" hidden="1" x14ac:dyDescent="0.25">
      <c r="Y12221" s="501"/>
    </row>
    <row r="12222" spans="25:25" hidden="1" x14ac:dyDescent="0.25">
      <c r="Y12222" s="501"/>
    </row>
    <row r="12223" spans="25:25" hidden="1" x14ac:dyDescent="0.25">
      <c r="Y12223" s="501"/>
    </row>
    <row r="12224" spans="25:25" hidden="1" x14ac:dyDescent="0.25">
      <c r="Y12224" s="501"/>
    </row>
    <row r="12225" spans="25:25" hidden="1" x14ac:dyDescent="0.25">
      <c r="Y12225" s="501"/>
    </row>
    <row r="12226" spans="25:25" hidden="1" x14ac:dyDescent="0.25">
      <c r="Y12226" s="501"/>
    </row>
    <row r="12227" spans="25:25" hidden="1" x14ac:dyDescent="0.25">
      <c r="Y12227" s="501"/>
    </row>
    <row r="12228" spans="25:25" hidden="1" x14ac:dyDescent="0.25">
      <c r="Y12228" s="501"/>
    </row>
    <row r="12229" spans="25:25" hidden="1" x14ac:dyDescent="0.25">
      <c r="Y12229" s="501"/>
    </row>
    <row r="12230" spans="25:25" hidden="1" x14ac:dyDescent="0.25">
      <c r="Y12230" s="501"/>
    </row>
    <row r="12231" spans="25:25" hidden="1" x14ac:dyDescent="0.25">
      <c r="Y12231" s="501"/>
    </row>
    <row r="12232" spans="25:25" hidden="1" x14ac:dyDescent="0.25">
      <c r="Y12232" s="501"/>
    </row>
    <row r="12233" spans="25:25" hidden="1" x14ac:dyDescent="0.25">
      <c r="Y12233" s="501"/>
    </row>
    <row r="12234" spans="25:25" hidden="1" x14ac:dyDescent="0.25">
      <c r="Y12234" s="501"/>
    </row>
    <row r="12235" spans="25:25" hidden="1" x14ac:dyDescent="0.25">
      <c r="Y12235" s="501"/>
    </row>
    <row r="12236" spans="25:25" hidden="1" x14ac:dyDescent="0.25">
      <c r="Y12236" s="501"/>
    </row>
    <row r="12237" spans="25:25" hidden="1" x14ac:dyDescent="0.25">
      <c r="Y12237" s="501"/>
    </row>
    <row r="12238" spans="25:25" hidden="1" x14ac:dyDescent="0.25">
      <c r="Y12238" s="501"/>
    </row>
    <row r="12239" spans="25:25" hidden="1" x14ac:dyDescent="0.25">
      <c r="Y12239" s="501"/>
    </row>
    <row r="12240" spans="25:25" hidden="1" x14ac:dyDescent="0.25">
      <c r="Y12240" s="501"/>
    </row>
    <row r="12241" spans="25:25" hidden="1" x14ac:dyDescent="0.25">
      <c r="Y12241" s="501"/>
    </row>
    <row r="12242" spans="25:25" hidden="1" x14ac:dyDescent="0.25">
      <c r="Y12242" s="501"/>
    </row>
    <row r="12243" spans="25:25" hidden="1" x14ac:dyDescent="0.25">
      <c r="Y12243" s="501"/>
    </row>
    <row r="12244" spans="25:25" hidden="1" x14ac:dyDescent="0.25">
      <c r="Y12244" s="501"/>
    </row>
    <row r="12245" spans="25:25" hidden="1" x14ac:dyDescent="0.25">
      <c r="Y12245" s="501"/>
    </row>
    <row r="12246" spans="25:25" hidden="1" x14ac:dyDescent="0.25">
      <c r="Y12246" s="501"/>
    </row>
    <row r="12247" spans="25:25" hidden="1" x14ac:dyDescent="0.25">
      <c r="Y12247" s="501"/>
    </row>
    <row r="12248" spans="25:25" hidden="1" x14ac:dyDescent="0.25">
      <c r="Y12248" s="501"/>
    </row>
    <row r="12249" spans="25:25" hidden="1" x14ac:dyDescent="0.25">
      <c r="Y12249" s="501"/>
    </row>
    <row r="12250" spans="25:25" hidden="1" x14ac:dyDescent="0.25">
      <c r="Y12250" s="501"/>
    </row>
    <row r="12251" spans="25:25" hidden="1" x14ac:dyDescent="0.25">
      <c r="Y12251" s="501"/>
    </row>
    <row r="12252" spans="25:25" hidden="1" x14ac:dyDescent="0.25">
      <c r="Y12252" s="501"/>
    </row>
    <row r="12253" spans="25:25" hidden="1" x14ac:dyDescent="0.25">
      <c r="Y12253" s="501"/>
    </row>
    <row r="12254" spans="25:25" hidden="1" x14ac:dyDescent="0.25">
      <c r="Y12254" s="501"/>
    </row>
    <row r="12255" spans="25:25" hidden="1" x14ac:dyDescent="0.25">
      <c r="Y12255" s="501"/>
    </row>
    <row r="12256" spans="25:25" hidden="1" x14ac:dyDescent="0.25">
      <c r="Y12256" s="501"/>
    </row>
    <row r="12257" spans="25:25" hidden="1" x14ac:dyDescent="0.25">
      <c r="Y12257" s="501"/>
    </row>
    <row r="12258" spans="25:25" hidden="1" x14ac:dyDescent="0.25">
      <c r="Y12258" s="501"/>
    </row>
    <row r="12259" spans="25:25" hidden="1" x14ac:dyDescent="0.25">
      <c r="Y12259" s="501"/>
    </row>
    <row r="12260" spans="25:25" hidden="1" x14ac:dyDescent="0.25">
      <c r="Y12260" s="501"/>
    </row>
    <row r="12261" spans="25:25" hidden="1" x14ac:dyDescent="0.25">
      <c r="Y12261" s="501"/>
    </row>
    <row r="12262" spans="25:25" hidden="1" x14ac:dyDescent="0.25">
      <c r="Y12262" s="501"/>
    </row>
    <row r="12263" spans="25:25" hidden="1" x14ac:dyDescent="0.25">
      <c r="Y12263" s="501"/>
    </row>
    <row r="12264" spans="25:25" hidden="1" x14ac:dyDescent="0.25">
      <c r="Y12264" s="501"/>
    </row>
    <row r="12265" spans="25:25" hidden="1" x14ac:dyDescent="0.25">
      <c r="Y12265" s="501"/>
    </row>
    <row r="12266" spans="25:25" hidden="1" x14ac:dyDescent="0.25">
      <c r="Y12266" s="501"/>
    </row>
    <row r="12267" spans="25:25" hidden="1" x14ac:dyDescent="0.25">
      <c r="Y12267" s="501"/>
    </row>
    <row r="12268" spans="25:25" hidden="1" x14ac:dyDescent="0.25">
      <c r="Y12268" s="501"/>
    </row>
    <row r="12269" spans="25:25" hidden="1" x14ac:dyDescent="0.25">
      <c r="Y12269" s="501"/>
    </row>
    <row r="12270" spans="25:25" hidden="1" x14ac:dyDescent="0.25">
      <c r="Y12270" s="501"/>
    </row>
    <row r="12271" spans="25:25" hidden="1" x14ac:dyDescent="0.25">
      <c r="Y12271" s="501"/>
    </row>
    <row r="12272" spans="25:25" hidden="1" x14ac:dyDescent="0.25">
      <c r="Y12272" s="501"/>
    </row>
    <row r="12273" spans="25:25" hidden="1" x14ac:dyDescent="0.25">
      <c r="Y12273" s="501"/>
    </row>
    <row r="12274" spans="25:25" hidden="1" x14ac:dyDescent="0.25">
      <c r="Y12274" s="501"/>
    </row>
    <row r="12275" spans="25:25" hidden="1" x14ac:dyDescent="0.25">
      <c r="Y12275" s="501"/>
    </row>
    <row r="12276" spans="25:25" hidden="1" x14ac:dyDescent="0.25">
      <c r="Y12276" s="501"/>
    </row>
    <row r="12277" spans="25:25" hidden="1" x14ac:dyDescent="0.25">
      <c r="Y12277" s="501"/>
    </row>
    <row r="12278" spans="25:25" hidden="1" x14ac:dyDescent="0.25">
      <c r="Y12278" s="501"/>
    </row>
    <row r="12279" spans="25:25" hidden="1" x14ac:dyDescent="0.25">
      <c r="Y12279" s="501"/>
    </row>
    <row r="12280" spans="25:25" hidden="1" x14ac:dyDescent="0.25">
      <c r="Y12280" s="501"/>
    </row>
    <row r="12281" spans="25:25" hidden="1" x14ac:dyDescent="0.25">
      <c r="Y12281" s="501"/>
    </row>
    <row r="12282" spans="25:25" hidden="1" x14ac:dyDescent="0.25">
      <c r="Y12282" s="501"/>
    </row>
    <row r="12283" spans="25:25" hidden="1" x14ac:dyDescent="0.25">
      <c r="Y12283" s="501"/>
    </row>
    <row r="12284" spans="25:25" hidden="1" x14ac:dyDescent="0.25">
      <c r="Y12284" s="501"/>
    </row>
    <row r="12285" spans="25:25" hidden="1" x14ac:dyDescent="0.25">
      <c r="Y12285" s="501"/>
    </row>
    <row r="12286" spans="25:25" hidden="1" x14ac:dyDescent="0.25">
      <c r="Y12286" s="501"/>
    </row>
    <row r="12287" spans="25:25" hidden="1" x14ac:dyDescent="0.25">
      <c r="Y12287" s="501"/>
    </row>
    <row r="12288" spans="25:25" hidden="1" x14ac:dyDescent="0.25">
      <c r="Y12288" s="501"/>
    </row>
    <row r="12289" spans="25:25" hidden="1" x14ac:dyDescent="0.25">
      <c r="Y12289" s="501"/>
    </row>
    <row r="12290" spans="25:25" hidden="1" x14ac:dyDescent="0.25">
      <c r="Y12290" s="501"/>
    </row>
    <row r="12291" spans="25:25" hidden="1" x14ac:dyDescent="0.25">
      <c r="Y12291" s="501"/>
    </row>
    <row r="12292" spans="25:25" hidden="1" x14ac:dyDescent="0.25">
      <c r="Y12292" s="501"/>
    </row>
    <row r="12293" spans="25:25" hidden="1" x14ac:dyDescent="0.25">
      <c r="Y12293" s="501"/>
    </row>
    <row r="12294" spans="25:25" hidden="1" x14ac:dyDescent="0.25">
      <c r="Y12294" s="501"/>
    </row>
    <row r="12295" spans="25:25" hidden="1" x14ac:dyDescent="0.25">
      <c r="Y12295" s="501"/>
    </row>
    <row r="12296" spans="25:25" hidden="1" x14ac:dyDescent="0.25">
      <c r="Y12296" s="501"/>
    </row>
    <row r="12297" spans="25:25" hidden="1" x14ac:dyDescent="0.25">
      <c r="Y12297" s="501"/>
    </row>
    <row r="12298" spans="25:25" hidden="1" x14ac:dyDescent="0.25">
      <c r="Y12298" s="501"/>
    </row>
    <row r="12299" spans="25:25" hidden="1" x14ac:dyDescent="0.25">
      <c r="Y12299" s="501"/>
    </row>
    <row r="12300" spans="25:25" hidden="1" x14ac:dyDescent="0.25">
      <c r="Y12300" s="501"/>
    </row>
    <row r="12301" spans="25:25" hidden="1" x14ac:dyDescent="0.25">
      <c r="Y12301" s="501"/>
    </row>
    <row r="12302" spans="25:25" hidden="1" x14ac:dyDescent="0.25">
      <c r="Y12302" s="501"/>
    </row>
    <row r="12303" spans="25:25" hidden="1" x14ac:dyDescent="0.25">
      <c r="Y12303" s="501"/>
    </row>
    <row r="12304" spans="25:25" hidden="1" x14ac:dyDescent="0.25">
      <c r="Y12304" s="501"/>
    </row>
    <row r="12305" spans="25:25" hidden="1" x14ac:dyDescent="0.25">
      <c r="Y12305" s="501"/>
    </row>
    <row r="12306" spans="25:25" hidden="1" x14ac:dyDescent="0.25">
      <c r="Y12306" s="501"/>
    </row>
    <row r="12307" spans="25:25" hidden="1" x14ac:dyDescent="0.25">
      <c r="Y12307" s="501"/>
    </row>
    <row r="12308" spans="25:25" hidden="1" x14ac:dyDescent="0.25">
      <c r="Y12308" s="501"/>
    </row>
    <row r="12309" spans="25:25" hidden="1" x14ac:dyDescent="0.25">
      <c r="Y12309" s="501"/>
    </row>
    <row r="12310" spans="25:25" hidden="1" x14ac:dyDescent="0.25">
      <c r="Y12310" s="501"/>
    </row>
    <row r="12311" spans="25:25" hidden="1" x14ac:dyDescent="0.25">
      <c r="Y12311" s="501"/>
    </row>
    <row r="12312" spans="25:25" hidden="1" x14ac:dyDescent="0.25">
      <c r="Y12312" s="501"/>
    </row>
    <row r="12313" spans="25:25" hidden="1" x14ac:dyDescent="0.25">
      <c r="Y12313" s="501"/>
    </row>
    <row r="12314" spans="25:25" hidden="1" x14ac:dyDescent="0.25">
      <c r="Y12314" s="501"/>
    </row>
    <row r="12315" spans="25:25" hidden="1" x14ac:dyDescent="0.25">
      <c r="Y12315" s="501"/>
    </row>
    <row r="12316" spans="25:25" hidden="1" x14ac:dyDescent="0.25">
      <c r="Y12316" s="501"/>
    </row>
    <row r="12317" spans="25:25" hidden="1" x14ac:dyDescent="0.25">
      <c r="Y12317" s="501"/>
    </row>
    <row r="12318" spans="25:25" hidden="1" x14ac:dyDescent="0.25">
      <c r="Y12318" s="501"/>
    </row>
    <row r="12319" spans="25:25" hidden="1" x14ac:dyDescent="0.25">
      <c r="Y12319" s="501"/>
    </row>
    <row r="12320" spans="25:25" hidden="1" x14ac:dyDescent="0.25">
      <c r="Y12320" s="501"/>
    </row>
    <row r="12321" spans="25:25" hidden="1" x14ac:dyDescent="0.25">
      <c r="Y12321" s="501"/>
    </row>
    <row r="12322" spans="25:25" hidden="1" x14ac:dyDescent="0.25">
      <c r="Y12322" s="501"/>
    </row>
    <row r="12323" spans="25:25" hidden="1" x14ac:dyDescent="0.25">
      <c r="Y12323" s="501"/>
    </row>
    <row r="12324" spans="25:25" hidden="1" x14ac:dyDescent="0.25">
      <c r="Y12324" s="501"/>
    </row>
    <row r="12325" spans="25:25" hidden="1" x14ac:dyDescent="0.25">
      <c r="Y12325" s="501"/>
    </row>
    <row r="12326" spans="25:25" hidden="1" x14ac:dyDescent="0.25">
      <c r="Y12326" s="501"/>
    </row>
    <row r="12327" spans="25:25" hidden="1" x14ac:dyDescent="0.25">
      <c r="Y12327" s="501"/>
    </row>
    <row r="12328" spans="25:25" hidden="1" x14ac:dyDescent="0.25">
      <c r="Y12328" s="501"/>
    </row>
    <row r="12329" spans="25:25" hidden="1" x14ac:dyDescent="0.25">
      <c r="Y12329" s="501"/>
    </row>
    <row r="12330" spans="25:25" hidden="1" x14ac:dyDescent="0.25">
      <c r="Y12330" s="501"/>
    </row>
    <row r="12331" spans="25:25" hidden="1" x14ac:dyDescent="0.25">
      <c r="Y12331" s="501"/>
    </row>
    <row r="12332" spans="25:25" hidden="1" x14ac:dyDescent="0.25">
      <c r="Y12332" s="501"/>
    </row>
    <row r="12333" spans="25:25" hidden="1" x14ac:dyDescent="0.25">
      <c r="Y12333" s="501"/>
    </row>
    <row r="12334" spans="25:25" hidden="1" x14ac:dyDescent="0.25">
      <c r="Y12334" s="501"/>
    </row>
    <row r="12335" spans="25:25" hidden="1" x14ac:dyDescent="0.25">
      <c r="Y12335" s="501"/>
    </row>
    <row r="12336" spans="25:25" hidden="1" x14ac:dyDescent="0.25">
      <c r="Y12336" s="501"/>
    </row>
    <row r="12337" spans="25:25" hidden="1" x14ac:dyDescent="0.25">
      <c r="Y12337" s="501"/>
    </row>
    <row r="12338" spans="25:25" hidden="1" x14ac:dyDescent="0.25">
      <c r="Y12338" s="501"/>
    </row>
    <row r="12339" spans="25:25" hidden="1" x14ac:dyDescent="0.25">
      <c r="Y12339" s="501"/>
    </row>
    <row r="12340" spans="25:25" hidden="1" x14ac:dyDescent="0.25">
      <c r="Y12340" s="501"/>
    </row>
    <row r="12341" spans="25:25" hidden="1" x14ac:dyDescent="0.25">
      <c r="Y12341" s="501"/>
    </row>
    <row r="12342" spans="25:25" hidden="1" x14ac:dyDescent="0.25">
      <c r="Y12342" s="501"/>
    </row>
    <row r="12343" spans="25:25" hidden="1" x14ac:dyDescent="0.25">
      <c r="Y12343" s="501"/>
    </row>
    <row r="12344" spans="25:25" hidden="1" x14ac:dyDescent="0.25">
      <c r="Y12344" s="501"/>
    </row>
    <row r="12345" spans="25:25" hidden="1" x14ac:dyDescent="0.25">
      <c r="Y12345" s="501"/>
    </row>
    <row r="12346" spans="25:25" hidden="1" x14ac:dyDescent="0.25">
      <c r="Y12346" s="501"/>
    </row>
    <row r="12347" spans="25:25" hidden="1" x14ac:dyDescent="0.25">
      <c r="Y12347" s="501"/>
    </row>
    <row r="12348" spans="25:25" hidden="1" x14ac:dyDescent="0.25">
      <c r="Y12348" s="501"/>
    </row>
    <row r="12349" spans="25:25" hidden="1" x14ac:dyDescent="0.25">
      <c r="Y12349" s="501"/>
    </row>
    <row r="12350" spans="25:25" hidden="1" x14ac:dyDescent="0.25">
      <c r="Y12350" s="501"/>
    </row>
    <row r="12351" spans="25:25" hidden="1" x14ac:dyDescent="0.25">
      <c r="Y12351" s="501"/>
    </row>
    <row r="12352" spans="25:25" hidden="1" x14ac:dyDescent="0.25">
      <c r="Y12352" s="501"/>
    </row>
    <row r="12353" spans="25:25" hidden="1" x14ac:dyDescent="0.25">
      <c r="Y12353" s="501"/>
    </row>
    <row r="12354" spans="25:25" hidden="1" x14ac:dyDescent="0.25">
      <c r="Y12354" s="501"/>
    </row>
    <row r="12355" spans="25:25" hidden="1" x14ac:dyDescent="0.25">
      <c r="Y12355" s="501"/>
    </row>
    <row r="12356" spans="25:25" hidden="1" x14ac:dyDescent="0.25">
      <c r="Y12356" s="501"/>
    </row>
    <row r="12357" spans="25:25" hidden="1" x14ac:dyDescent="0.25">
      <c r="Y12357" s="501"/>
    </row>
    <row r="12358" spans="25:25" hidden="1" x14ac:dyDescent="0.25">
      <c r="Y12358" s="501"/>
    </row>
    <row r="12359" spans="25:25" hidden="1" x14ac:dyDescent="0.25">
      <c r="Y12359" s="501"/>
    </row>
    <row r="12360" spans="25:25" hidden="1" x14ac:dyDescent="0.25">
      <c r="Y12360" s="501"/>
    </row>
    <row r="12361" spans="25:25" hidden="1" x14ac:dyDescent="0.25">
      <c r="Y12361" s="501"/>
    </row>
    <row r="12362" spans="25:25" hidden="1" x14ac:dyDescent="0.25">
      <c r="Y12362" s="501"/>
    </row>
    <row r="12363" spans="25:25" hidden="1" x14ac:dyDescent="0.25">
      <c r="Y12363" s="501"/>
    </row>
    <row r="12364" spans="25:25" hidden="1" x14ac:dyDescent="0.25">
      <c r="Y12364" s="501"/>
    </row>
    <row r="12365" spans="25:25" hidden="1" x14ac:dyDescent="0.25">
      <c r="Y12365" s="501"/>
    </row>
    <row r="12366" spans="25:25" hidden="1" x14ac:dyDescent="0.25">
      <c r="Y12366" s="501"/>
    </row>
    <row r="12367" spans="25:25" hidden="1" x14ac:dyDescent="0.25">
      <c r="Y12367" s="501"/>
    </row>
    <row r="12368" spans="25:25" hidden="1" x14ac:dyDescent="0.25">
      <c r="Y12368" s="501"/>
    </row>
    <row r="12369" spans="25:25" hidden="1" x14ac:dyDescent="0.25">
      <c r="Y12369" s="501"/>
    </row>
    <row r="12370" spans="25:25" hidden="1" x14ac:dyDescent="0.25">
      <c r="Y12370" s="501"/>
    </row>
    <row r="12371" spans="25:25" hidden="1" x14ac:dyDescent="0.25">
      <c r="Y12371" s="501"/>
    </row>
    <row r="12372" spans="25:25" hidden="1" x14ac:dyDescent="0.25">
      <c r="Y12372" s="501"/>
    </row>
    <row r="12373" spans="25:25" hidden="1" x14ac:dyDescent="0.25">
      <c r="Y12373" s="501"/>
    </row>
    <row r="12374" spans="25:25" hidden="1" x14ac:dyDescent="0.25">
      <c r="Y12374" s="501"/>
    </row>
    <row r="12375" spans="25:25" hidden="1" x14ac:dyDescent="0.25">
      <c r="Y12375" s="501"/>
    </row>
    <row r="12376" spans="25:25" hidden="1" x14ac:dyDescent="0.25">
      <c r="Y12376" s="501"/>
    </row>
    <row r="12377" spans="25:25" hidden="1" x14ac:dyDescent="0.25">
      <c r="Y12377" s="501"/>
    </row>
    <row r="12378" spans="25:25" hidden="1" x14ac:dyDescent="0.25">
      <c r="Y12378" s="501"/>
    </row>
    <row r="12379" spans="25:25" hidden="1" x14ac:dyDescent="0.25">
      <c r="Y12379" s="501"/>
    </row>
    <row r="12380" spans="25:25" hidden="1" x14ac:dyDescent="0.25">
      <c r="Y12380" s="501"/>
    </row>
    <row r="12381" spans="25:25" hidden="1" x14ac:dyDescent="0.25">
      <c r="Y12381" s="501"/>
    </row>
    <row r="12382" spans="25:25" hidden="1" x14ac:dyDescent="0.25">
      <c r="Y12382" s="501"/>
    </row>
    <row r="12383" spans="25:25" hidden="1" x14ac:dyDescent="0.25">
      <c r="Y12383" s="501"/>
    </row>
    <row r="12384" spans="25:25" hidden="1" x14ac:dyDescent="0.25">
      <c r="Y12384" s="501"/>
    </row>
    <row r="12385" spans="25:25" hidden="1" x14ac:dyDescent="0.25">
      <c r="Y12385" s="501"/>
    </row>
    <row r="12386" spans="25:25" hidden="1" x14ac:dyDescent="0.25">
      <c r="Y12386" s="501"/>
    </row>
    <row r="12387" spans="25:25" hidden="1" x14ac:dyDescent="0.25">
      <c r="Y12387" s="501"/>
    </row>
    <row r="12388" spans="25:25" hidden="1" x14ac:dyDescent="0.25">
      <c r="Y12388" s="501"/>
    </row>
    <row r="12389" spans="25:25" hidden="1" x14ac:dyDescent="0.25">
      <c r="Y12389" s="501"/>
    </row>
    <row r="12390" spans="25:25" hidden="1" x14ac:dyDescent="0.25">
      <c r="Y12390" s="501"/>
    </row>
    <row r="12391" spans="25:25" hidden="1" x14ac:dyDescent="0.25">
      <c r="Y12391" s="501"/>
    </row>
    <row r="12392" spans="25:25" hidden="1" x14ac:dyDescent="0.25">
      <c r="Y12392" s="501"/>
    </row>
    <row r="12393" spans="25:25" hidden="1" x14ac:dyDescent="0.25">
      <c r="Y12393" s="501"/>
    </row>
    <row r="12394" spans="25:25" hidden="1" x14ac:dyDescent="0.25">
      <c r="Y12394" s="501"/>
    </row>
    <row r="12395" spans="25:25" hidden="1" x14ac:dyDescent="0.25">
      <c r="Y12395" s="501"/>
    </row>
    <row r="12396" spans="25:25" hidden="1" x14ac:dyDescent="0.25">
      <c r="Y12396" s="501"/>
    </row>
    <row r="12397" spans="25:25" hidden="1" x14ac:dyDescent="0.25">
      <c r="Y12397" s="501"/>
    </row>
    <row r="12398" spans="25:25" hidden="1" x14ac:dyDescent="0.25">
      <c r="Y12398" s="501"/>
    </row>
    <row r="12399" spans="25:25" hidden="1" x14ac:dyDescent="0.25">
      <c r="Y12399" s="501"/>
    </row>
    <row r="12400" spans="25:25" hidden="1" x14ac:dyDescent="0.25">
      <c r="Y12400" s="501"/>
    </row>
    <row r="12401" spans="25:25" hidden="1" x14ac:dyDescent="0.25">
      <c r="Y12401" s="501"/>
    </row>
    <row r="12402" spans="25:25" hidden="1" x14ac:dyDescent="0.25">
      <c r="Y12402" s="501"/>
    </row>
    <row r="12403" spans="25:25" hidden="1" x14ac:dyDescent="0.25">
      <c r="Y12403" s="501"/>
    </row>
    <row r="12404" spans="25:25" hidden="1" x14ac:dyDescent="0.25">
      <c r="Y12404" s="501"/>
    </row>
    <row r="12405" spans="25:25" hidden="1" x14ac:dyDescent="0.25">
      <c r="Y12405" s="501"/>
    </row>
    <row r="12406" spans="25:25" hidden="1" x14ac:dyDescent="0.25">
      <c r="Y12406" s="501"/>
    </row>
    <row r="12407" spans="25:25" hidden="1" x14ac:dyDescent="0.25">
      <c r="Y12407" s="501"/>
    </row>
    <row r="12408" spans="25:25" hidden="1" x14ac:dyDescent="0.25">
      <c r="Y12408" s="501"/>
    </row>
    <row r="12409" spans="25:25" hidden="1" x14ac:dyDescent="0.25">
      <c r="Y12409" s="501"/>
    </row>
    <row r="12410" spans="25:25" hidden="1" x14ac:dyDescent="0.25">
      <c r="Y12410" s="501"/>
    </row>
    <row r="12411" spans="25:25" hidden="1" x14ac:dyDescent="0.25">
      <c r="Y12411" s="501"/>
    </row>
    <row r="12412" spans="25:25" hidden="1" x14ac:dyDescent="0.25">
      <c r="Y12412" s="501"/>
    </row>
    <row r="12413" spans="25:25" hidden="1" x14ac:dyDescent="0.25">
      <c r="Y12413" s="501"/>
    </row>
    <row r="12414" spans="25:25" hidden="1" x14ac:dyDescent="0.25">
      <c r="Y12414" s="501"/>
    </row>
    <row r="12415" spans="25:25" hidden="1" x14ac:dyDescent="0.25">
      <c r="Y12415" s="501"/>
    </row>
    <row r="12416" spans="25:25" hidden="1" x14ac:dyDescent="0.25">
      <c r="Y12416" s="501"/>
    </row>
    <row r="12417" spans="25:25" hidden="1" x14ac:dyDescent="0.25">
      <c r="Y12417" s="501"/>
    </row>
    <row r="12418" spans="25:25" hidden="1" x14ac:dyDescent="0.25">
      <c r="Y12418" s="501"/>
    </row>
    <row r="12419" spans="25:25" hidden="1" x14ac:dyDescent="0.25">
      <c r="Y12419" s="501"/>
    </row>
    <row r="12420" spans="25:25" hidden="1" x14ac:dyDescent="0.25">
      <c r="Y12420" s="501"/>
    </row>
    <row r="12421" spans="25:25" hidden="1" x14ac:dyDescent="0.25">
      <c r="Y12421" s="501"/>
    </row>
    <row r="12422" spans="25:25" hidden="1" x14ac:dyDescent="0.25">
      <c r="Y12422" s="501"/>
    </row>
    <row r="12423" spans="25:25" hidden="1" x14ac:dyDescent="0.25">
      <c r="Y12423" s="501"/>
    </row>
    <row r="12424" spans="25:25" hidden="1" x14ac:dyDescent="0.25">
      <c r="Y12424" s="501"/>
    </row>
    <row r="12425" spans="25:25" hidden="1" x14ac:dyDescent="0.25">
      <c r="Y12425" s="501"/>
    </row>
    <row r="12426" spans="25:25" hidden="1" x14ac:dyDescent="0.25">
      <c r="Y12426" s="501"/>
    </row>
    <row r="12427" spans="25:25" hidden="1" x14ac:dyDescent="0.25">
      <c r="Y12427" s="501"/>
    </row>
    <row r="12428" spans="25:25" hidden="1" x14ac:dyDescent="0.25">
      <c r="Y12428" s="501"/>
    </row>
    <row r="12429" spans="25:25" hidden="1" x14ac:dyDescent="0.25">
      <c r="Y12429" s="501"/>
    </row>
    <row r="12430" spans="25:25" hidden="1" x14ac:dyDescent="0.25">
      <c r="Y12430" s="501"/>
    </row>
    <row r="12431" spans="25:25" hidden="1" x14ac:dyDescent="0.25">
      <c r="Y12431" s="501"/>
    </row>
    <row r="12432" spans="25:25" hidden="1" x14ac:dyDescent="0.25">
      <c r="Y12432" s="501"/>
    </row>
    <row r="12433" spans="25:25" hidden="1" x14ac:dyDescent="0.25">
      <c r="Y12433" s="501"/>
    </row>
    <row r="12434" spans="25:25" hidden="1" x14ac:dyDescent="0.25">
      <c r="Y12434" s="501"/>
    </row>
    <row r="12435" spans="25:25" hidden="1" x14ac:dyDescent="0.25">
      <c r="Y12435" s="501"/>
    </row>
    <row r="12436" spans="25:25" hidden="1" x14ac:dyDescent="0.25">
      <c r="Y12436" s="501"/>
    </row>
    <row r="12437" spans="25:25" hidden="1" x14ac:dyDescent="0.25">
      <c r="Y12437" s="501"/>
    </row>
    <row r="12438" spans="25:25" hidden="1" x14ac:dyDescent="0.25">
      <c r="Y12438" s="501"/>
    </row>
    <row r="12439" spans="25:25" hidden="1" x14ac:dyDescent="0.25">
      <c r="Y12439" s="501"/>
    </row>
    <row r="12440" spans="25:25" hidden="1" x14ac:dyDescent="0.25">
      <c r="Y12440" s="501"/>
    </row>
    <row r="12441" spans="25:25" hidden="1" x14ac:dyDescent="0.25">
      <c r="Y12441" s="501"/>
    </row>
    <row r="12442" spans="25:25" hidden="1" x14ac:dyDescent="0.25">
      <c r="Y12442" s="501"/>
    </row>
    <row r="12443" spans="25:25" hidden="1" x14ac:dyDescent="0.25">
      <c r="Y12443" s="501"/>
    </row>
    <row r="12444" spans="25:25" hidden="1" x14ac:dyDescent="0.25">
      <c r="Y12444" s="501"/>
    </row>
    <row r="12445" spans="25:25" hidden="1" x14ac:dyDescent="0.25">
      <c r="Y12445" s="501"/>
    </row>
    <row r="12446" spans="25:25" hidden="1" x14ac:dyDescent="0.25">
      <c r="Y12446" s="501"/>
    </row>
    <row r="12447" spans="25:25" hidden="1" x14ac:dyDescent="0.25">
      <c r="Y12447" s="501"/>
    </row>
    <row r="12448" spans="25:25" hidden="1" x14ac:dyDescent="0.25">
      <c r="Y12448" s="501"/>
    </row>
    <row r="12449" spans="25:25" hidden="1" x14ac:dyDescent="0.25">
      <c r="Y12449" s="501"/>
    </row>
    <row r="12450" spans="25:25" hidden="1" x14ac:dyDescent="0.25">
      <c r="Y12450" s="501"/>
    </row>
    <row r="12451" spans="25:25" hidden="1" x14ac:dyDescent="0.25">
      <c r="Y12451" s="501"/>
    </row>
    <row r="12452" spans="25:25" hidden="1" x14ac:dyDescent="0.25">
      <c r="Y12452" s="501"/>
    </row>
    <row r="12453" spans="25:25" hidden="1" x14ac:dyDescent="0.25">
      <c r="Y12453" s="501"/>
    </row>
    <row r="12454" spans="25:25" hidden="1" x14ac:dyDescent="0.25">
      <c r="Y12454" s="501"/>
    </row>
    <row r="12455" spans="25:25" hidden="1" x14ac:dyDescent="0.25">
      <c r="Y12455" s="501"/>
    </row>
    <row r="12456" spans="25:25" hidden="1" x14ac:dyDescent="0.25">
      <c r="Y12456" s="501"/>
    </row>
    <row r="12457" spans="25:25" hidden="1" x14ac:dyDescent="0.25">
      <c r="Y12457" s="501"/>
    </row>
    <row r="12458" spans="25:25" hidden="1" x14ac:dyDescent="0.25">
      <c r="Y12458" s="501"/>
    </row>
    <row r="12459" spans="25:25" hidden="1" x14ac:dyDescent="0.25">
      <c r="Y12459" s="501"/>
    </row>
    <row r="12460" spans="25:25" hidden="1" x14ac:dyDescent="0.25">
      <c r="Y12460" s="501"/>
    </row>
    <row r="12461" spans="25:25" hidden="1" x14ac:dyDescent="0.25">
      <c r="Y12461" s="501"/>
    </row>
    <row r="12462" spans="25:25" hidden="1" x14ac:dyDescent="0.25">
      <c r="Y12462" s="501"/>
    </row>
    <row r="12463" spans="25:25" hidden="1" x14ac:dyDescent="0.25">
      <c r="Y12463" s="501"/>
    </row>
    <row r="12464" spans="25:25" hidden="1" x14ac:dyDescent="0.25">
      <c r="Y12464" s="501"/>
    </row>
    <row r="12465" spans="25:25" hidden="1" x14ac:dyDescent="0.25">
      <c r="Y12465" s="501"/>
    </row>
    <row r="12466" spans="25:25" hidden="1" x14ac:dyDescent="0.25">
      <c r="Y12466" s="501"/>
    </row>
    <row r="12467" spans="25:25" hidden="1" x14ac:dyDescent="0.25">
      <c r="Y12467" s="501"/>
    </row>
    <row r="12468" spans="25:25" hidden="1" x14ac:dyDescent="0.25">
      <c r="Y12468" s="501"/>
    </row>
    <row r="12469" spans="25:25" hidden="1" x14ac:dyDescent="0.25">
      <c r="Y12469" s="501"/>
    </row>
    <row r="12470" spans="25:25" hidden="1" x14ac:dyDescent="0.25">
      <c r="Y12470" s="501"/>
    </row>
    <row r="12471" spans="25:25" hidden="1" x14ac:dyDescent="0.25">
      <c r="Y12471" s="501"/>
    </row>
    <row r="12472" spans="25:25" hidden="1" x14ac:dyDescent="0.25">
      <c r="Y12472" s="501"/>
    </row>
    <row r="12473" spans="25:25" hidden="1" x14ac:dyDescent="0.25">
      <c r="Y12473" s="501"/>
    </row>
    <row r="12474" spans="25:25" hidden="1" x14ac:dyDescent="0.25">
      <c r="Y12474" s="501"/>
    </row>
    <row r="12475" spans="25:25" hidden="1" x14ac:dyDescent="0.25">
      <c r="Y12475" s="501"/>
    </row>
    <row r="12476" spans="25:25" hidden="1" x14ac:dyDescent="0.25">
      <c r="Y12476" s="501"/>
    </row>
    <row r="12477" spans="25:25" hidden="1" x14ac:dyDescent="0.25">
      <c r="Y12477" s="501"/>
    </row>
    <row r="12478" spans="25:25" hidden="1" x14ac:dyDescent="0.25">
      <c r="Y12478" s="501"/>
    </row>
    <row r="12479" spans="25:25" hidden="1" x14ac:dyDescent="0.25">
      <c r="Y12479" s="501"/>
    </row>
    <row r="12480" spans="25:25" hidden="1" x14ac:dyDescent="0.25">
      <c r="Y12480" s="501"/>
    </row>
    <row r="12481" spans="25:25" hidden="1" x14ac:dyDescent="0.25">
      <c r="Y12481" s="501"/>
    </row>
    <row r="12482" spans="25:25" hidden="1" x14ac:dyDescent="0.25">
      <c r="Y12482" s="501"/>
    </row>
    <row r="12483" spans="25:25" hidden="1" x14ac:dyDescent="0.25">
      <c r="Y12483" s="501"/>
    </row>
    <row r="12484" spans="25:25" hidden="1" x14ac:dyDescent="0.25">
      <c r="Y12484" s="501"/>
    </row>
    <row r="12485" spans="25:25" hidden="1" x14ac:dyDescent="0.25">
      <c r="Y12485" s="501"/>
    </row>
    <row r="12486" spans="25:25" hidden="1" x14ac:dyDescent="0.25">
      <c r="Y12486" s="501"/>
    </row>
    <row r="12487" spans="25:25" hidden="1" x14ac:dyDescent="0.25">
      <c r="Y12487" s="501"/>
    </row>
    <row r="12488" spans="25:25" hidden="1" x14ac:dyDescent="0.25">
      <c r="Y12488" s="501"/>
    </row>
    <row r="12489" spans="25:25" hidden="1" x14ac:dyDescent="0.25">
      <c r="Y12489" s="501"/>
    </row>
    <row r="12490" spans="25:25" hidden="1" x14ac:dyDescent="0.25">
      <c r="Y12490" s="501"/>
    </row>
    <row r="12491" spans="25:25" hidden="1" x14ac:dyDescent="0.25">
      <c r="Y12491" s="501"/>
    </row>
    <row r="12492" spans="25:25" hidden="1" x14ac:dyDescent="0.25">
      <c r="Y12492" s="501"/>
    </row>
    <row r="12493" spans="25:25" hidden="1" x14ac:dyDescent="0.25">
      <c r="Y12493" s="501"/>
    </row>
    <row r="12494" spans="25:25" hidden="1" x14ac:dyDescent="0.25">
      <c r="Y12494" s="501"/>
    </row>
    <row r="12495" spans="25:25" hidden="1" x14ac:dyDescent="0.25">
      <c r="Y12495" s="501"/>
    </row>
    <row r="12496" spans="25:25" hidden="1" x14ac:dyDescent="0.25">
      <c r="Y12496" s="501"/>
    </row>
    <row r="12497" spans="25:25" hidden="1" x14ac:dyDescent="0.25">
      <c r="Y12497" s="501"/>
    </row>
    <row r="12498" spans="25:25" hidden="1" x14ac:dyDescent="0.25">
      <c r="Y12498" s="501"/>
    </row>
    <row r="12499" spans="25:25" hidden="1" x14ac:dyDescent="0.25">
      <c r="Y12499" s="501"/>
    </row>
    <row r="12500" spans="25:25" hidden="1" x14ac:dyDescent="0.25">
      <c r="Y12500" s="501"/>
    </row>
    <row r="12501" spans="25:25" hidden="1" x14ac:dyDescent="0.25">
      <c r="Y12501" s="501"/>
    </row>
    <row r="12502" spans="25:25" hidden="1" x14ac:dyDescent="0.25">
      <c r="Y12502" s="501"/>
    </row>
    <row r="12503" spans="25:25" hidden="1" x14ac:dyDescent="0.25">
      <c r="Y12503" s="501"/>
    </row>
    <row r="12504" spans="25:25" hidden="1" x14ac:dyDescent="0.25">
      <c r="Y12504" s="501"/>
    </row>
    <row r="12505" spans="25:25" hidden="1" x14ac:dyDescent="0.25">
      <c r="Y12505" s="501"/>
    </row>
    <row r="12506" spans="25:25" hidden="1" x14ac:dyDescent="0.25">
      <c r="Y12506" s="501"/>
    </row>
    <row r="12507" spans="25:25" hidden="1" x14ac:dyDescent="0.25">
      <c r="Y12507" s="501"/>
    </row>
    <row r="12508" spans="25:25" hidden="1" x14ac:dyDescent="0.25">
      <c r="Y12508" s="501"/>
    </row>
    <row r="12509" spans="25:25" hidden="1" x14ac:dyDescent="0.25">
      <c r="Y12509" s="501"/>
    </row>
    <row r="12510" spans="25:25" hidden="1" x14ac:dyDescent="0.25">
      <c r="Y12510" s="501"/>
    </row>
    <row r="12511" spans="25:25" hidden="1" x14ac:dyDescent="0.25">
      <c r="Y12511" s="501"/>
    </row>
    <row r="12512" spans="25:25" hidden="1" x14ac:dyDescent="0.25">
      <c r="Y12512" s="501"/>
    </row>
    <row r="12513" spans="25:25" hidden="1" x14ac:dyDescent="0.25">
      <c r="Y12513" s="501"/>
    </row>
    <row r="12514" spans="25:25" hidden="1" x14ac:dyDescent="0.25">
      <c r="Y12514" s="501"/>
    </row>
    <row r="12515" spans="25:25" hidden="1" x14ac:dyDescent="0.25">
      <c r="Y12515" s="501"/>
    </row>
    <row r="12516" spans="25:25" hidden="1" x14ac:dyDescent="0.25">
      <c r="Y12516" s="501"/>
    </row>
    <row r="12517" spans="25:25" hidden="1" x14ac:dyDescent="0.25">
      <c r="Y12517" s="501"/>
    </row>
    <row r="12518" spans="25:25" hidden="1" x14ac:dyDescent="0.25">
      <c r="Y12518" s="501"/>
    </row>
    <row r="12519" spans="25:25" hidden="1" x14ac:dyDescent="0.25">
      <c r="Y12519" s="501"/>
    </row>
    <row r="12520" spans="25:25" hidden="1" x14ac:dyDescent="0.25">
      <c r="Y12520" s="501"/>
    </row>
    <row r="12521" spans="25:25" hidden="1" x14ac:dyDescent="0.25">
      <c r="Y12521" s="501"/>
    </row>
    <row r="12522" spans="25:25" hidden="1" x14ac:dyDescent="0.25">
      <c r="Y12522" s="501"/>
    </row>
    <row r="12523" spans="25:25" hidden="1" x14ac:dyDescent="0.25">
      <c r="Y12523" s="501"/>
    </row>
    <row r="12524" spans="25:25" hidden="1" x14ac:dyDescent="0.25">
      <c r="Y12524" s="501"/>
    </row>
    <row r="12525" spans="25:25" hidden="1" x14ac:dyDescent="0.25">
      <c r="Y12525" s="501"/>
    </row>
    <row r="12526" spans="25:25" hidden="1" x14ac:dyDescent="0.25">
      <c r="Y12526" s="501"/>
    </row>
    <row r="12527" spans="25:25" hidden="1" x14ac:dyDescent="0.25">
      <c r="Y12527" s="501"/>
    </row>
    <row r="12528" spans="25:25" hidden="1" x14ac:dyDescent="0.25">
      <c r="Y12528" s="501"/>
    </row>
    <row r="12529" spans="25:25" hidden="1" x14ac:dyDescent="0.25">
      <c r="Y12529" s="501"/>
    </row>
    <row r="12530" spans="25:25" hidden="1" x14ac:dyDescent="0.25">
      <c r="Y12530" s="501"/>
    </row>
    <row r="12531" spans="25:25" hidden="1" x14ac:dyDescent="0.25">
      <c r="Y12531" s="501"/>
    </row>
    <row r="12532" spans="25:25" hidden="1" x14ac:dyDescent="0.25">
      <c r="Y12532" s="501"/>
    </row>
    <row r="12533" spans="25:25" hidden="1" x14ac:dyDescent="0.25">
      <c r="Y12533" s="501"/>
    </row>
    <row r="12534" spans="25:25" hidden="1" x14ac:dyDescent="0.25">
      <c r="Y12534" s="501"/>
    </row>
    <row r="12535" spans="25:25" hidden="1" x14ac:dyDescent="0.25">
      <c r="Y12535" s="501"/>
    </row>
    <row r="12536" spans="25:25" hidden="1" x14ac:dyDescent="0.25">
      <c r="Y12536" s="501"/>
    </row>
    <row r="12537" spans="25:25" hidden="1" x14ac:dyDescent="0.25">
      <c r="Y12537" s="501"/>
    </row>
    <row r="12538" spans="25:25" hidden="1" x14ac:dyDescent="0.25">
      <c r="Y12538" s="501"/>
    </row>
    <row r="12539" spans="25:25" hidden="1" x14ac:dyDescent="0.25">
      <c r="Y12539" s="501"/>
    </row>
    <row r="12540" spans="25:25" hidden="1" x14ac:dyDescent="0.25">
      <c r="Y12540" s="501"/>
    </row>
    <row r="12541" spans="25:25" hidden="1" x14ac:dyDescent="0.25">
      <c r="Y12541" s="501"/>
    </row>
    <row r="12542" spans="25:25" hidden="1" x14ac:dyDescent="0.25">
      <c r="Y12542" s="501"/>
    </row>
    <row r="12543" spans="25:25" hidden="1" x14ac:dyDescent="0.25">
      <c r="Y12543" s="501"/>
    </row>
    <row r="12544" spans="25:25" hidden="1" x14ac:dyDescent="0.25">
      <c r="Y12544" s="501"/>
    </row>
    <row r="12545" spans="25:25" hidden="1" x14ac:dyDescent="0.25">
      <c r="Y12545" s="501"/>
    </row>
    <row r="12546" spans="25:25" hidden="1" x14ac:dyDescent="0.25">
      <c r="Y12546" s="501"/>
    </row>
    <row r="12547" spans="25:25" hidden="1" x14ac:dyDescent="0.25">
      <c r="Y12547" s="501"/>
    </row>
    <row r="12548" spans="25:25" hidden="1" x14ac:dyDescent="0.25">
      <c r="Y12548" s="501"/>
    </row>
    <row r="12549" spans="25:25" hidden="1" x14ac:dyDescent="0.25">
      <c r="Y12549" s="501"/>
    </row>
    <row r="12550" spans="25:25" hidden="1" x14ac:dyDescent="0.25">
      <c r="Y12550" s="501"/>
    </row>
    <row r="12551" spans="25:25" hidden="1" x14ac:dyDescent="0.25">
      <c r="Y12551" s="501"/>
    </row>
    <row r="12552" spans="25:25" hidden="1" x14ac:dyDescent="0.25">
      <c r="Y12552" s="501"/>
    </row>
    <row r="12553" spans="25:25" hidden="1" x14ac:dyDescent="0.25">
      <c r="Y12553" s="501"/>
    </row>
    <row r="12554" spans="25:25" hidden="1" x14ac:dyDescent="0.25">
      <c r="Y12554" s="501"/>
    </row>
    <row r="12555" spans="25:25" hidden="1" x14ac:dyDescent="0.25">
      <c r="Y12555" s="501"/>
    </row>
    <row r="12556" spans="25:25" hidden="1" x14ac:dyDescent="0.25">
      <c r="Y12556" s="501"/>
    </row>
    <row r="12557" spans="25:25" hidden="1" x14ac:dyDescent="0.25">
      <c r="Y12557" s="501"/>
    </row>
    <row r="12558" spans="25:25" hidden="1" x14ac:dyDescent="0.25">
      <c r="Y12558" s="501"/>
    </row>
    <row r="12559" spans="25:25" hidden="1" x14ac:dyDescent="0.25">
      <c r="Y12559" s="501"/>
    </row>
    <row r="12560" spans="25:25" hidden="1" x14ac:dyDescent="0.25">
      <c r="Y12560" s="501"/>
    </row>
    <row r="12561" spans="25:25" hidden="1" x14ac:dyDescent="0.25">
      <c r="Y12561" s="501"/>
    </row>
    <row r="12562" spans="25:25" hidden="1" x14ac:dyDescent="0.25">
      <c r="Y12562" s="501"/>
    </row>
    <row r="12563" spans="25:25" hidden="1" x14ac:dyDescent="0.25">
      <c r="Y12563" s="501"/>
    </row>
    <row r="12564" spans="25:25" hidden="1" x14ac:dyDescent="0.25">
      <c r="Y12564" s="501"/>
    </row>
    <row r="12565" spans="25:25" hidden="1" x14ac:dyDescent="0.25">
      <c r="Y12565" s="501"/>
    </row>
    <row r="12566" spans="25:25" hidden="1" x14ac:dyDescent="0.25">
      <c r="Y12566" s="501"/>
    </row>
    <row r="12567" spans="25:25" hidden="1" x14ac:dyDescent="0.25">
      <c r="Y12567" s="501"/>
    </row>
    <row r="12568" spans="25:25" hidden="1" x14ac:dyDescent="0.25">
      <c r="Y12568" s="501"/>
    </row>
    <row r="12569" spans="25:25" hidden="1" x14ac:dyDescent="0.25">
      <c r="Y12569" s="501"/>
    </row>
    <row r="12570" spans="25:25" hidden="1" x14ac:dyDescent="0.25">
      <c r="Y12570" s="501"/>
    </row>
    <row r="12571" spans="25:25" hidden="1" x14ac:dyDescent="0.25">
      <c r="Y12571" s="501"/>
    </row>
    <row r="12572" spans="25:25" hidden="1" x14ac:dyDescent="0.25">
      <c r="Y12572" s="501"/>
    </row>
    <row r="12573" spans="25:25" hidden="1" x14ac:dyDescent="0.25">
      <c r="Y12573" s="501"/>
    </row>
    <row r="12574" spans="25:25" hidden="1" x14ac:dyDescent="0.25">
      <c r="Y12574" s="501"/>
    </row>
    <row r="12575" spans="25:25" hidden="1" x14ac:dyDescent="0.25">
      <c r="Y12575" s="501"/>
    </row>
    <row r="12576" spans="25:25" hidden="1" x14ac:dyDescent="0.25">
      <c r="Y12576" s="501"/>
    </row>
    <row r="12577" spans="25:25" hidden="1" x14ac:dyDescent="0.25">
      <c r="Y12577" s="501"/>
    </row>
    <row r="12578" spans="25:25" hidden="1" x14ac:dyDescent="0.25">
      <c r="Y12578" s="501"/>
    </row>
    <row r="12579" spans="25:25" hidden="1" x14ac:dyDescent="0.25">
      <c r="Y12579" s="501"/>
    </row>
    <row r="12580" spans="25:25" hidden="1" x14ac:dyDescent="0.25">
      <c r="Y12580" s="501"/>
    </row>
    <row r="12581" spans="25:25" hidden="1" x14ac:dyDescent="0.25">
      <c r="Y12581" s="501"/>
    </row>
    <row r="12582" spans="25:25" hidden="1" x14ac:dyDescent="0.25">
      <c r="Y12582" s="501"/>
    </row>
    <row r="12583" spans="25:25" hidden="1" x14ac:dyDescent="0.25">
      <c r="Y12583" s="501"/>
    </row>
    <row r="12584" spans="25:25" hidden="1" x14ac:dyDescent="0.25">
      <c r="Y12584" s="501"/>
    </row>
    <row r="12585" spans="25:25" hidden="1" x14ac:dyDescent="0.25">
      <c r="Y12585" s="501"/>
    </row>
    <row r="12586" spans="25:25" hidden="1" x14ac:dyDescent="0.25">
      <c r="Y12586" s="501"/>
    </row>
    <row r="12587" spans="25:25" hidden="1" x14ac:dyDescent="0.25">
      <c r="Y12587" s="501"/>
    </row>
    <row r="12588" spans="25:25" hidden="1" x14ac:dyDescent="0.25">
      <c r="Y12588" s="501"/>
    </row>
    <row r="12589" spans="25:25" hidden="1" x14ac:dyDescent="0.25">
      <c r="Y12589" s="501"/>
    </row>
    <row r="12590" spans="25:25" hidden="1" x14ac:dyDescent="0.25">
      <c r="Y12590" s="501"/>
    </row>
    <row r="12591" spans="25:25" hidden="1" x14ac:dyDescent="0.25">
      <c r="Y12591" s="501"/>
    </row>
    <row r="12592" spans="25:25" hidden="1" x14ac:dyDescent="0.25">
      <c r="Y12592" s="501"/>
    </row>
    <row r="12593" spans="25:25" hidden="1" x14ac:dyDescent="0.25">
      <c r="Y12593" s="501"/>
    </row>
    <row r="12594" spans="25:25" hidden="1" x14ac:dyDescent="0.25">
      <c r="Y12594" s="501"/>
    </row>
    <row r="12595" spans="25:25" hidden="1" x14ac:dyDescent="0.25">
      <c r="Y12595" s="501"/>
    </row>
    <row r="12596" spans="25:25" hidden="1" x14ac:dyDescent="0.25">
      <c r="Y12596" s="501"/>
    </row>
    <row r="12597" spans="25:25" hidden="1" x14ac:dyDescent="0.25">
      <c r="Y12597" s="501"/>
    </row>
    <row r="12598" spans="25:25" hidden="1" x14ac:dyDescent="0.25">
      <c r="Y12598" s="501"/>
    </row>
    <row r="12599" spans="25:25" hidden="1" x14ac:dyDescent="0.25">
      <c r="Y12599" s="501"/>
    </row>
    <row r="12600" spans="25:25" hidden="1" x14ac:dyDescent="0.25">
      <c r="Y12600" s="501"/>
    </row>
    <row r="12601" spans="25:25" hidden="1" x14ac:dyDescent="0.25">
      <c r="Y12601" s="501"/>
    </row>
    <row r="12602" spans="25:25" hidden="1" x14ac:dyDescent="0.25">
      <c r="Y12602" s="501"/>
    </row>
    <row r="12603" spans="25:25" hidden="1" x14ac:dyDescent="0.25">
      <c r="Y12603" s="501"/>
    </row>
    <row r="12604" spans="25:25" hidden="1" x14ac:dyDescent="0.25">
      <c r="Y12604" s="501"/>
    </row>
    <row r="12605" spans="25:25" hidden="1" x14ac:dyDescent="0.25">
      <c r="Y12605" s="501"/>
    </row>
    <row r="12606" spans="25:25" hidden="1" x14ac:dyDescent="0.25">
      <c r="Y12606" s="501"/>
    </row>
    <row r="12607" spans="25:25" hidden="1" x14ac:dyDescent="0.25">
      <c r="Y12607" s="501"/>
    </row>
    <row r="12608" spans="25:25" hidden="1" x14ac:dyDescent="0.25">
      <c r="Y12608" s="501"/>
    </row>
    <row r="12609" spans="25:25" hidden="1" x14ac:dyDescent="0.25">
      <c r="Y12609" s="501"/>
    </row>
    <row r="12610" spans="25:25" hidden="1" x14ac:dyDescent="0.25">
      <c r="Y12610" s="501"/>
    </row>
    <row r="12611" spans="25:25" hidden="1" x14ac:dyDescent="0.25">
      <c r="Y12611" s="501"/>
    </row>
    <row r="12612" spans="25:25" hidden="1" x14ac:dyDescent="0.25">
      <c r="Y12612" s="501"/>
    </row>
    <row r="12613" spans="25:25" hidden="1" x14ac:dyDescent="0.25">
      <c r="Y12613" s="501"/>
    </row>
    <row r="12614" spans="25:25" hidden="1" x14ac:dyDescent="0.25">
      <c r="Y12614" s="501"/>
    </row>
    <row r="12615" spans="25:25" hidden="1" x14ac:dyDescent="0.25">
      <c r="Y12615" s="501"/>
    </row>
    <row r="12616" spans="25:25" hidden="1" x14ac:dyDescent="0.25">
      <c r="Y12616" s="501"/>
    </row>
    <row r="12617" spans="25:25" hidden="1" x14ac:dyDescent="0.25">
      <c r="Y12617" s="501"/>
    </row>
    <row r="12618" spans="25:25" hidden="1" x14ac:dyDescent="0.25">
      <c r="Y12618" s="501"/>
    </row>
    <row r="12619" spans="25:25" hidden="1" x14ac:dyDescent="0.25">
      <c r="Y12619" s="501"/>
    </row>
    <row r="12620" spans="25:25" hidden="1" x14ac:dyDescent="0.25">
      <c r="Y12620" s="501"/>
    </row>
    <row r="12621" spans="25:25" hidden="1" x14ac:dyDescent="0.25">
      <c r="Y12621" s="501"/>
    </row>
    <row r="12622" spans="25:25" hidden="1" x14ac:dyDescent="0.25">
      <c r="Y12622" s="501"/>
    </row>
    <row r="12623" spans="25:25" hidden="1" x14ac:dyDescent="0.25">
      <c r="Y12623" s="501"/>
    </row>
    <row r="12624" spans="25:25" hidden="1" x14ac:dyDescent="0.25">
      <c r="Y12624" s="501"/>
    </row>
    <row r="12625" spans="25:25" hidden="1" x14ac:dyDescent="0.25">
      <c r="Y12625" s="501"/>
    </row>
    <row r="12626" spans="25:25" hidden="1" x14ac:dyDescent="0.25">
      <c r="Y12626" s="501"/>
    </row>
    <row r="12627" spans="25:25" hidden="1" x14ac:dyDescent="0.25">
      <c r="Y12627" s="501"/>
    </row>
    <row r="12628" spans="25:25" hidden="1" x14ac:dyDescent="0.25">
      <c r="Y12628" s="501"/>
    </row>
    <row r="12629" spans="25:25" hidden="1" x14ac:dyDescent="0.25">
      <c r="Y12629" s="501"/>
    </row>
    <row r="12630" spans="25:25" hidden="1" x14ac:dyDescent="0.25">
      <c r="Y12630" s="501"/>
    </row>
    <row r="12631" spans="25:25" hidden="1" x14ac:dyDescent="0.25">
      <c r="Y12631" s="501"/>
    </row>
    <row r="12632" spans="25:25" hidden="1" x14ac:dyDescent="0.25">
      <c r="Y12632" s="501"/>
    </row>
    <row r="12633" spans="25:25" hidden="1" x14ac:dyDescent="0.25">
      <c r="Y12633" s="501"/>
    </row>
    <row r="12634" spans="25:25" hidden="1" x14ac:dyDescent="0.25">
      <c r="Y12634" s="501"/>
    </row>
    <row r="12635" spans="25:25" hidden="1" x14ac:dyDescent="0.25">
      <c r="Y12635" s="501"/>
    </row>
    <row r="12636" spans="25:25" hidden="1" x14ac:dyDescent="0.25">
      <c r="Y12636" s="501"/>
    </row>
    <row r="12637" spans="25:25" hidden="1" x14ac:dyDescent="0.25">
      <c r="Y12637" s="501"/>
    </row>
    <row r="12638" spans="25:25" hidden="1" x14ac:dyDescent="0.25">
      <c r="Y12638" s="501"/>
    </row>
    <row r="12639" spans="25:25" hidden="1" x14ac:dyDescent="0.25">
      <c r="Y12639" s="501"/>
    </row>
    <row r="12640" spans="25:25" hidden="1" x14ac:dyDescent="0.25">
      <c r="Y12640" s="501"/>
    </row>
    <row r="12641" spans="25:25" hidden="1" x14ac:dyDescent="0.25">
      <c r="Y12641" s="501"/>
    </row>
    <row r="12642" spans="25:25" hidden="1" x14ac:dyDescent="0.25">
      <c r="Y12642" s="501"/>
    </row>
    <row r="12643" spans="25:25" hidden="1" x14ac:dyDescent="0.25">
      <c r="Y12643" s="501"/>
    </row>
    <row r="12644" spans="25:25" hidden="1" x14ac:dyDescent="0.25">
      <c r="Y12644" s="501"/>
    </row>
    <row r="12645" spans="25:25" hidden="1" x14ac:dyDescent="0.25">
      <c r="Y12645" s="501"/>
    </row>
    <row r="12646" spans="25:25" hidden="1" x14ac:dyDescent="0.25">
      <c r="Y12646" s="501"/>
    </row>
    <row r="12647" spans="25:25" hidden="1" x14ac:dyDescent="0.25">
      <c r="Y12647" s="501"/>
    </row>
    <row r="12648" spans="25:25" hidden="1" x14ac:dyDescent="0.25">
      <c r="Y12648" s="501"/>
    </row>
    <row r="12649" spans="25:25" hidden="1" x14ac:dyDescent="0.25">
      <c r="Y12649" s="501"/>
    </row>
    <row r="12650" spans="25:25" hidden="1" x14ac:dyDescent="0.25">
      <c r="Y12650" s="501"/>
    </row>
    <row r="12651" spans="25:25" hidden="1" x14ac:dyDescent="0.25">
      <c r="Y12651" s="501"/>
    </row>
    <row r="12652" spans="25:25" hidden="1" x14ac:dyDescent="0.25">
      <c r="Y12652" s="501"/>
    </row>
    <row r="12653" spans="25:25" hidden="1" x14ac:dyDescent="0.25">
      <c r="Y12653" s="501"/>
    </row>
    <row r="12654" spans="25:25" hidden="1" x14ac:dyDescent="0.25">
      <c r="Y12654" s="501"/>
    </row>
    <row r="12655" spans="25:25" hidden="1" x14ac:dyDescent="0.25">
      <c r="Y12655" s="501"/>
    </row>
    <row r="12656" spans="25:25" hidden="1" x14ac:dyDescent="0.25">
      <c r="Y12656" s="501"/>
    </row>
    <row r="12657" spans="25:25" hidden="1" x14ac:dyDescent="0.25">
      <c r="Y12657" s="501"/>
    </row>
    <row r="12658" spans="25:25" hidden="1" x14ac:dyDescent="0.25">
      <c r="Y12658" s="501"/>
    </row>
    <row r="12659" spans="25:25" hidden="1" x14ac:dyDescent="0.25">
      <c r="Y12659" s="501"/>
    </row>
    <row r="12660" spans="25:25" hidden="1" x14ac:dyDescent="0.25">
      <c r="Y12660" s="501"/>
    </row>
    <row r="12661" spans="25:25" hidden="1" x14ac:dyDescent="0.25">
      <c r="Y12661" s="501"/>
    </row>
    <row r="12662" spans="25:25" hidden="1" x14ac:dyDescent="0.25">
      <c r="Y12662" s="501"/>
    </row>
    <row r="12663" spans="25:25" hidden="1" x14ac:dyDescent="0.25">
      <c r="Y12663" s="501"/>
    </row>
    <row r="12664" spans="25:25" hidden="1" x14ac:dyDescent="0.25">
      <c r="Y12664" s="501"/>
    </row>
    <row r="12665" spans="25:25" hidden="1" x14ac:dyDescent="0.25">
      <c r="Y12665" s="501"/>
    </row>
    <row r="12666" spans="25:25" hidden="1" x14ac:dyDescent="0.25">
      <c r="Y12666" s="501"/>
    </row>
    <row r="12667" spans="25:25" hidden="1" x14ac:dyDescent="0.25">
      <c r="Y12667" s="501"/>
    </row>
    <row r="12668" spans="25:25" hidden="1" x14ac:dyDescent="0.25">
      <c r="Y12668" s="501"/>
    </row>
    <row r="12669" spans="25:25" hidden="1" x14ac:dyDescent="0.25">
      <c r="Y12669" s="501"/>
    </row>
    <row r="12670" spans="25:25" hidden="1" x14ac:dyDescent="0.25">
      <c r="Y12670" s="501"/>
    </row>
    <row r="12671" spans="25:25" hidden="1" x14ac:dyDescent="0.25">
      <c r="Y12671" s="501"/>
    </row>
    <row r="12672" spans="25:25" hidden="1" x14ac:dyDescent="0.25">
      <c r="Y12672" s="501"/>
    </row>
    <row r="12673" spans="25:25" hidden="1" x14ac:dyDescent="0.25">
      <c r="Y12673" s="501"/>
    </row>
    <row r="12674" spans="25:25" hidden="1" x14ac:dyDescent="0.25">
      <c r="Y12674" s="501"/>
    </row>
    <row r="12675" spans="25:25" hidden="1" x14ac:dyDescent="0.25">
      <c r="Y12675" s="501"/>
    </row>
    <row r="12676" spans="25:25" hidden="1" x14ac:dyDescent="0.25">
      <c r="Y12676" s="501"/>
    </row>
    <row r="12677" spans="25:25" hidden="1" x14ac:dyDescent="0.25">
      <c r="Y12677" s="501"/>
    </row>
    <row r="12678" spans="25:25" hidden="1" x14ac:dyDescent="0.25">
      <c r="Y12678" s="501"/>
    </row>
    <row r="12679" spans="25:25" hidden="1" x14ac:dyDescent="0.25">
      <c r="Y12679" s="501"/>
    </row>
    <row r="12680" spans="25:25" hidden="1" x14ac:dyDescent="0.25">
      <c r="Y12680" s="501"/>
    </row>
    <row r="12681" spans="25:25" hidden="1" x14ac:dyDescent="0.25">
      <c r="Y12681" s="501"/>
    </row>
    <row r="12682" spans="25:25" hidden="1" x14ac:dyDescent="0.25">
      <c r="Y12682" s="501"/>
    </row>
    <row r="12683" spans="25:25" hidden="1" x14ac:dyDescent="0.25">
      <c r="Y12683" s="501"/>
    </row>
    <row r="12684" spans="25:25" hidden="1" x14ac:dyDescent="0.25">
      <c r="Y12684" s="501"/>
    </row>
    <row r="12685" spans="25:25" hidden="1" x14ac:dyDescent="0.25">
      <c r="Y12685" s="501"/>
    </row>
    <row r="12686" spans="25:25" hidden="1" x14ac:dyDescent="0.25">
      <c r="Y12686" s="501"/>
    </row>
    <row r="12687" spans="25:25" hidden="1" x14ac:dyDescent="0.25">
      <c r="Y12687" s="501"/>
    </row>
    <row r="12688" spans="25:25" hidden="1" x14ac:dyDescent="0.25">
      <c r="Y12688" s="501"/>
    </row>
    <row r="12689" spans="25:25" hidden="1" x14ac:dyDescent="0.25">
      <c r="Y12689" s="501"/>
    </row>
    <row r="12690" spans="25:25" hidden="1" x14ac:dyDescent="0.25">
      <c r="Y12690" s="501"/>
    </row>
    <row r="12691" spans="25:25" hidden="1" x14ac:dyDescent="0.25">
      <c r="Y12691" s="501"/>
    </row>
    <row r="12692" spans="25:25" hidden="1" x14ac:dyDescent="0.25">
      <c r="Y12692" s="501"/>
    </row>
    <row r="12693" spans="25:25" hidden="1" x14ac:dyDescent="0.25">
      <c r="Y12693" s="501"/>
    </row>
    <row r="12694" spans="25:25" hidden="1" x14ac:dyDescent="0.25">
      <c r="Y12694" s="501"/>
    </row>
    <row r="12695" spans="25:25" hidden="1" x14ac:dyDescent="0.25">
      <c r="Y12695" s="501"/>
    </row>
    <row r="12696" spans="25:25" hidden="1" x14ac:dyDescent="0.25">
      <c r="Y12696" s="501"/>
    </row>
    <row r="12697" spans="25:25" hidden="1" x14ac:dyDescent="0.25">
      <c r="Y12697" s="501"/>
    </row>
    <row r="12698" spans="25:25" hidden="1" x14ac:dyDescent="0.25">
      <c r="Y12698" s="501"/>
    </row>
    <row r="12699" spans="25:25" hidden="1" x14ac:dyDescent="0.25">
      <c r="Y12699" s="501"/>
    </row>
    <row r="12700" spans="25:25" hidden="1" x14ac:dyDescent="0.25">
      <c r="Y12700" s="501"/>
    </row>
    <row r="12701" spans="25:25" hidden="1" x14ac:dyDescent="0.25">
      <c r="Y12701" s="501"/>
    </row>
    <row r="12702" spans="25:25" hidden="1" x14ac:dyDescent="0.25">
      <c r="Y12702" s="501"/>
    </row>
    <row r="12703" spans="25:25" hidden="1" x14ac:dyDescent="0.25">
      <c r="Y12703" s="501"/>
    </row>
    <row r="12704" spans="25:25" hidden="1" x14ac:dyDescent="0.25">
      <c r="Y12704" s="501"/>
    </row>
    <row r="12705" spans="25:25" hidden="1" x14ac:dyDescent="0.25">
      <c r="Y12705" s="501"/>
    </row>
    <row r="12706" spans="25:25" hidden="1" x14ac:dyDescent="0.25">
      <c r="Y12706" s="501"/>
    </row>
    <row r="12707" spans="25:25" hidden="1" x14ac:dyDescent="0.25">
      <c r="Y12707" s="501"/>
    </row>
    <row r="12708" spans="25:25" hidden="1" x14ac:dyDescent="0.25">
      <c r="Y12708" s="501"/>
    </row>
    <row r="12709" spans="25:25" hidden="1" x14ac:dyDescent="0.25">
      <c r="Y12709" s="501"/>
    </row>
    <row r="12710" spans="25:25" hidden="1" x14ac:dyDescent="0.25">
      <c r="Y12710" s="501"/>
    </row>
    <row r="12711" spans="25:25" hidden="1" x14ac:dyDescent="0.25">
      <c r="Y12711" s="501"/>
    </row>
    <row r="12712" spans="25:25" hidden="1" x14ac:dyDescent="0.25">
      <c r="Y12712" s="501"/>
    </row>
    <row r="12713" spans="25:25" hidden="1" x14ac:dyDescent="0.25">
      <c r="Y12713" s="501"/>
    </row>
    <row r="12714" spans="25:25" hidden="1" x14ac:dyDescent="0.25">
      <c r="Y12714" s="501"/>
    </row>
    <row r="12715" spans="25:25" hidden="1" x14ac:dyDescent="0.25">
      <c r="Y12715" s="501"/>
    </row>
    <row r="12716" spans="25:25" hidden="1" x14ac:dyDescent="0.25">
      <c r="Y12716" s="501"/>
    </row>
    <row r="12717" spans="25:25" hidden="1" x14ac:dyDescent="0.25">
      <c r="Y12717" s="501"/>
    </row>
    <row r="12718" spans="25:25" hidden="1" x14ac:dyDescent="0.25">
      <c r="Y12718" s="501"/>
    </row>
    <row r="12719" spans="25:25" hidden="1" x14ac:dyDescent="0.25">
      <c r="Y12719" s="501"/>
    </row>
    <row r="12720" spans="25:25" hidden="1" x14ac:dyDescent="0.25">
      <c r="Y12720" s="501"/>
    </row>
    <row r="12721" spans="25:25" hidden="1" x14ac:dyDescent="0.25">
      <c r="Y12721" s="501"/>
    </row>
    <row r="12722" spans="25:25" hidden="1" x14ac:dyDescent="0.25">
      <c r="Y12722" s="501"/>
    </row>
    <row r="12723" spans="25:25" hidden="1" x14ac:dyDescent="0.25">
      <c r="Y12723" s="501"/>
    </row>
    <row r="12724" spans="25:25" hidden="1" x14ac:dyDescent="0.25">
      <c r="Y12724" s="501"/>
    </row>
    <row r="12725" spans="25:25" hidden="1" x14ac:dyDescent="0.25">
      <c r="Y12725" s="501"/>
    </row>
    <row r="12726" spans="25:25" hidden="1" x14ac:dyDescent="0.25">
      <c r="Y12726" s="501"/>
    </row>
    <row r="12727" spans="25:25" hidden="1" x14ac:dyDescent="0.25">
      <c r="Y12727" s="501"/>
    </row>
    <row r="12728" spans="25:25" hidden="1" x14ac:dyDescent="0.25">
      <c r="Y12728" s="501"/>
    </row>
    <row r="12729" spans="25:25" hidden="1" x14ac:dyDescent="0.25">
      <c r="Y12729" s="501"/>
    </row>
    <row r="12730" spans="25:25" hidden="1" x14ac:dyDescent="0.25">
      <c r="Y12730" s="501"/>
    </row>
    <row r="12731" spans="25:25" hidden="1" x14ac:dyDescent="0.25">
      <c r="Y12731" s="501"/>
    </row>
    <row r="12732" spans="25:25" hidden="1" x14ac:dyDescent="0.25">
      <c r="Y12732" s="501"/>
    </row>
    <row r="12733" spans="25:25" hidden="1" x14ac:dyDescent="0.25">
      <c r="Y12733" s="501"/>
    </row>
    <row r="12734" spans="25:25" hidden="1" x14ac:dyDescent="0.25">
      <c r="Y12734" s="501"/>
    </row>
    <row r="12735" spans="25:25" hidden="1" x14ac:dyDescent="0.25">
      <c r="Y12735" s="501"/>
    </row>
    <row r="12736" spans="25:25" hidden="1" x14ac:dyDescent="0.25">
      <c r="Y12736" s="501"/>
    </row>
    <row r="12737" spans="25:25" hidden="1" x14ac:dyDescent="0.25">
      <c r="Y12737" s="501"/>
    </row>
    <row r="12738" spans="25:25" hidden="1" x14ac:dyDescent="0.25">
      <c r="Y12738" s="501"/>
    </row>
    <row r="12739" spans="25:25" hidden="1" x14ac:dyDescent="0.25">
      <c r="Y12739" s="501"/>
    </row>
    <row r="12740" spans="25:25" hidden="1" x14ac:dyDescent="0.25">
      <c r="Y12740" s="501"/>
    </row>
    <row r="12741" spans="25:25" hidden="1" x14ac:dyDescent="0.25">
      <c r="Y12741" s="501"/>
    </row>
    <row r="12742" spans="25:25" hidden="1" x14ac:dyDescent="0.25">
      <c r="Y12742" s="501"/>
    </row>
    <row r="12743" spans="25:25" hidden="1" x14ac:dyDescent="0.25">
      <c r="Y12743" s="501"/>
    </row>
    <row r="12744" spans="25:25" hidden="1" x14ac:dyDescent="0.25">
      <c r="Y12744" s="501"/>
    </row>
    <row r="12745" spans="25:25" hidden="1" x14ac:dyDescent="0.25">
      <c r="Y12745" s="501"/>
    </row>
    <row r="12746" spans="25:25" hidden="1" x14ac:dyDescent="0.25">
      <c r="Y12746" s="501"/>
    </row>
    <row r="12747" spans="25:25" hidden="1" x14ac:dyDescent="0.25">
      <c r="Y12747" s="501"/>
    </row>
    <row r="12748" spans="25:25" hidden="1" x14ac:dyDescent="0.25">
      <c r="Y12748" s="501"/>
    </row>
    <row r="12749" spans="25:25" hidden="1" x14ac:dyDescent="0.25">
      <c r="Y12749" s="501"/>
    </row>
    <row r="12750" spans="25:25" hidden="1" x14ac:dyDescent="0.25">
      <c r="Y12750" s="501"/>
    </row>
    <row r="12751" spans="25:25" hidden="1" x14ac:dyDescent="0.25">
      <c r="Y12751" s="501"/>
    </row>
    <row r="12752" spans="25:25" hidden="1" x14ac:dyDescent="0.25">
      <c r="Y12752" s="501"/>
    </row>
    <row r="12753" spans="25:25" hidden="1" x14ac:dyDescent="0.25">
      <c r="Y12753" s="501"/>
    </row>
    <row r="12754" spans="25:25" hidden="1" x14ac:dyDescent="0.25">
      <c r="Y12754" s="501"/>
    </row>
    <row r="12755" spans="25:25" hidden="1" x14ac:dyDescent="0.25">
      <c r="Y12755" s="501"/>
    </row>
    <row r="12756" spans="25:25" hidden="1" x14ac:dyDescent="0.25">
      <c r="Y12756" s="501"/>
    </row>
    <row r="12757" spans="25:25" hidden="1" x14ac:dyDescent="0.25">
      <c r="Y12757" s="501"/>
    </row>
    <row r="12758" spans="25:25" hidden="1" x14ac:dyDescent="0.25">
      <c r="Y12758" s="501"/>
    </row>
    <row r="12759" spans="25:25" hidden="1" x14ac:dyDescent="0.25">
      <c r="Y12759" s="501"/>
    </row>
    <row r="12760" spans="25:25" hidden="1" x14ac:dyDescent="0.25">
      <c r="Y12760" s="501"/>
    </row>
    <row r="12761" spans="25:25" hidden="1" x14ac:dyDescent="0.25">
      <c r="Y12761" s="501"/>
    </row>
    <row r="12762" spans="25:25" hidden="1" x14ac:dyDescent="0.25">
      <c r="Y12762" s="501"/>
    </row>
    <row r="12763" spans="25:25" hidden="1" x14ac:dyDescent="0.25">
      <c r="Y12763" s="501"/>
    </row>
    <row r="12764" spans="25:25" hidden="1" x14ac:dyDescent="0.25">
      <c r="Y12764" s="501"/>
    </row>
    <row r="12765" spans="25:25" hidden="1" x14ac:dyDescent="0.25">
      <c r="Y12765" s="501"/>
    </row>
    <row r="12766" spans="25:25" hidden="1" x14ac:dyDescent="0.25">
      <c r="Y12766" s="501"/>
    </row>
    <row r="12767" spans="25:25" hidden="1" x14ac:dyDescent="0.25">
      <c r="Y12767" s="501"/>
    </row>
    <row r="12768" spans="25:25" hidden="1" x14ac:dyDescent="0.25">
      <c r="Y12768" s="501"/>
    </row>
    <row r="12769" spans="25:25" hidden="1" x14ac:dyDescent="0.25">
      <c r="Y12769" s="501"/>
    </row>
    <row r="12770" spans="25:25" hidden="1" x14ac:dyDescent="0.25">
      <c r="Y12770" s="501"/>
    </row>
    <row r="12771" spans="25:25" hidden="1" x14ac:dyDescent="0.25">
      <c r="Y12771" s="501"/>
    </row>
    <row r="12772" spans="25:25" hidden="1" x14ac:dyDescent="0.25">
      <c r="Y12772" s="501"/>
    </row>
    <row r="12773" spans="25:25" hidden="1" x14ac:dyDescent="0.25">
      <c r="Y12773" s="501"/>
    </row>
    <row r="12774" spans="25:25" hidden="1" x14ac:dyDescent="0.25">
      <c r="Y12774" s="501"/>
    </row>
    <row r="12775" spans="25:25" hidden="1" x14ac:dyDescent="0.25">
      <c r="Y12775" s="501"/>
    </row>
    <row r="12776" spans="25:25" hidden="1" x14ac:dyDescent="0.25">
      <c r="Y12776" s="501"/>
    </row>
    <row r="12777" spans="25:25" hidden="1" x14ac:dyDescent="0.25">
      <c r="Y12777" s="501"/>
    </row>
    <row r="12778" spans="25:25" hidden="1" x14ac:dyDescent="0.25">
      <c r="Y12778" s="501"/>
    </row>
    <row r="12779" spans="25:25" hidden="1" x14ac:dyDescent="0.25">
      <c r="Y12779" s="501"/>
    </row>
    <row r="12780" spans="25:25" hidden="1" x14ac:dyDescent="0.25">
      <c r="Y12780" s="501"/>
    </row>
    <row r="12781" spans="25:25" hidden="1" x14ac:dyDescent="0.25">
      <c r="Y12781" s="501"/>
    </row>
    <row r="12782" spans="25:25" hidden="1" x14ac:dyDescent="0.25">
      <c r="Y12782" s="501"/>
    </row>
    <row r="12783" spans="25:25" hidden="1" x14ac:dyDescent="0.25">
      <c r="Y12783" s="501"/>
    </row>
    <row r="12784" spans="25:25" hidden="1" x14ac:dyDescent="0.25">
      <c r="Y12784" s="501"/>
    </row>
    <row r="12785" spans="25:25" hidden="1" x14ac:dyDescent="0.25">
      <c r="Y12785" s="501"/>
    </row>
    <row r="12786" spans="25:25" hidden="1" x14ac:dyDescent="0.25">
      <c r="Y12786" s="501"/>
    </row>
    <row r="12787" spans="25:25" hidden="1" x14ac:dyDescent="0.25">
      <c r="Y12787" s="501"/>
    </row>
    <row r="12788" spans="25:25" hidden="1" x14ac:dyDescent="0.25">
      <c r="Y12788" s="501"/>
    </row>
    <row r="12789" spans="25:25" hidden="1" x14ac:dyDescent="0.25">
      <c r="Y12789" s="501"/>
    </row>
    <row r="12790" spans="25:25" hidden="1" x14ac:dyDescent="0.25">
      <c r="Y12790" s="501"/>
    </row>
    <row r="12791" spans="25:25" hidden="1" x14ac:dyDescent="0.25">
      <c r="Y12791" s="501"/>
    </row>
    <row r="12792" spans="25:25" hidden="1" x14ac:dyDescent="0.25">
      <c r="Y12792" s="501"/>
    </row>
    <row r="12793" spans="25:25" hidden="1" x14ac:dyDescent="0.25">
      <c r="Y12793" s="501"/>
    </row>
    <row r="12794" spans="25:25" hidden="1" x14ac:dyDescent="0.25">
      <c r="Y12794" s="501"/>
    </row>
    <row r="12795" spans="25:25" hidden="1" x14ac:dyDescent="0.25">
      <c r="Y12795" s="501"/>
    </row>
    <row r="12796" spans="25:25" hidden="1" x14ac:dyDescent="0.25">
      <c r="Y12796" s="501"/>
    </row>
    <row r="12797" spans="25:25" hidden="1" x14ac:dyDescent="0.25">
      <c r="Y12797" s="501"/>
    </row>
    <row r="12798" spans="25:25" hidden="1" x14ac:dyDescent="0.25">
      <c r="Y12798" s="501"/>
    </row>
    <row r="12799" spans="25:25" hidden="1" x14ac:dyDescent="0.25">
      <c r="Y12799" s="501"/>
    </row>
    <row r="12800" spans="25:25" hidden="1" x14ac:dyDescent="0.25">
      <c r="Y12800" s="501"/>
    </row>
    <row r="12801" spans="25:25" hidden="1" x14ac:dyDescent="0.25">
      <c r="Y12801" s="501"/>
    </row>
    <row r="12802" spans="25:25" hidden="1" x14ac:dyDescent="0.25">
      <c r="Y12802" s="501"/>
    </row>
    <row r="12803" spans="25:25" hidden="1" x14ac:dyDescent="0.25">
      <c r="Y12803" s="501"/>
    </row>
    <row r="12804" spans="25:25" hidden="1" x14ac:dyDescent="0.25">
      <c r="Y12804" s="501"/>
    </row>
    <row r="12805" spans="25:25" hidden="1" x14ac:dyDescent="0.25">
      <c r="Y12805" s="501"/>
    </row>
    <row r="12806" spans="25:25" hidden="1" x14ac:dyDescent="0.25">
      <c r="Y12806" s="501"/>
    </row>
    <row r="12807" spans="25:25" hidden="1" x14ac:dyDescent="0.25">
      <c r="Y12807" s="501"/>
    </row>
    <row r="12808" spans="25:25" hidden="1" x14ac:dyDescent="0.25">
      <c r="Y12808" s="501"/>
    </row>
    <row r="12809" spans="25:25" hidden="1" x14ac:dyDescent="0.25">
      <c r="Y12809" s="501"/>
    </row>
    <row r="12810" spans="25:25" hidden="1" x14ac:dyDescent="0.25">
      <c r="Y12810" s="501"/>
    </row>
    <row r="12811" spans="25:25" hidden="1" x14ac:dyDescent="0.25">
      <c r="Y12811" s="501"/>
    </row>
    <row r="12812" spans="25:25" hidden="1" x14ac:dyDescent="0.25">
      <c r="Y12812" s="501"/>
    </row>
    <row r="12813" spans="25:25" hidden="1" x14ac:dyDescent="0.25">
      <c r="Y12813" s="501"/>
    </row>
    <row r="12814" spans="25:25" hidden="1" x14ac:dyDescent="0.25">
      <c r="Y12814" s="501"/>
    </row>
    <row r="12815" spans="25:25" hidden="1" x14ac:dyDescent="0.25">
      <c r="Y12815" s="501"/>
    </row>
    <row r="12816" spans="25:25" hidden="1" x14ac:dyDescent="0.25">
      <c r="Y12816" s="501"/>
    </row>
    <row r="12817" spans="25:25" hidden="1" x14ac:dyDescent="0.25">
      <c r="Y12817" s="501"/>
    </row>
    <row r="12818" spans="25:25" hidden="1" x14ac:dyDescent="0.25">
      <c r="Y12818" s="501"/>
    </row>
    <row r="12819" spans="25:25" hidden="1" x14ac:dyDescent="0.25">
      <c r="Y12819" s="501"/>
    </row>
    <row r="12820" spans="25:25" hidden="1" x14ac:dyDescent="0.25">
      <c r="Y12820" s="501"/>
    </row>
    <row r="12821" spans="25:25" hidden="1" x14ac:dyDescent="0.25">
      <c r="Y12821" s="501"/>
    </row>
    <row r="12822" spans="25:25" hidden="1" x14ac:dyDescent="0.25">
      <c r="Y12822" s="501"/>
    </row>
    <row r="12823" spans="25:25" hidden="1" x14ac:dyDescent="0.25">
      <c r="Y12823" s="501"/>
    </row>
    <row r="12824" spans="25:25" hidden="1" x14ac:dyDescent="0.25">
      <c r="Y12824" s="501"/>
    </row>
    <row r="12825" spans="25:25" hidden="1" x14ac:dyDescent="0.25">
      <c r="Y12825" s="501"/>
    </row>
    <row r="12826" spans="25:25" hidden="1" x14ac:dyDescent="0.25">
      <c r="Y12826" s="501"/>
    </row>
    <row r="12827" spans="25:25" hidden="1" x14ac:dyDescent="0.25">
      <c r="Y12827" s="501"/>
    </row>
    <row r="12828" spans="25:25" hidden="1" x14ac:dyDescent="0.25">
      <c r="Y12828" s="501"/>
    </row>
    <row r="12829" spans="25:25" hidden="1" x14ac:dyDescent="0.25">
      <c r="Y12829" s="501"/>
    </row>
    <row r="12830" spans="25:25" hidden="1" x14ac:dyDescent="0.25">
      <c r="Y12830" s="501"/>
    </row>
    <row r="12831" spans="25:25" hidden="1" x14ac:dyDescent="0.25">
      <c r="Y12831" s="501"/>
    </row>
    <row r="12832" spans="25:25" hidden="1" x14ac:dyDescent="0.25">
      <c r="Y12832" s="501"/>
    </row>
    <row r="12833" spans="25:25" hidden="1" x14ac:dyDescent="0.25">
      <c r="Y12833" s="501"/>
    </row>
    <row r="12834" spans="25:25" hidden="1" x14ac:dyDescent="0.25">
      <c r="Y12834" s="501"/>
    </row>
    <row r="12835" spans="25:25" hidden="1" x14ac:dyDescent="0.25">
      <c r="Y12835" s="501"/>
    </row>
    <row r="12836" spans="25:25" hidden="1" x14ac:dyDescent="0.25">
      <c r="Y12836" s="501"/>
    </row>
    <row r="12837" spans="25:25" hidden="1" x14ac:dyDescent="0.25">
      <c r="Y12837" s="501"/>
    </row>
    <row r="12838" spans="25:25" hidden="1" x14ac:dyDescent="0.25">
      <c r="Y12838" s="501"/>
    </row>
    <row r="12839" spans="25:25" hidden="1" x14ac:dyDescent="0.25">
      <c r="Y12839" s="501"/>
    </row>
    <row r="12840" spans="25:25" hidden="1" x14ac:dyDescent="0.25">
      <c r="Y12840" s="501"/>
    </row>
    <row r="12841" spans="25:25" hidden="1" x14ac:dyDescent="0.25">
      <c r="Y12841" s="501"/>
    </row>
    <row r="12842" spans="25:25" hidden="1" x14ac:dyDescent="0.25">
      <c r="Y12842" s="501"/>
    </row>
    <row r="12843" spans="25:25" hidden="1" x14ac:dyDescent="0.25">
      <c r="Y12843" s="501"/>
    </row>
    <row r="12844" spans="25:25" hidden="1" x14ac:dyDescent="0.25">
      <c r="Y12844" s="501"/>
    </row>
    <row r="12845" spans="25:25" hidden="1" x14ac:dyDescent="0.25">
      <c r="Y12845" s="501"/>
    </row>
    <row r="12846" spans="25:25" hidden="1" x14ac:dyDescent="0.25">
      <c r="Y12846" s="501"/>
    </row>
    <row r="12847" spans="25:25" hidden="1" x14ac:dyDescent="0.25">
      <c r="Y12847" s="501"/>
    </row>
    <row r="12848" spans="25:25" hidden="1" x14ac:dyDescent="0.25">
      <c r="Y12848" s="501"/>
    </row>
    <row r="12849" spans="25:25" hidden="1" x14ac:dyDescent="0.25">
      <c r="Y12849" s="501"/>
    </row>
    <row r="12850" spans="25:25" hidden="1" x14ac:dyDescent="0.25">
      <c r="Y12850" s="501"/>
    </row>
    <row r="12851" spans="25:25" hidden="1" x14ac:dyDescent="0.25">
      <c r="Y12851" s="501"/>
    </row>
    <row r="12852" spans="25:25" hidden="1" x14ac:dyDescent="0.25">
      <c r="Y12852" s="501"/>
    </row>
    <row r="12853" spans="25:25" hidden="1" x14ac:dyDescent="0.25">
      <c r="Y12853" s="501"/>
    </row>
    <row r="12854" spans="25:25" hidden="1" x14ac:dyDescent="0.25">
      <c r="Y12854" s="501"/>
    </row>
    <row r="12855" spans="25:25" hidden="1" x14ac:dyDescent="0.25">
      <c r="Y12855" s="501"/>
    </row>
    <row r="12856" spans="25:25" hidden="1" x14ac:dyDescent="0.25">
      <c r="Y12856" s="501"/>
    </row>
    <row r="12857" spans="25:25" hidden="1" x14ac:dyDescent="0.25">
      <c r="Y12857" s="501"/>
    </row>
    <row r="12858" spans="25:25" hidden="1" x14ac:dyDescent="0.25">
      <c r="Y12858" s="501"/>
    </row>
    <row r="12859" spans="25:25" hidden="1" x14ac:dyDescent="0.25">
      <c r="Y12859" s="501"/>
    </row>
    <row r="12860" spans="25:25" hidden="1" x14ac:dyDescent="0.25">
      <c r="Y12860" s="501"/>
    </row>
    <row r="12861" spans="25:25" hidden="1" x14ac:dyDescent="0.25">
      <c r="Y12861" s="501"/>
    </row>
    <row r="12862" spans="25:25" hidden="1" x14ac:dyDescent="0.25">
      <c r="Y12862" s="501"/>
    </row>
    <row r="12863" spans="25:25" hidden="1" x14ac:dyDescent="0.25">
      <c r="Y12863" s="501"/>
    </row>
    <row r="12864" spans="25:25" hidden="1" x14ac:dyDescent="0.25">
      <c r="Y12864" s="501"/>
    </row>
    <row r="12865" spans="25:25" hidden="1" x14ac:dyDescent="0.25">
      <c r="Y12865" s="501"/>
    </row>
    <row r="12866" spans="25:25" hidden="1" x14ac:dyDescent="0.25">
      <c r="Y12866" s="501"/>
    </row>
    <row r="12867" spans="25:25" hidden="1" x14ac:dyDescent="0.25">
      <c r="Y12867" s="501"/>
    </row>
    <row r="12868" spans="25:25" hidden="1" x14ac:dyDescent="0.25">
      <c r="Y12868" s="501"/>
    </row>
    <row r="12869" spans="25:25" hidden="1" x14ac:dyDescent="0.25">
      <c r="Y12869" s="501"/>
    </row>
    <row r="12870" spans="25:25" hidden="1" x14ac:dyDescent="0.25">
      <c r="Y12870" s="501"/>
    </row>
    <row r="12871" spans="25:25" hidden="1" x14ac:dyDescent="0.25">
      <c r="Y12871" s="501"/>
    </row>
    <row r="12872" spans="25:25" hidden="1" x14ac:dyDescent="0.25">
      <c r="Y12872" s="501"/>
    </row>
    <row r="12873" spans="25:25" hidden="1" x14ac:dyDescent="0.25">
      <c r="Y12873" s="501"/>
    </row>
    <row r="12874" spans="25:25" hidden="1" x14ac:dyDescent="0.25">
      <c r="Y12874" s="501"/>
    </row>
    <row r="12875" spans="25:25" hidden="1" x14ac:dyDescent="0.25">
      <c r="Y12875" s="501"/>
    </row>
    <row r="12876" spans="25:25" hidden="1" x14ac:dyDescent="0.25">
      <c r="Y12876" s="501"/>
    </row>
    <row r="12877" spans="25:25" hidden="1" x14ac:dyDescent="0.25">
      <c r="Y12877" s="501"/>
    </row>
    <row r="12878" spans="25:25" hidden="1" x14ac:dyDescent="0.25">
      <c r="Y12878" s="501"/>
    </row>
    <row r="12879" spans="25:25" hidden="1" x14ac:dyDescent="0.25">
      <c r="Y12879" s="501"/>
    </row>
    <row r="12880" spans="25:25" hidden="1" x14ac:dyDescent="0.25">
      <c r="Y12880" s="501"/>
    </row>
    <row r="12881" spans="25:25" hidden="1" x14ac:dyDescent="0.25">
      <c r="Y12881" s="501"/>
    </row>
    <row r="12882" spans="25:25" hidden="1" x14ac:dyDescent="0.25">
      <c r="Y12882" s="501"/>
    </row>
    <row r="12883" spans="25:25" hidden="1" x14ac:dyDescent="0.25">
      <c r="Y12883" s="501"/>
    </row>
    <row r="12884" spans="25:25" hidden="1" x14ac:dyDescent="0.25">
      <c r="Y12884" s="501"/>
    </row>
    <row r="12885" spans="25:25" hidden="1" x14ac:dyDescent="0.25">
      <c r="Y12885" s="501"/>
    </row>
    <row r="12886" spans="25:25" hidden="1" x14ac:dyDescent="0.25">
      <c r="Y12886" s="501"/>
    </row>
    <row r="12887" spans="25:25" hidden="1" x14ac:dyDescent="0.25">
      <c r="Y12887" s="501"/>
    </row>
    <row r="12888" spans="25:25" hidden="1" x14ac:dyDescent="0.25">
      <c r="Y12888" s="501"/>
    </row>
    <row r="12889" spans="25:25" hidden="1" x14ac:dyDescent="0.25">
      <c r="Y12889" s="501"/>
    </row>
    <row r="12890" spans="25:25" hidden="1" x14ac:dyDescent="0.25">
      <c r="Y12890" s="501"/>
    </row>
    <row r="12891" spans="25:25" hidden="1" x14ac:dyDescent="0.25">
      <c r="Y12891" s="501"/>
    </row>
    <row r="12892" spans="25:25" hidden="1" x14ac:dyDescent="0.25">
      <c r="Y12892" s="501"/>
    </row>
    <row r="12893" spans="25:25" hidden="1" x14ac:dyDescent="0.25">
      <c r="Y12893" s="501"/>
    </row>
    <row r="12894" spans="25:25" hidden="1" x14ac:dyDescent="0.25">
      <c r="Y12894" s="501"/>
    </row>
    <row r="12895" spans="25:25" hidden="1" x14ac:dyDescent="0.25">
      <c r="Y12895" s="501"/>
    </row>
    <row r="12896" spans="25:25" hidden="1" x14ac:dyDescent="0.25">
      <c r="Y12896" s="501"/>
    </row>
    <row r="12897" spans="25:25" hidden="1" x14ac:dyDescent="0.25">
      <c r="Y12897" s="501"/>
    </row>
    <row r="12898" spans="25:25" hidden="1" x14ac:dyDescent="0.25">
      <c r="Y12898" s="501"/>
    </row>
    <row r="12899" spans="25:25" hidden="1" x14ac:dyDescent="0.25">
      <c r="Y12899" s="501"/>
    </row>
    <row r="12900" spans="25:25" hidden="1" x14ac:dyDescent="0.25">
      <c r="Y12900" s="501"/>
    </row>
    <row r="12901" spans="25:25" hidden="1" x14ac:dyDescent="0.25">
      <c r="Y12901" s="501"/>
    </row>
    <row r="12902" spans="25:25" hidden="1" x14ac:dyDescent="0.25">
      <c r="Y12902" s="501"/>
    </row>
    <row r="12903" spans="25:25" hidden="1" x14ac:dyDescent="0.25">
      <c r="Y12903" s="501"/>
    </row>
    <row r="12904" spans="25:25" hidden="1" x14ac:dyDescent="0.25">
      <c r="Y12904" s="501"/>
    </row>
    <row r="12905" spans="25:25" hidden="1" x14ac:dyDescent="0.25">
      <c r="Y12905" s="501"/>
    </row>
    <row r="12906" spans="25:25" hidden="1" x14ac:dyDescent="0.25">
      <c r="Y12906" s="501"/>
    </row>
    <row r="12907" spans="25:25" hidden="1" x14ac:dyDescent="0.25">
      <c r="Y12907" s="501"/>
    </row>
    <row r="12908" spans="25:25" hidden="1" x14ac:dyDescent="0.25">
      <c r="Y12908" s="501"/>
    </row>
    <row r="12909" spans="25:25" hidden="1" x14ac:dyDescent="0.25">
      <c r="Y12909" s="501"/>
    </row>
    <row r="12910" spans="25:25" hidden="1" x14ac:dyDescent="0.25">
      <c r="Y12910" s="501"/>
    </row>
    <row r="12911" spans="25:25" hidden="1" x14ac:dyDescent="0.25">
      <c r="Y12911" s="501"/>
    </row>
    <row r="12912" spans="25:25" hidden="1" x14ac:dyDescent="0.25">
      <c r="Y12912" s="501"/>
    </row>
    <row r="12913" spans="25:25" hidden="1" x14ac:dyDescent="0.25">
      <c r="Y12913" s="501"/>
    </row>
    <row r="12914" spans="25:25" hidden="1" x14ac:dyDescent="0.25">
      <c r="Y12914" s="501"/>
    </row>
    <row r="12915" spans="25:25" hidden="1" x14ac:dyDescent="0.25">
      <c r="Y12915" s="501"/>
    </row>
    <row r="12916" spans="25:25" hidden="1" x14ac:dyDescent="0.25">
      <c r="Y12916" s="501"/>
    </row>
    <row r="12917" spans="25:25" hidden="1" x14ac:dyDescent="0.25">
      <c r="Y12917" s="501"/>
    </row>
    <row r="12918" spans="25:25" hidden="1" x14ac:dyDescent="0.25">
      <c r="Y12918" s="501"/>
    </row>
    <row r="12919" spans="25:25" hidden="1" x14ac:dyDescent="0.25">
      <c r="Y12919" s="501"/>
    </row>
    <row r="12920" spans="25:25" hidden="1" x14ac:dyDescent="0.25">
      <c r="Y12920" s="501"/>
    </row>
    <row r="12921" spans="25:25" hidden="1" x14ac:dyDescent="0.25">
      <c r="Y12921" s="501"/>
    </row>
    <row r="12922" spans="25:25" hidden="1" x14ac:dyDescent="0.25">
      <c r="Y12922" s="501"/>
    </row>
    <row r="12923" spans="25:25" hidden="1" x14ac:dyDescent="0.25">
      <c r="Y12923" s="501"/>
    </row>
    <row r="12924" spans="25:25" hidden="1" x14ac:dyDescent="0.25">
      <c r="Y12924" s="501"/>
    </row>
    <row r="12925" spans="25:25" hidden="1" x14ac:dyDescent="0.25">
      <c r="Y12925" s="501"/>
    </row>
    <row r="12926" spans="25:25" hidden="1" x14ac:dyDescent="0.25">
      <c r="Y12926" s="501"/>
    </row>
    <row r="12927" spans="25:25" hidden="1" x14ac:dyDescent="0.25">
      <c r="Y12927" s="501"/>
    </row>
    <row r="12928" spans="25:25" hidden="1" x14ac:dyDescent="0.25">
      <c r="Y12928" s="501"/>
    </row>
    <row r="12929" spans="25:25" hidden="1" x14ac:dyDescent="0.25">
      <c r="Y12929" s="501"/>
    </row>
    <row r="12930" spans="25:25" hidden="1" x14ac:dyDescent="0.25">
      <c r="Y12930" s="501"/>
    </row>
    <row r="12931" spans="25:25" hidden="1" x14ac:dyDescent="0.25">
      <c r="Y12931" s="501"/>
    </row>
    <row r="12932" spans="25:25" hidden="1" x14ac:dyDescent="0.25">
      <c r="Y12932" s="501"/>
    </row>
    <row r="12933" spans="25:25" hidden="1" x14ac:dyDescent="0.25">
      <c r="Y12933" s="501"/>
    </row>
    <row r="12934" spans="25:25" hidden="1" x14ac:dyDescent="0.25">
      <c r="Y12934" s="501"/>
    </row>
    <row r="12935" spans="25:25" hidden="1" x14ac:dyDescent="0.25">
      <c r="Y12935" s="501"/>
    </row>
    <row r="12936" spans="25:25" hidden="1" x14ac:dyDescent="0.25">
      <c r="Y12936" s="501"/>
    </row>
    <row r="12937" spans="25:25" hidden="1" x14ac:dyDescent="0.25">
      <c r="Y12937" s="501"/>
    </row>
    <row r="12938" spans="25:25" hidden="1" x14ac:dyDescent="0.25">
      <c r="Y12938" s="501"/>
    </row>
    <row r="12939" spans="25:25" hidden="1" x14ac:dyDescent="0.25">
      <c r="Y12939" s="501"/>
    </row>
    <row r="12940" spans="25:25" hidden="1" x14ac:dyDescent="0.25">
      <c r="Y12940" s="501"/>
    </row>
    <row r="12941" spans="25:25" hidden="1" x14ac:dyDescent="0.25">
      <c r="Y12941" s="501"/>
    </row>
    <row r="12942" spans="25:25" hidden="1" x14ac:dyDescent="0.25">
      <c r="Y12942" s="501"/>
    </row>
    <row r="12943" spans="25:25" hidden="1" x14ac:dyDescent="0.25">
      <c r="Y12943" s="501"/>
    </row>
    <row r="12944" spans="25:25" hidden="1" x14ac:dyDescent="0.25">
      <c r="Y12944" s="501"/>
    </row>
    <row r="12945" spans="25:25" hidden="1" x14ac:dyDescent="0.25">
      <c r="Y12945" s="501"/>
    </row>
    <row r="12946" spans="25:25" hidden="1" x14ac:dyDescent="0.25">
      <c r="Y12946" s="501"/>
    </row>
    <row r="12947" spans="25:25" hidden="1" x14ac:dyDescent="0.25">
      <c r="Y12947" s="501"/>
    </row>
    <row r="12948" spans="25:25" hidden="1" x14ac:dyDescent="0.25">
      <c r="Y12948" s="501"/>
    </row>
    <row r="12949" spans="25:25" hidden="1" x14ac:dyDescent="0.25">
      <c r="Y12949" s="501"/>
    </row>
    <row r="12950" spans="25:25" hidden="1" x14ac:dyDescent="0.25">
      <c r="Y12950" s="501"/>
    </row>
    <row r="12951" spans="25:25" hidden="1" x14ac:dyDescent="0.25">
      <c r="Y12951" s="501"/>
    </row>
    <row r="12952" spans="25:25" hidden="1" x14ac:dyDescent="0.25">
      <c r="Y12952" s="501"/>
    </row>
    <row r="12953" spans="25:25" hidden="1" x14ac:dyDescent="0.25">
      <c r="Y12953" s="501"/>
    </row>
    <row r="12954" spans="25:25" hidden="1" x14ac:dyDescent="0.25">
      <c r="Y12954" s="501"/>
    </row>
    <row r="12955" spans="25:25" hidden="1" x14ac:dyDescent="0.25">
      <c r="Y12955" s="501"/>
    </row>
    <row r="12956" spans="25:25" hidden="1" x14ac:dyDescent="0.25">
      <c r="Y12956" s="501"/>
    </row>
    <row r="12957" spans="25:25" hidden="1" x14ac:dyDescent="0.25">
      <c r="Y12957" s="501"/>
    </row>
    <row r="12958" spans="25:25" hidden="1" x14ac:dyDescent="0.25">
      <c r="Y12958" s="501"/>
    </row>
    <row r="12959" spans="25:25" hidden="1" x14ac:dyDescent="0.25">
      <c r="Y12959" s="501"/>
    </row>
    <row r="12960" spans="25:25" hidden="1" x14ac:dyDescent="0.25">
      <c r="Y12960" s="501"/>
    </row>
    <row r="12961" spans="25:25" hidden="1" x14ac:dyDescent="0.25">
      <c r="Y12961" s="501"/>
    </row>
    <row r="12962" spans="25:25" hidden="1" x14ac:dyDescent="0.25">
      <c r="Y12962" s="501"/>
    </row>
    <row r="12963" spans="25:25" hidden="1" x14ac:dyDescent="0.25">
      <c r="Y12963" s="501"/>
    </row>
    <row r="12964" spans="25:25" hidden="1" x14ac:dyDescent="0.25">
      <c r="Y12964" s="501"/>
    </row>
    <row r="12965" spans="25:25" hidden="1" x14ac:dyDescent="0.25">
      <c r="Y12965" s="501"/>
    </row>
    <row r="12966" spans="25:25" hidden="1" x14ac:dyDescent="0.25">
      <c r="Y12966" s="501"/>
    </row>
    <row r="12967" spans="25:25" hidden="1" x14ac:dyDescent="0.25">
      <c r="Y12967" s="501"/>
    </row>
    <row r="12968" spans="25:25" hidden="1" x14ac:dyDescent="0.25">
      <c r="Y12968" s="501"/>
    </row>
    <row r="12969" spans="25:25" hidden="1" x14ac:dyDescent="0.25">
      <c r="Y12969" s="501"/>
    </row>
    <row r="12970" spans="25:25" hidden="1" x14ac:dyDescent="0.25">
      <c r="Y12970" s="501"/>
    </row>
    <row r="12971" spans="25:25" hidden="1" x14ac:dyDescent="0.25">
      <c r="Y12971" s="501"/>
    </row>
    <row r="12972" spans="25:25" hidden="1" x14ac:dyDescent="0.25">
      <c r="Y12972" s="501"/>
    </row>
    <row r="12973" spans="25:25" hidden="1" x14ac:dyDescent="0.25">
      <c r="Y12973" s="501"/>
    </row>
    <row r="12974" spans="25:25" hidden="1" x14ac:dyDescent="0.25">
      <c r="Y12974" s="501"/>
    </row>
    <row r="12975" spans="25:25" hidden="1" x14ac:dyDescent="0.25">
      <c r="Y12975" s="501"/>
    </row>
    <row r="12976" spans="25:25" hidden="1" x14ac:dyDescent="0.25">
      <c r="Y12976" s="501"/>
    </row>
    <row r="12977" spans="25:25" hidden="1" x14ac:dyDescent="0.25">
      <c r="Y12977" s="501"/>
    </row>
    <row r="12978" spans="25:25" hidden="1" x14ac:dyDescent="0.25">
      <c r="Y12978" s="501"/>
    </row>
    <row r="12979" spans="25:25" hidden="1" x14ac:dyDescent="0.25">
      <c r="Y12979" s="501"/>
    </row>
    <row r="12980" spans="25:25" hidden="1" x14ac:dyDescent="0.25">
      <c r="Y12980" s="501"/>
    </row>
    <row r="12981" spans="25:25" hidden="1" x14ac:dyDescent="0.25">
      <c r="Y12981" s="501"/>
    </row>
    <row r="12982" spans="25:25" hidden="1" x14ac:dyDescent="0.25">
      <c r="Y12982" s="501"/>
    </row>
    <row r="12983" spans="25:25" hidden="1" x14ac:dyDescent="0.25">
      <c r="Y12983" s="501"/>
    </row>
    <row r="12984" spans="25:25" hidden="1" x14ac:dyDescent="0.25">
      <c r="Y12984" s="501"/>
    </row>
    <row r="12985" spans="25:25" hidden="1" x14ac:dyDescent="0.25">
      <c r="Y12985" s="501"/>
    </row>
    <row r="12986" spans="25:25" hidden="1" x14ac:dyDescent="0.25">
      <c r="Y12986" s="501"/>
    </row>
    <row r="12987" spans="25:25" hidden="1" x14ac:dyDescent="0.25">
      <c r="Y12987" s="501"/>
    </row>
    <row r="12988" spans="25:25" hidden="1" x14ac:dyDescent="0.25">
      <c r="Y12988" s="501"/>
    </row>
    <row r="12989" spans="25:25" hidden="1" x14ac:dyDescent="0.25">
      <c r="Y12989" s="501"/>
    </row>
    <row r="12990" spans="25:25" hidden="1" x14ac:dyDescent="0.25">
      <c r="Y12990" s="501"/>
    </row>
    <row r="12991" spans="25:25" hidden="1" x14ac:dyDescent="0.25">
      <c r="Y12991" s="501"/>
    </row>
    <row r="12992" spans="25:25" hidden="1" x14ac:dyDescent="0.25">
      <c r="Y12992" s="501"/>
    </row>
    <row r="12993" spans="25:25" hidden="1" x14ac:dyDescent="0.25">
      <c r="Y12993" s="501"/>
    </row>
    <row r="12994" spans="25:25" hidden="1" x14ac:dyDescent="0.25">
      <c r="Y12994" s="501"/>
    </row>
    <row r="12995" spans="25:25" hidden="1" x14ac:dyDescent="0.25">
      <c r="Y12995" s="501"/>
    </row>
    <row r="12996" spans="25:25" hidden="1" x14ac:dyDescent="0.25">
      <c r="Y12996" s="501"/>
    </row>
    <row r="12997" spans="25:25" hidden="1" x14ac:dyDescent="0.25">
      <c r="Y12997" s="501"/>
    </row>
    <row r="12998" spans="25:25" hidden="1" x14ac:dyDescent="0.25">
      <c r="Y12998" s="501"/>
    </row>
    <row r="12999" spans="25:25" hidden="1" x14ac:dyDescent="0.25">
      <c r="Y12999" s="501"/>
    </row>
    <row r="13000" spans="25:25" hidden="1" x14ac:dyDescent="0.25">
      <c r="Y13000" s="501"/>
    </row>
    <row r="13001" spans="25:25" hidden="1" x14ac:dyDescent="0.25">
      <c r="Y13001" s="501"/>
    </row>
    <row r="13002" spans="25:25" hidden="1" x14ac:dyDescent="0.25">
      <c r="Y13002" s="501"/>
    </row>
    <row r="13003" spans="25:25" hidden="1" x14ac:dyDescent="0.25">
      <c r="Y13003" s="501"/>
    </row>
    <row r="13004" spans="25:25" hidden="1" x14ac:dyDescent="0.25">
      <c r="Y13004" s="501"/>
    </row>
    <row r="13005" spans="25:25" hidden="1" x14ac:dyDescent="0.25">
      <c r="Y13005" s="501"/>
    </row>
    <row r="13006" spans="25:25" hidden="1" x14ac:dyDescent="0.25">
      <c r="Y13006" s="501"/>
    </row>
    <row r="13007" spans="25:25" hidden="1" x14ac:dyDescent="0.25">
      <c r="Y13007" s="501"/>
    </row>
    <row r="13008" spans="25:25" hidden="1" x14ac:dyDescent="0.25">
      <c r="Y13008" s="501"/>
    </row>
    <row r="13009" spans="25:25" hidden="1" x14ac:dyDescent="0.25">
      <c r="Y13009" s="501"/>
    </row>
    <row r="13010" spans="25:25" hidden="1" x14ac:dyDescent="0.25">
      <c r="Y13010" s="501"/>
    </row>
    <row r="13011" spans="25:25" hidden="1" x14ac:dyDescent="0.25">
      <c r="Y13011" s="501"/>
    </row>
    <row r="13012" spans="25:25" hidden="1" x14ac:dyDescent="0.25">
      <c r="Y13012" s="501"/>
    </row>
    <row r="13013" spans="25:25" hidden="1" x14ac:dyDescent="0.25">
      <c r="Y13013" s="501"/>
    </row>
    <row r="13014" spans="25:25" hidden="1" x14ac:dyDescent="0.25">
      <c r="Y13014" s="501"/>
    </row>
    <row r="13015" spans="25:25" hidden="1" x14ac:dyDescent="0.25">
      <c r="Y13015" s="501"/>
    </row>
    <row r="13016" spans="25:25" hidden="1" x14ac:dyDescent="0.25">
      <c r="Y13016" s="501"/>
    </row>
    <row r="13017" spans="25:25" hidden="1" x14ac:dyDescent="0.25">
      <c r="Y13017" s="501"/>
    </row>
    <row r="13018" spans="25:25" hidden="1" x14ac:dyDescent="0.25">
      <c r="Y13018" s="501"/>
    </row>
    <row r="13019" spans="25:25" hidden="1" x14ac:dyDescent="0.25">
      <c r="Y13019" s="501"/>
    </row>
    <row r="13020" spans="25:25" hidden="1" x14ac:dyDescent="0.25">
      <c r="Y13020" s="501"/>
    </row>
    <row r="13021" spans="25:25" hidden="1" x14ac:dyDescent="0.25">
      <c r="Y13021" s="501"/>
    </row>
    <row r="13022" spans="25:25" hidden="1" x14ac:dyDescent="0.25">
      <c r="Y13022" s="501"/>
    </row>
    <row r="13023" spans="25:25" hidden="1" x14ac:dyDescent="0.25">
      <c r="Y13023" s="501"/>
    </row>
    <row r="13024" spans="25:25" hidden="1" x14ac:dyDescent="0.25">
      <c r="Y13024" s="501"/>
    </row>
    <row r="13025" spans="25:25" hidden="1" x14ac:dyDescent="0.25">
      <c r="Y13025" s="501"/>
    </row>
    <row r="13026" spans="25:25" hidden="1" x14ac:dyDescent="0.25">
      <c r="Y13026" s="501"/>
    </row>
    <row r="13027" spans="25:25" hidden="1" x14ac:dyDescent="0.25">
      <c r="Y13027" s="501"/>
    </row>
    <row r="13028" spans="25:25" hidden="1" x14ac:dyDescent="0.25">
      <c r="Y13028" s="501"/>
    </row>
    <row r="13029" spans="25:25" hidden="1" x14ac:dyDescent="0.25">
      <c r="Y13029" s="501"/>
    </row>
    <row r="13030" spans="25:25" hidden="1" x14ac:dyDescent="0.25">
      <c r="Y13030" s="501"/>
    </row>
    <row r="13031" spans="25:25" hidden="1" x14ac:dyDescent="0.25">
      <c r="Y13031" s="501"/>
    </row>
    <row r="13032" spans="25:25" hidden="1" x14ac:dyDescent="0.25">
      <c r="Y13032" s="501"/>
    </row>
    <row r="13033" spans="25:25" hidden="1" x14ac:dyDescent="0.25">
      <c r="Y13033" s="501"/>
    </row>
    <row r="13034" spans="25:25" hidden="1" x14ac:dyDescent="0.25">
      <c r="Y13034" s="501"/>
    </row>
    <row r="13035" spans="25:25" hidden="1" x14ac:dyDescent="0.25">
      <c r="Y13035" s="501"/>
    </row>
    <row r="13036" spans="25:25" hidden="1" x14ac:dyDescent="0.25">
      <c r="Y13036" s="501"/>
    </row>
    <row r="13037" spans="25:25" hidden="1" x14ac:dyDescent="0.25">
      <c r="Y13037" s="501"/>
    </row>
    <row r="13038" spans="25:25" hidden="1" x14ac:dyDescent="0.25">
      <c r="Y13038" s="501"/>
    </row>
    <row r="13039" spans="25:25" hidden="1" x14ac:dyDescent="0.25">
      <c r="Y13039" s="501"/>
    </row>
    <row r="13040" spans="25:25" hidden="1" x14ac:dyDescent="0.25">
      <c r="Y13040" s="501"/>
    </row>
    <row r="13041" spans="25:25" hidden="1" x14ac:dyDescent="0.25">
      <c r="Y13041" s="501"/>
    </row>
    <row r="13042" spans="25:25" hidden="1" x14ac:dyDescent="0.25">
      <c r="Y13042" s="501"/>
    </row>
    <row r="13043" spans="25:25" hidden="1" x14ac:dyDescent="0.25">
      <c r="Y13043" s="501"/>
    </row>
    <row r="13044" spans="25:25" hidden="1" x14ac:dyDescent="0.25">
      <c r="Y13044" s="501"/>
    </row>
    <row r="13045" spans="25:25" hidden="1" x14ac:dyDescent="0.25">
      <c r="Y13045" s="501"/>
    </row>
    <row r="13046" spans="25:25" hidden="1" x14ac:dyDescent="0.25">
      <c r="Y13046" s="501"/>
    </row>
    <row r="13047" spans="25:25" hidden="1" x14ac:dyDescent="0.25">
      <c r="Y13047" s="501"/>
    </row>
    <row r="13048" spans="25:25" hidden="1" x14ac:dyDescent="0.25">
      <c r="Y13048" s="501"/>
    </row>
    <row r="13049" spans="25:25" hidden="1" x14ac:dyDescent="0.25">
      <c r="Y13049" s="501"/>
    </row>
    <row r="13050" spans="25:25" hidden="1" x14ac:dyDescent="0.25">
      <c r="Y13050" s="501"/>
    </row>
    <row r="13051" spans="25:25" hidden="1" x14ac:dyDescent="0.25">
      <c r="Y13051" s="501"/>
    </row>
    <row r="13052" spans="25:25" hidden="1" x14ac:dyDescent="0.25">
      <c r="Y13052" s="501"/>
    </row>
    <row r="13053" spans="25:25" hidden="1" x14ac:dyDescent="0.25">
      <c r="Y13053" s="501"/>
    </row>
    <row r="13054" spans="25:25" hidden="1" x14ac:dyDescent="0.25">
      <c r="Y13054" s="501"/>
    </row>
    <row r="13055" spans="25:25" hidden="1" x14ac:dyDescent="0.25">
      <c r="Y13055" s="501"/>
    </row>
    <row r="13056" spans="25:25" hidden="1" x14ac:dyDescent="0.25">
      <c r="Y13056" s="501"/>
    </row>
    <row r="13057" spans="25:25" hidden="1" x14ac:dyDescent="0.25">
      <c r="Y13057" s="501"/>
    </row>
    <row r="13058" spans="25:25" hidden="1" x14ac:dyDescent="0.25">
      <c r="Y13058" s="501"/>
    </row>
    <row r="13059" spans="25:25" hidden="1" x14ac:dyDescent="0.25">
      <c r="Y13059" s="501"/>
    </row>
    <row r="13060" spans="25:25" hidden="1" x14ac:dyDescent="0.25">
      <c r="Y13060" s="501"/>
    </row>
    <row r="13061" spans="25:25" hidden="1" x14ac:dyDescent="0.25">
      <c r="Y13061" s="501"/>
    </row>
    <row r="13062" spans="25:25" hidden="1" x14ac:dyDescent="0.25">
      <c r="Y13062" s="501"/>
    </row>
    <row r="13063" spans="25:25" hidden="1" x14ac:dyDescent="0.25">
      <c r="Y13063" s="501"/>
    </row>
    <row r="13064" spans="25:25" hidden="1" x14ac:dyDescent="0.25">
      <c r="Y13064" s="501"/>
    </row>
    <row r="13065" spans="25:25" hidden="1" x14ac:dyDescent="0.25">
      <c r="Y13065" s="501"/>
    </row>
    <row r="13066" spans="25:25" hidden="1" x14ac:dyDescent="0.25">
      <c r="Y13066" s="501"/>
    </row>
    <row r="13067" spans="25:25" hidden="1" x14ac:dyDescent="0.25">
      <c r="Y13067" s="501"/>
    </row>
    <row r="13068" spans="25:25" hidden="1" x14ac:dyDescent="0.25">
      <c r="Y13068" s="501"/>
    </row>
    <row r="13069" spans="25:25" hidden="1" x14ac:dyDescent="0.25">
      <c r="Y13069" s="501"/>
    </row>
    <row r="13070" spans="25:25" hidden="1" x14ac:dyDescent="0.25">
      <c r="Y13070" s="501"/>
    </row>
    <row r="13071" spans="25:25" hidden="1" x14ac:dyDescent="0.25">
      <c r="Y13071" s="501"/>
    </row>
    <row r="13072" spans="25:25" hidden="1" x14ac:dyDescent="0.25">
      <c r="Y13072" s="501"/>
    </row>
    <row r="13073" spans="25:25" hidden="1" x14ac:dyDescent="0.25">
      <c r="Y13073" s="501"/>
    </row>
    <row r="13074" spans="25:25" hidden="1" x14ac:dyDescent="0.25">
      <c r="Y13074" s="501"/>
    </row>
    <row r="13075" spans="25:25" hidden="1" x14ac:dyDescent="0.25">
      <c r="Y13075" s="501"/>
    </row>
    <row r="13076" spans="25:25" hidden="1" x14ac:dyDescent="0.25">
      <c r="Y13076" s="501"/>
    </row>
    <row r="13077" spans="25:25" hidden="1" x14ac:dyDescent="0.25">
      <c r="Y13077" s="501"/>
    </row>
    <row r="13078" spans="25:25" hidden="1" x14ac:dyDescent="0.25">
      <c r="Y13078" s="501"/>
    </row>
    <row r="13079" spans="25:25" hidden="1" x14ac:dyDescent="0.25">
      <c r="Y13079" s="501"/>
    </row>
    <row r="13080" spans="25:25" hidden="1" x14ac:dyDescent="0.25">
      <c r="Y13080" s="501"/>
    </row>
    <row r="13081" spans="25:25" hidden="1" x14ac:dyDescent="0.25">
      <c r="Y13081" s="501"/>
    </row>
    <row r="13082" spans="25:25" hidden="1" x14ac:dyDescent="0.25">
      <c r="Y13082" s="501"/>
    </row>
    <row r="13083" spans="25:25" hidden="1" x14ac:dyDescent="0.25">
      <c r="Y13083" s="501"/>
    </row>
    <row r="13084" spans="25:25" hidden="1" x14ac:dyDescent="0.25">
      <c r="Y13084" s="501"/>
    </row>
    <row r="13085" spans="25:25" hidden="1" x14ac:dyDescent="0.25">
      <c r="Y13085" s="501"/>
    </row>
    <row r="13086" spans="25:25" hidden="1" x14ac:dyDescent="0.25">
      <c r="Y13086" s="501"/>
    </row>
    <row r="13087" spans="25:25" hidden="1" x14ac:dyDescent="0.25">
      <c r="Y13087" s="501"/>
    </row>
    <row r="13088" spans="25:25" hidden="1" x14ac:dyDescent="0.25">
      <c r="Y13088" s="501"/>
    </row>
    <row r="13089" spans="25:25" hidden="1" x14ac:dyDescent="0.25">
      <c r="Y13089" s="501"/>
    </row>
    <row r="13090" spans="25:25" hidden="1" x14ac:dyDescent="0.25">
      <c r="Y13090" s="501"/>
    </row>
    <row r="13091" spans="25:25" hidden="1" x14ac:dyDescent="0.25">
      <c r="Y13091" s="501"/>
    </row>
    <row r="13092" spans="25:25" hidden="1" x14ac:dyDescent="0.25">
      <c r="Y13092" s="501"/>
    </row>
    <row r="13093" spans="25:25" hidden="1" x14ac:dyDescent="0.25">
      <c r="Y13093" s="501"/>
    </row>
    <row r="13094" spans="25:25" hidden="1" x14ac:dyDescent="0.25">
      <c r="Y13094" s="501"/>
    </row>
    <row r="13095" spans="25:25" hidden="1" x14ac:dyDescent="0.25">
      <c r="Y13095" s="501"/>
    </row>
    <row r="13096" spans="25:25" hidden="1" x14ac:dyDescent="0.25">
      <c r="Y13096" s="501"/>
    </row>
    <row r="13097" spans="25:25" hidden="1" x14ac:dyDescent="0.25">
      <c r="Y13097" s="501"/>
    </row>
    <row r="13098" spans="25:25" hidden="1" x14ac:dyDescent="0.25">
      <c r="Y13098" s="501"/>
    </row>
    <row r="13099" spans="25:25" hidden="1" x14ac:dyDescent="0.25">
      <c r="Y13099" s="501"/>
    </row>
    <row r="13100" spans="25:25" hidden="1" x14ac:dyDescent="0.25">
      <c r="Y13100" s="501"/>
    </row>
    <row r="13101" spans="25:25" hidden="1" x14ac:dyDescent="0.25">
      <c r="Y13101" s="501"/>
    </row>
    <row r="13102" spans="25:25" hidden="1" x14ac:dyDescent="0.25">
      <c r="Y13102" s="501"/>
    </row>
    <row r="13103" spans="25:25" hidden="1" x14ac:dyDescent="0.25">
      <c r="Y13103" s="501"/>
    </row>
    <row r="13104" spans="25:25" hidden="1" x14ac:dyDescent="0.25">
      <c r="Y13104" s="501"/>
    </row>
    <row r="13105" spans="25:25" hidden="1" x14ac:dyDescent="0.25">
      <c r="Y13105" s="501"/>
    </row>
    <row r="13106" spans="25:25" hidden="1" x14ac:dyDescent="0.25">
      <c r="Y13106" s="501"/>
    </row>
    <row r="13107" spans="25:25" hidden="1" x14ac:dyDescent="0.25">
      <c r="Y13107" s="501"/>
    </row>
    <row r="13108" spans="25:25" hidden="1" x14ac:dyDescent="0.25">
      <c r="Y13108" s="501"/>
    </row>
    <row r="13109" spans="25:25" hidden="1" x14ac:dyDescent="0.25">
      <c r="Y13109" s="501"/>
    </row>
    <row r="13110" spans="25:25" hidden="1" x14ac:dyDescent="0.25">
      <c r="Y13110" s="501"/>
    </row>
    <row r="13111" spans="25:25" hidden="1" x14ac:dyDescent="0.25">
      <c r="Y13111" s="501"/>
    </row>
    <row r="13112" spans="25:25" hidden="1" x14ac:dyDescent="0.25">
      <c r="Y13112" s="501"/>
    </row>
    <row r="13113" spans="25:25" hidden="1" x14ac:dyDescent="0.25">
      <c r="Y13113" s="501"/>
    </row>
    <row r="13114" spans="25:25" hidden="1" x14ac:dyDescent="0.25">
      <c r="Y13114" s="501"/>
    </row>
    <row r="13115" spans="25:25" hidden="1" x14ac:dyDescent="0.25">
      <c r="Y13115" s="501"/>
    </row>
    <row r="13116" spans="25:25" hidden="1" x14ac:dyDescent="0.25">
      <c r="Y13116" s="501"/>
    </row>
    <row r="13117" spans="25:25" hidden="1" x14ac:dyDescent="0.25">
      <c r="Y13117" s="501"/>
    </row>
    <row r="13118" spans="25:25" hidden="1" x14ac:dyDescent="0.25">
      <c r="Y13118" s="501"/>
    </row>
    <row r="13119" spans="25:25" hidden="1" x14ac:dyDescent="0.25">
      <c r="Y13119" s="501"/>
    </row>
    <row r="13120" spans="25:25" hidden="1" x14ac:dyDescent="0.25">
      <c r="Y13120" s="501"/>
    </row>
    <row r="13121" spans="25:25" hidden="1" x14ac:dyDescent="0.25">
      <c r="Y13121" s="501"/>
    </row>
    <row r="13122" spans="25:25" hidden="1" x14ac:dyDescent="0.25">
      <c r="Y13122" s="501"/>
    </row>
    <row r="13123" spans="25:25" hidden="1" x14ac:dyDescent="0.25">
      <c r="Y13123" s="501"/>
    </row>
    <row r="13124" spans="25:25" hidden="1" x14ac:dyDescent="0.25">
      <c r="Y13124" s="501"/>
    </row>
    <row r="13125" spans="25:25" hidden="1" x14ac:dyDescent="0.25">
      <c r="Y13125" s="501"/>
    </row>
    <row r="13126" spans="25:25" hidden="1" x14ac:dyDescent="0.25">
      <c r="Y13126" s="501"/>
    </row>
    <row r="13127" spans="25:25" hidden="1" x14ac:dyDescent="0.25">
      <c r="Y13127" s="501"/>
    </row>
    <row r="13128" spans="25:25" hidden="1" x14ac:dyDescent="0.25">
      <c r="Y13128" s="501"/>
    </row>
    <row r="13129" spans="25:25" hidden="1" x14ac:dyDescent="0.25">
      <c r="Y13129" s="501"/>
    </row>
    <row r="13130" spans="25:25" hidden="1" x14ac:dyDescent="0.25">
      <c r="Y13130" s="501"/>
    </row>
    <row r="13131" spans="25:25" hidden="1" x14ac:dyDescent="0.25">
      <c r="Y13131" s="501"/>
    </row>
    <row r="13132" spans="25:25" hidden="1" x14ac:dyDescent="0.25">
      <c r="Y13132" s="501"/>
    </row>
    <row r="13133" spans="25:25" hidden="1" x14ac:dyDescent="0.25">
      <c r="Y13133" s="501"/>
    </row>
    <row r="13134" spans="25:25" hidden="1" x14ac:dyDescent="0.25">
      <c r="Y13134" s="501"/>
    </row>
    <row r="13135" spans="25:25" hidden="1" x14ac:dyDescent="0.25">
      <c r="Y13135" s="501"/>
    </row>
    <row r="13136" spans="25:25" hidden="1" x14ac:dyDescent="0.25">
      <c r="Y13136" s="501"/>
    </row>
    <row r="13137" spans="25:25" hidden="1" x14ac:dyDescent="0.25">
      <c r="Y13137" s="501"/>
    </row>
    <row r="13138" spans="25:25" hidden="1" x14ac:dyDescent="0.25">
      <c r="Y13138" s="501"/>
    </row>
    <row r="13139" spans="25:25" hidden="1" x14ac:dyDescent="0.25">
      <c r="Y13139" s="501"/>
    </row>
    <row r="13140" spans="25:25" hidden="1" x14ac:dyDescent="0.25">
      <c r="Y13140" s="501"/>
    </row>
    <row r="13141" spans="25:25" hidden="1" x14ac:dyDescent="0.25">
      <c r="Y13141" s="501"/>
    </row>
    <row r="13142" spans="25:25" hidden="1" x14ac:dyDescent="0.25">
      <c r="Y13142" s="501"/>
    </row>
    <row r="13143" spans="25:25" hidden="1" x14ac:dyDescent="0.25">
      <c r="Y13143" s="501"/>
    </row>
    <row r="13144" spans="25:25" hidden="1" x14ac:dyDescent="0.25">
      <c r="Y13144" s="501"/>
    </row>
    <row r="13145" spans="25:25" hidden="1" x14ac:dyDescent="0.25">
      <c r="Y13145" s="501"/>
    </row>
    <row r="13146" spans="25:25" hidden="1" x14ac:dyDescent="0.25">
      <c r="Y13146" s="501"/>
    </row>
    <row r="13147" spans="25:25" hidden="1" x14ac:dyDescent="0.25">
      <c r="Y13147" s="501"/>
    </row>
    <row r="13148" spans="25:25" hidden="1" x14ac:dyDescent="0.25">
      <c r="Y13148" s="501"/>
    </row>
    <row r="13149" spans="25:25" hidden="1" x14ac:dyDescent="0.25">
      <c r="Y13149" s="501"/>
    </row>
    <row r="13150" spans="25:25" hidden="1" x14ac:dyDescent="0.25">
      <c r="Y13150" s="501"/>
    </row>
    <row r="13151" spans="25:25" hidden="1" x14ac:dyDescent="0.25">
      <c r="Y13151" s="501"/>
    </row>
    <row r="13152" spans="25:25" hidden="1" x14ac:dyDescent="0.25">
      <c r="Y13152" s="501"/>
    </row>
    <row r="13153" spans="25:25" hidden="1" x14ac:dyDescent="0.25">
      <c r="Y13153" s="501"/>
    </row>
    <row r="13154" spans="25:25" hidden="1" x14ac:dyDescent="0.25">
      <c r="Y13154" s="501"/>
    </row>
    <row r="13155" spans="25:25" hidden="1" x14ac:dyDescent="0.25">
      <c r="Y13155" s="501"/>
    </row>
    <row r="13156" spans="25:25" hidden="1" x14ac:dyDescent="0.25">
      <c r="Y13156" s="501"/>
    </row>
    <row r="13157" spans="25:25" hidden="1" x14ac:dyDescent="0.25">
      <c r="Y13157" s="501"/>
    </row>
    <row r="13158" spans="25:25" hidden="1" x14ac:dyDescent="0.25">
      <c r="Y13158" s="501"/>
    </row>
    <row r="13159" spans="25:25" hidden="1" x14ac:dyDescent="0.25">
      <c r="Y13159" s="501"/>
    </row>
    <row r="13160" spans="25:25" hidden="1" x14ac:dyDescent="0.25">
      <c r="Y13160" s="501"/>
    </row>
    <row r="13161" spans="25:25" hidden="1" x14ac:dyDescent="0.25">
      <c r="Y13161" s="501"/>
    </row>
    <row r="13162" spans="25:25" hidden="1" x14ac:dyDescent="0.25">
      <c r="Y13162" s="501"/>
    </row>
    <row r="13163" spans="25:25" hidden="1" x14ac:dyDescent="0.25">
      <c r="Y13163" s="501"/>
    </row>
    <row r="13164" spans="25:25" hidden="1" x14ac:dyDescent="0.25">
      <c r="Y13164" s="501"/>
    </row>
    <row r="13165" spans="25:25" hidden="1" x14ac:dyDescent="0.25">
      <c r="Y13165" s="501"/>
    </row>
    <row r="13166" spans="25:25" hidden="1" x14ac:dyDescent="0.25">
      <c r="Y13166" s="501"/>
    </row>
    <row r="13167" spans="25:25" hidden="1" x14ac:dyDescent="0.25">
      <c r="Y13167" s="501"/>
    </row>
    <row r="13168" spans="25:25" hidden="1" x14ac:dyDescent="0.25">
      <c r="Y13168" s="501"/>
    </row>
    <row r="13169" spans="25:25" hidden="1" x14ac:dyDescent="0.25">
      <c r="Y13169" s="501"/>
    </row>
    <row r="13170" spans="25:25" hidden="1" x14ac:dyDescent="0.25">
      <c r="Y13170" s="501"/>
    </row>
    <row r="13171" spans="25:25" hidden="1" x14ac:dyDescent="0.25">
      <c r="Y13171" s="501"/>
    </row>
    <row r="13172" spans="25:25" hidden="1" x14ac:dyDescent="0.25">
      <c r="Y13172" s="501"/>
    </row>
    <row r="13173" spans="25:25" hidden="1" x14ac:dyDescent="0.25">
      <c r="Y13173" s="501"/>
    </row>
    <row r="13174" spans="25:25" hidden="1" x14ac:dyDescent="0.25">
      <c r="Y13174" s="501"/>
    </row>
    <row r="13175" spans="25:25" hidden="1" x14ac:dyDescent="0.25">
      <c r="Y13175" s="501"/>
    </row>
    <row r="13176" spans="25:25" hidden="1" x14ac:dyDescent="0.25">
      <c r="Y13176" s="501"/>
    </row>
    <row r="13177" spans="25:25" hidden="1" x14ac:dyDescent="0.25">
      <c r="Y13177" s="501"/>
    </row>
    <row r="13178" spans="25:25" hidden="1" x14ac:dyDescent="0.25">
      <c r="Y13178" s="501"/>
    </row>
    <row r="13179" spans="25:25" hidden="1" x14ac:dyDescent="0.25">
      <c r="Y13179" s="501"/>
    </row>
    <row r="13180" spans="25:25" hidden="1" x14ac:dyDescent="0.25">
      <c r="Y13180" s="501"/>
    </row>
    <row r="13181" spans="25:25" hidden="1" x14ac:dyDescent="0.25">
      <c r="Y13181" s="501"/>
    </row>
    <row r="13182" spans="25:25" hidden="1" x14ac:dyDescent="0.25">
      <c r="Y13182" s="501"/>
    </row>
    <row r="13183" spans="25:25" hidden="1" x14ac:dyDescent="0.25">
      <c r="Y13183" s="501"/>
    </row>
    <row r="13184" spans="25:25" hidden="1" x14ac:dyDescent="0.25">
      <c r="Y13184" s="501"/>
    </row>
    <row r="13185" spans="25:25" hidden="1" x14ac:dyDescent="0.25">
      <c r="Y13185" s="501"/>
    </row>
    <row r="13186" spans="25:25" hidden="1" x14ac:dyDescent="0.25">
      <c r="Y13186" s="501"/>
    </row>
    <row r="13187" spans="25:25" hidden="1" x14ac:dyDescent="0.25">
      <c r="Y13187" s="501"/>
    </row>
    <row r="13188" spans="25:25" hidden="1" x14ac:dyDescent="0.25">
      <c r="Y13188" s="501"/>
    </row>
    <row r="13189" spans="25:25" hidden="1" x14ac:dyDescent="0.25">
      <c r="Y13189" s="501"/>
    </row>
    <row r="13190" spans="25:25" hidden="1" x14ac:dyDescent="0.25">
      <c r="Y13190" s="501"/>
    </row>
    <row r="13191" spans="25:25" hidden="1" x14ac:dyDescent="0.25">
      <c r="Y13191" s="501"/>
    </row>
    <row r="13192" spans="25:25" hidden="1" x14ac:dyDescent="0.25">
      <c r="Y13192" s="501"/>
    </row>
    <row r="13193" spans="25:25" hidden="1" x14ac:dyDescent="0.25">
      <c r="Y13193" s="501"/>
    </row>
    <row r="13194" spans="25:25" hidden="1" x14ac:dyDescent="0.25">
      <c r="Y13194" s="501"/>
    </row>
    <row r="13195" spans="25:25" hidden="1" x14ac:dyDescent="0.25">
      <c r="Y13195" s="501"/>
    </row>
    <row r="13196" spans="25:25" hidden="1" x14ac:dyDescent="0.25">
      <c r="Y13196" s="501"/>
    </row>
    <row r="13197" spans="25:25" hidden="1" x14ac:dyDescent="0.25">
      <c r="Y13197" s="501"/>
    </row>
    <row r="13198" spans="25:25" hidden="1" x14ac:dyDescent="0.25">
      <c r="Y13198" s="501"/>
    </row>
    <row r="13199" spans="25:25" hidden="1" x14ac:dyDescent="0.25">
      <c r="Y13199" s="501"/>
    </row>
    <row r="13200" spans="25:25" hidden="1" x14ac:dyDescent="0.25">
      <c r="Y13200" s="501"/>
    </row>
    <row r="13201" spans="25:25" hidden="1" x14ac:dyDescent="0.25">
      <c r="Y13201" s="501"/>
    </row>
    <row r="13202" spans="25:25" hidden="1" x14ac:dyDescent="0.25">
      <c r="Y13202" s="501"/>
    </row>
    <row r="13203" spans="25:25" hidden="1" x14ac:dyDescent="0.25">
      <c r="Y13203" s="501"/>
    </row>
    <row r="13204" spans="25:25" hidden="1" x14ac:dyDescent="0.25">
      <c r="Y13204" s="501"/>
    </row>
    <row r="13205" spans="25:25" hidden="1" x14ac:dyDescent="0.25">
      <c r="Y13205" s="501"/>
    </row>
    <row r="13206" spans="25:25" hidden="1" x14ac:dyDescent="0.25">
      <c r="Y13206" s="501"/>
    </row>
    <row r="13207" spans="25:25" hidden="1" x14ac:dyDescent="0.25">
      <c r="Y13207" s="501"/>
    </row>
    <row r="13208" spans="25:25" hidden="1" x14ac:dyDescent="0.25">
      <c r="Y13208" s="501"/>
    </row>
    <row r="13209" spans="25:25" hidden="1" x14ac:dyDescent="0.25">
      <c r="Y13209" s="501"/>
    </row>
    <row r="13210" spans="25:25" hidden="1" x14ac:dyDescent="0.25">
      <c r="Y13210" s="501"/>
    </row>
    <row r="13211" spans="25:25" hidden="1" x14ac:dyDescent="0.25">
      <c r="Y13211" s="501"/>
    </row>
    <row r="13212" spans="25:25" hidden="1" x14ac:dyDescent="0.25">
      <c r="Y13212" s="501"/>
    </row>
    <row r="13213" spans="25:25" hidden="1" x14ac:dyDescent="0.25">
      <c r="Y13213" s="501"/>
    </row>
    <row r="13214" spans="25:25" hidden="1" x14ac:dyDescent="0.25">
      <c r="Y13214" s="501"/>
    </row>
    <row r="13215" spans="25:25" hidden="1" x14ac:dyDescent="0.25">
      <c r="Y13215" s="501"/>
    </row>
    <row r="13216" spans="25:25" hidden="1" x14ac:dyDescent="0.25">
      <c r="Y13216" s="501"/>
    </row>
    <row r="13217" spans="25:25" hidden="1" x14ac:dyDescent="0.25">
      <c r="Y13217" s="501"/>
    </row>
    <row r="13218" spans="25:25" hidden="1" x14ac:dyDescent="0.25">
      <c r="Y13218" s="501"/>
    </row>
    <row r="13219" spans="25:25" hidden="1" x14ac:dyDescent="0.25">
      <c r="Y13219" s="501"/>
    </row>
    <row r="13220" spans="25:25" hidden="1" x14ac:dyDescent="0.25">
      <c r="Y13220" s="501"/>
    </row>
    <row r="13221" spans="25:25" hidden="1" x14ac:dyDescent="0.25">
      <c r="Y13221" s="501"/>
    </row>
    <row r="13222" spans="25:25" hidden="1" x14ac:dyDescent="0.25">
      <c r="Y13222" s="501"/>
    </row>
    <row r="13223" spans="25:25" hidden="1" x14ac:dyDescent="0.25">
      <c r="Y13223" s="501"/>
    </row>
    <row r="13224" spans="25:25" hidden="1" x14ac:dyDescent="0.25">
      <c r="Y13224" s="501"/>
    </row>
    <row r="13225" spans="25:25" hidden="1" x14ac:dyDescent="0.25">
      <c r="Y13225" s="501"/>
    </row>
    <row r="13226" spans="25:25" hidden="1" x14ac:dyDescent="0.25">
      <c r="Y13226" s="501"/>
    </row>
    <row r="13227" spans="25:25" hidden="1" x14ac:dyDescent="0.25">
      <c r="Y13227" s="501"/>
    </row>
    <row r="13228" spans="25:25" hidden="1" x14ac:dyDescent="0.25">
      <c r="Y13228" s="501"/>
    </row>
    <row r="13229" spans="25:25" hidden="1" x14ac:dyDescent="0.25">
      <c r="Y13229" s="501"/>
    </row>
    <row r="13230" spans="25:25" hidden="1" x14ac:dyDescent="0.25">
      <c r="Y13230" s="501"/>
    </row>
    <row r="13231" spans="25:25" hidden="1" x14ac:dyDescent="0.25">
      <c r="Y13231" s="501"/>
    </row>
    <row r="13232" spans="25:25" hidden="1" x14ac:dyDescent="0.25">
      <c r="Y13232" s="501"/>
    </row>
    <row r="13233" spans="25:25" hidden="1" x14ac:dyDescent="0.25">
      <c r="Y13233" s="501"/>
    </row>
    <row r="13234" spans="25:25" hidden="1" x14ac:dyDescent="0.25">
      <c r="Y13234" s="501"/>
    </row>
    <row r="13235" spans="25:25" hidden="1" x14ac:dyDescent="0.25">
      <c r="Y13235" s="501"/>
    </row>
    <row r="13236" spans="25:25" hidden="1" x14ac:dyDescent="0.25">
      <c r="Y13236" s="501"/>
    </row>
    <row r="13237" spans="25:25" hidden="1" x14ac:dyDescent="0.25">
      <c r="Y13237" s="501"/>
    </row>
    <row r="13238" spans="25:25" hidden="1" x14ac:dyDescent="0.25">
      <c r="Y13238" s="501"/>
    </row>
    <row r="13239" spans="25:25" hidden="1" x14ac:dyDescent="0.25">
      <c r="Y13239" s="501"/>
    </row>
    <row r="13240" spans="25:25" hidden="1" x14ac:dyDescent="0.25">
      <c r="Y13240" s="501"/>
    </row>
    <row r="13241" spans="25:25" hidden="1" x14ac:dyDescent="0.25">
      <c r="Y13241" s="501"/>
    </row>
    <row r="13242" spans="25:25" hidden="1" x14ac:dyDescent="0.25">
      <c r="Y13242" s="501"/>
    </row>
    <row r="13243" spans="25:25" hidden="1" x14ac:dyDescent="0.25">
      <c r="Y13243" s="501"/>
    </row>
    <row r="13244" spans="25:25" hidden="1" x14ac:dyDescent="0.25">
      <c r="Y13244" s="501"/>
    </row>
    <row r="13245" spans="25:25" hidden="1" x14ac:dyDescent="0.25">
      <c r="Y13245" s="501"/>
    </row>
    <row r="13246" spans="25:25" hidden="1" x14ac:dyDescent="0.25">
      <c r="Y13246" s="501"/>
    </row>
    <row r="13247" spans="25:25" hidden="1" x14ac:dyDescent="0.25">
      <c r="Y13247" s="501"/>
    </row>
    <row r="13248" spans="25:25" hidden="1" x14ac:dyDescent="0.25">
      <c r="Y13248" s="501"/>
    </row>
    <row r="13249" spans="25:25" hidden="1" x14ac:dyDescent="0.25">
      <c r="Y13249" s="501"/>
    </row>
    <row r="13250" spans="25:25" hidden="1" x14ac:dyDescent="0.25">
      <c r="Y13250" s="501"/>
    </row>
    <row r="13251" spans="25:25" hidden="1" x14ac:dyDescent="0.25">
      <c r="Y13251" s="501"/>
    </row>
    <row r="13252" spans="25:25" hidden="1" x14ac:dyDescent="0.25">
      <c r="Y13252" s="501"/>
    </row>
    <row r="13253" spans="25:25" hidden="1" x14ac:dyDescent="0.25">
      <c r="Y13253" s="501"/>
    </row>
    <row r="13254" spans="25:25" hidden="1" x14ac:dyDescent="0.25">
      <c r="Y13254" s="501"/>
    </row>
    <row r="13255" spans="25:25" hidden="1" x14ac:dyDescent="0.25">
      <c r="Y13255" s="501"/>
    </row>
    <row r="13256" spans="25:25" hidden="1" x14ac:dyDescent="0.25">
      <c r="Y13256" s="501"/>
    </row>
    <row r="13257" spans="25:25" hidden="1" x14ac:dyDescent="0.25">
      <c r="Y13257" s="501"/>
    </row>
    <row r="13258" spans="25:25" hidden="1" x14ac:dyDescent="0.25">
      <c r="Y13258" s="501"/>
    </row>
    <row r="13259" spans="25:25" hidden="1" x14ac:dyDescent="0.25">
      <c r="Y13259" s="501"/>
    </row>
    <row r="13260" spans="25:25" hidden="1" x14ac:dyDescent="0.25">
      <c r="Y13260" s="501"/>
    </row>
    <row r="13261" spans="25:25" hidden="1" x14ac:dyDescent="0.25">
      <c r="Y13261" s="501"/>
    </row>
    <row r="13262" spans="25:25" hidden="1" x14ac:dyDescent="0.25">
      <c r="Y13262" s="501"/>
    </row>
    <row r="13263" spans="25:25" hidden="1" x14ac:dyDescent="0.25">
      <c r="Y13263" s="501"/>
    </row>
    <row r="13264" spans="25:25" hidden="1" x14ac:dyDescent="0.25">
      <c r="Y13264" s="501"/>
    </row>
    <row r="13265" spans="25:25" hidden="1" x14ac:dyDescent="0.25">
      <c r="Y13265" s="501"/>
    </row>
    <row r="13266" spans="25:25" hidden="1" x14ac:dyDescent="0.25">
      <c r="Y13266" s="501"/>
    </row>
    <row r="13267" spans="25:25" hidden="1" x14ac:dyDescent="0.25">
      <c r="Y13267" s="501"/>
    </row>
    <row r="13268" spans="25:25" hidden="1" x14ac:dyDescent="0.25">
      <c r="Y13268" s="501"/>
    </row>
    <row r="13269" spans="25:25" hidden="1" x14ac:dyDescent="0.25">
      <c r="Y13269" s="501"/>
    </row>
    <row r="13270" spans="25:25" hidden="1" x14ac:dyDescent="0.25">
      <c r="Y13270" s="501"/>
    </row>
    <row r="13271" spans="25:25" hidden="1" x14ac:dyDescent="0.25">
      <c r="Y13271" s="501"/>
    </row>
    <row r="13272" spans="25:25" hidden="1" x14ac:dyDescent="0.25">
      <c r="Y13272" s="501"/>
    </row>
    <row r="13273" spans="25:25" hidden="1" x14ac:dyDescent="0.25">
      <c r="Y13273" s="501"/>
    </row>
    <row r="13274" spans="25:25" hidden="1" x14ac:dyDescent="0.25">
      <c r="Y13274" s="501"/>
    </row>
    <row r="13275" spans="25:25" hidden="1" x14ac:dyDescent="0.25">
      <c r="Y13275" s="501"/>
    </row>
    <row r="13276" spans="25:25" hidden="1" x14ac:dyDescent="0.25">
      <c r="Y13276" s="501"/>
    </row>
    <row r="13277" spans="25:25" hidden="1" x14ac:dyDescent="0.25">
      <c r="Y13277" s="501"/>
    </row>
    <row r="13278" spans="25:25" hidden="1" x14ac:dyDescent="0.25">
      <c r="Y13278" s="501"/>
    </row>
    <row r="13279" spans="25:25" hidden="1" x14ac:dyDescent="0.25">
      <c r="Y13279" s="501"/>
    </row>
    <row r="13280" spans="25:25" hidden="1" x14ac:dyDescent="0.25">
      <c r="Y13280" s="501"/>
    </row>
    <row r="13281" spans="25:25" hidden="1" x14ac:dyDescent="0.25">
      <c r="Y13281" s="501"/>
    </row>
    <row r="13282" spans="25:25" hidden="1" x14ac:dyDescent="0.25">
      <c r="Y13282" s="501"/>
    </row>
    <row r="13283" spans="25:25" hidden="1" x14ac:dyDescent="0.25">
      <c r="Y13283" s="501"/>
    </row>
    <row r="13284" spans="25:25" hidden="1" x14ac:dyDescent="0.25">
      <c r="Y13284" s="501"/>
    </row>
    <row r="13285" spans="25:25" hidden="1" x14ac:dyDescent="0.25">
      <c r="Y13285" s="501"/>
    </row>
    <row r="13286" spans="25:25" hidden="1" x14ac:dyDescent="0.25">
      <c r="Y13286" s="501"/>
    </row>
    <row r="13287" spans="25:25" hidden="1" x14ac:dyDescent="0.25">
      <c r="Y13287" s="501"/>
    </row>
    <row r="13288" spans="25:25" hidden="1" x14ac:dyDescent="0.25">
      <c r="Y13288" s="501"/>
    </row>
    <row r="13289" spans="25:25" hidden="1" x14ac:dyDescent="0.25">
      <c r="Y13289" s="501"/>
    </row>
    <row r="13290" spans="25:25" hidden="1" x14ac:dyDescent="0.25">
      <c r="Y13290" s="501"/>
    </row>
    <row r="13291" spans="25:25" hidden="1" x14ac:dyDescent="0.25">
      <c r="Y13291" s="501"/>
    </row>
    <row r="13292" spans="25:25" hidden="1" x14ac:dyDescent="0.25">
      <c r="Y13292" s="501"/>
    </row>
    <row r="13293" spans="25:25" hidden="1" x14ac:dyDescent="0.25">
      <c r="Y13293" s="501"/>
    </row>
    <row r="13294" spans="25:25" hidden="1" x14ac:dyDescent="0.25">
      <c r="Y13294" s="501"/>
    </row>
    <row r="13295" spans="25:25" hidden="1" x14ac:dyDescent="0.25">
      <c r="Y13295" s="501"/>
    </row>
    <row r="13296" spans="25:25" hidden="1" x14ac:dyDescent="0.25">
      <c r="Y13296" s="501"/>
    </row>
    <row r="13297" spans="25:25" hidden="1" x14ac:dyDescent="0.25">
      <c r="Y13297" s="501"/>
    </row>
    <row r="13298" spans="25:25" hidden="1" x14ac:dyDescent="0.25">
      <c r="Y13298" s="501"/>
    </row>
    <row r="13299" spans="25:25" hidden="1" x14ac:dyDescent="0.25">
      <c r="Y13299" s="501"/>
    </row>
    <row r="13300" spans="25:25" hidden="1" x14ac:dyDescent="0.25">
      <c r="Y13300" s="501"/>
    </row>
    <row r="13301" spans="25:25" hidden="1" x14ac:dyDescent="0.25">
      <c r="Y13301" s="501"/>
    </row>
    <row r="13302" spans="25:25" hidden="1" x14ac:dyDescent="0.25">
      <c r="Y13302" s="501"/>
    </row>
    <row r="13303" spans="25:25" hidden="1" x14ac:dyDescent="0.25">
      <c r="Y13303" s="501"/>
    </row>
    <row r="13304" spans="25:25" hidden="1" x14ac:dyDescent="0.25">
      <c r="Y13304" s="501"/>
    </row>
    <row r="13305" spans="25:25" hidden="1" x14ac:dyDescent="0.25">
      <c r="Y13305" s="501"/>
    </row>
    <row r="13306" spans="25:25" hidden="1" x14ac:dyDescent="0.25">
      <c r="Y13306" s="501"/>
    </row>
    <row r="13307" spans="25:25" hidden="1" x14ac:dyDescent="0.25">
      <c r="Y13307" s="501"/>
    </row>
    <row r="13308" spans="25:25" hidden="1" x14ac:dyDescent="0.25">
      <c r="Y13308" s="501"/>
    </row>
    <row r="13309" spans="25:25" hidden="1" x14ac:dyDescent="0.25">
      <c r="Y13309" s="501"/>
    </row>
    <row r="13310" spans="25:25" hidden="1" x14ac:dyDescent="0.25">
      <c r="Y13310" s="501"/>
    </row>
    <row r="13311" spans="25:25" hidden="1" x14ac:dyDescent="0.25">
      <c r="Y13311" s="501"/>
    </row>
    <row r="13312" spans="25:25" hidden="1" x14ac:dyDescent="0.25">
      <c r="Y13312" s="501"/>
    </row>
    <row r="13313" spans="25:25" hidden="1" x14ac:dyDescent="0.25">
      <c r="Y13313" s="501"/>
    </row>
    <row r="13314" spans="25:25" hidden="1" x14ac:dyDescent="0.25">
      <c r="Y13314" s="501"/>
    </row>
    <row r="13315" spans="25:25" hidden="1" x14ac:dyDescent="0.25">
      <c r="Y13315" s="501"/>
    </row>
    <row r="13316" spans="25:25" hidden="1" x14ac:dyDescent="0.25">
      <c r="Y13316" s="501"/>
    </row>
    <row r="13317" spans="25:25" hidden="1" x14ac:dyDescent="0.25">
      <c r="Y13317" s="501"/>
    </row>
    <row r="13318" spans="25:25" hidden="1" x14ac:dyDescent="0.25">
      <c r="Y13318" s="501"/>
    </row>
    <row r="13319" spans="25:25" hidden="1" x14ac:dyDescent="0.25">
      <c r="Y13319" s="501"/>
    </row>
    <row r="13320" spans="25:25" hidden="1" x14ac:dyDescent="0.25">
      <c r="Y13320" s="501"/>
    </row>
    <row r="13321" spans="25:25" hidden="1" x14ac:dyDescent="0.25">
      <c r="Y13321" s="501"/>
    </row>
    <row r="13322" spans="25:25" hidden="1" x14ac:dyDescent="0.25">
      <c r="Y13322" s="501"/>
    </row>
    <row r="13323" spans="25:25" hidden="1" x14ac:dyDescent="0.25">
      <c r="Y13323" s="501"/>
    </row>
    <row r="13324" spans="25:25" hidden="1" x14ac:dyDescent="0.25">
      <c r="Y13324" s="501"/>
    </row>
    <row r="13325" spans="25:25" hidden="1" x14ac:dyDescent="0.25">
      <c r="Y13325" s="501"/>
    </row>
    <row r="13326" spans="25:25" hidden="1" x14ac:dyDescent="0.25">
      <c r="Y13326" s="501"/>
    </row>
    <row r="13327" spans="25:25" hidden="1" x14ac:dyDescent="0.25">
      <c r="Y13327" s="501"/>
    </row>
    <row r="13328" spans="25:25" hidden="1" x14ac:dyDescent="0.25">
      <c r="Y13328" s="501"/>
    </row>
    <row r="13329" spans="25:25" hidden="1" x14ac:dyDescent="0.25">
      <c r="Y13329" s="501"/>
    </row>
    <row r="13330" spans="25:25" hidden="1" x14ac:dyDescent="0.25">
      <c r="Y13330" s="501"/>
    </row>
    <row r="13331" spans="25:25" hidden="1" x14ac:dyDescent="0.25">
      <c r="Y13331" s="501"/>
    </row>
    <row r="13332" spans="25:25" hidden="1" x14ac:dyDescent="0.25">
      <c r="Y13332" s="501"/>
    </row>
    <row r="13333" spans="25:25" hidden="1" x14ac:dyDescent="0.25">
      <c r="Y13333" s="501"/>
    </row>
    <row r="13334" spans="25:25" hidden="1" x14ac:dyDescent="0.25">
      <c r="Y13334" s="501"/>
    </row>
    <row r="13335" spans="25:25" hidden="1" x14ac:dyDescent="0.25">
      <c r="Y13335" s="501"/>
    </row>
    <row r="13336" spans="25:25" hidden="1" x14ac:dyDescent="0.25">
      <c r="Y13336" s="501"/>
    </row>
    <row r="13337" spans="25:25" hidden="1" x14ac:dyDescent="0.25">
      <c r="Y13337" s="501"/>
    </row>
    <row r="13338" spans="25:25" hidden="1" x14ac:dyDescent="0.25">
      <c r="Y13338" s="501"/>
    </row>
    <row r="13339" spans="25:25" hidden="1" x14ac:dyDescent="0.25">
      <c r="Y13339" s="501"/>
    </row>
    <row r="13340" spans="25:25" hidden="1" x14ac:dyDescent="0.25">
      <c r="Y13340" s="501"/>
    </row>
    <row r="13341" spans="25:25" hidden="1" x14ac:dyDescent="0.25">
      <c r="Y13341" s="501"/>
    </row>
    <row r="13342" spans="25:25" hidden="1" x14ac:dyDescent="0.25">
      <c r="Y13342" s="501"/>
    </row>
    <row r="13343" spans="25:25" hidden="1" x14ac:dyDescent="0.25">
      <c r="Y13343" s="501"/>
    </row>
    <row r="13344" spans="25:25" hidden="1" x14ac:dyDescent="0.25">
      <c r="Y13344" s="501"/>
    </row>
    <row r="13345" spans="25:25" hidden="1" x14ac:dyDescent="0.25">
      <c r="Y13345" s="501"/>
    </row>
    <row r="13346" spans="25:25" hidden="1" x14ac:dyDescent="0.25">
      <c r="Y13346" s="501"/>
    </row>
    <row r="13347" spans="25:25" hidden="1" x14ac:dyDescent="0.25">
      <c r="Y13347" s="501"/>
    </row>
    <row r="13348" spans="25:25" hidden="1" x14ac:dyDescent="0.25">
      <c r="Y13348" s="501"/>
    </row>
    <row r="13349" spans="25:25" hidden="1" x14ac:dyDescent="0.25">
      <c r="Y13349" s="501"/>
    </row>
    <row r="13350" spans="25:25" hidden="1" x14ac:dyDescent="0.25">
      <c r="Y13350" s="501"/>
    </row>
    <row r="13351" spans="25:25" hidden="1" x14ac:dyDescent="0.25">
      <c r="Y13351" s="501"/>
    </row>
    <row r="13352" spans="25:25" hidden="1" x14ac:dyDescent="0.25">
      <c r="Y13352" s="501"/>
    </row>
    <row r="13353" spans="25:25" hidden="1" x14ac:dyDescent="0.25">
      <c r="Y13353" s="501"/>
    </row>
    <row r="13354" spans="25:25" hidden="1" x14ac:dyDescent="0.25">
      <c r="Y13354" s="501"/>
    </row>
    <row r="13355" spans="25:25" hidden="1" x14ac:dyDescent="0.25">
      <c r="Y13355" s="501"/>
    </row>
    <row r="13356" spans="25:25" hidden="1" x14ac:dyDescent="0.25">
      <c r="Y13356" s="501"/>
    </row>
    <row r="13357" spans="25:25" hidden="1" x14ac:dyDescent="0.25">
      <c r="Y13357" s="501"/>
    </row>
    <row r="13358" spans="25:25" hidden="1" x14ac:dyDescent="0.25">
      <c r="Y13358" s="501"/>
    </row>
    <row r="13359" spans="25:25" hidden="1" x14ac:dyDescent="0.25">
      <c r="Y13359" s="501"/>
    </row>
    <row r="13360" spans="25:25" hidden="1" x14ac:dyDescent="0.25">
      <c r="Y13360" s="501"/>
    </row>
    <row r="13361" spans="25:25" hidden="1" x14ac:dyDescent="0.25">
      <c r="Y13361" s="501"/>
    </row>
    <row r="13362" spans="25:25" hidden="1" x14ac:dyDescent="0.25">
      <c r="Y13362" s="501"/>
    </row>
    <row r="13363" spans="25:25" hidden="1" x14ac:dyDescent="0.25">
      <c r="Y13363" s="501"/>
    </row>
    <row r="13364" spans="25:25" hidden="1" x14ac:dyDescent="0.25">
      <c r="Y13364" s="501"/>
    </row>
    <row r="13365" spans="25:25" hidden="1" x14ac:dyDescent="0.25">
      <c r="Y13365" s="501"/>
    </row>
    <row r="13366" spans="25:25" hidden="1" x14ac:dyDescent="0.25">
      <c r="Y13366" s="501"/>
    </row>
    <row r="13367" spans="25:25" hidden="1" x14ac:dyDescent="0.25">
      <c r="Y13367" s="501"/>
    </row>
    <row r="13368" spans="25:25" hidden="1" x14ac:dyDescent="0.25">
      <c r="Y13368" s="501"/>
    </row>
    <row r="13369" spans="25:25" hidden="1" x14ac:dyDescent="0.25">
      <c r="Y13369" s="501"/>
    </row>
    <row r="13370" spans="25:25" hidden="1" x14ac:dyDescent="0.25">
      <c r="Y13370" s="501"/>
    </row>
    <row r="13371" spans="25:25" hidden="1" x14ac:dyDescent="0.25">
      <c r="Y13371" s="501"/>
    </row>
    <row r="13372" spans="25:25" hidden="1" x14ac:dyDescent="0.25">
      <c r="Y13372" s="501"/>
    </row>
    <row r="13373" spans="25:25" hidden="1" x14ac:dyDescent="0.25">
      <c r="Y13373" s="501"/>
    </row>
    <row r="13374" spans="25:25" hidden="1" x14ac:dyDescent="0.25">
      <c r="Y13374" s="501"/>
    </row>
    <row r="13375" spans="25:25" hidden="1" x14ac:dyDescent="0.25">
      <c r="Y13375" s="501"/>
    </row>
    <row r="13376" spans="25:25" hidden="1" x14ac:dyDescent="0.25">
      <c r="Y13376" s="501"/>
    </row>
    <row r="13377" spans="25:25" hidden="1" x14ac:dyDescent="0.25">
      <c r="Y13377" s="501"/>
    </row>
    <row r="13378" spans="25:25" hidden="1" x14ac:dyDescent="0.25">
      <c r="Y13378" s="501"/>
    </row>
    <row r="13379" spans="25:25" hidden="1" x14ac:dyDescent="0.25">
      <c r="Y13379" s="501"/>
    </row>
    <row r="13380" spans="25:25" hidden="1" x14ac:dyDescent="0.25">
      <c r="Y13380" s="501"/>
    </row>
    <row r="13381" spans="25:25" hidden="1" x14ac:dyDescent="0.25">
      <c r="Y13381" s="501"/>
    </row>
    <row r="13382" spans="25:25" hidden="1" x14ac:dyDescent="0.25">
      <c r="Y13382" s="501"/>
    </row>
    <row r="13383" spans="25:25" hidden="1" x14ac:dyDescent="0.25">
      <c r="Y13383" s="501"/>
    </row>
    <row r="13384" spans="25:25" hidden="1" x14ac:dyDescent="0.25">
      <c r="Y13384" s="501"/>
    </row>
    <row r="13385" spans="25:25" hidden="1" x14ac:dyDescent="0.25">
      <c r="Y13385" s="501"/>
    </row>
    <row r="13386" spans="25:25" hidden="1" x14ac:dyDescent="0.25">
      <c r="Y13386" s="501"/>
    </row>
    <row r="13387" spans="25:25" hidden="1" x14ac:dyDescent="0.25">
      <c r="Y13387" s="501"/>
    </row>
    <row r="13388" spans="25:25" hidden="1" x14ac:dyDescent="0.25">
      <c r="Y13388" s="501"/>
    </row>
    <row r="13389" spans="25:25" hidden="1" x14ac:dyDescent="0.25">
      <c r="Y13389" s="501"/>
    </row>
    <row r="13390" spans="25:25" hidden="1" x14ac:dyDescent="0.25">
      <c r="Y13390" s="501"/>
    </row>
    <row r="13391" spans="25:25" hidden="1" x14ac:dyDescent="0.25">
      <c r="Y13391" s="501"/>
    </row>
    <row r="13392" spans="25:25" hidden="1" x14ac:dyDescent="0.25">
      <c r="Y13392" s="501"/>
    </row>
    <row r="13393" spans="25:25" hidden="1" x14ac:dyDescent="0.25">
      <c r="Y13393" s="501"/>
    </row>
    <row r="13394" spans="25:25" hidden="1" x14ac:dyDescent="0.25">
      <c r="Y13394" s="501"/>
    </row>
    <row r="13395" spans="25:25" hidden="1" x14ac:dyDescent="0.25">
      <c r="Y13395" s="501"/>
    </row>
    <row r="13396" spans="25:25" hidden="1" x14ac:dyDescent="0.25">
      <c r="Y13396" s="501"/>
    </row>
    <row r="13397" spans="25:25" hidden="1" x14ac:dyDescent="0.25">
      <c r="Y13397" s="501"/>
    </row>
    <row r="13398" spans="25:25" hidden="1" x14ac:dyDescent="0.25">
      <c r="Y13398" s="501"/>
    </row>
    <row r="13399" spans="25:25" hidden="1" x14ac:dyDescent="0.25">
      <c r="Y13399" s="501"/>
    </row>
    <row r="13400" spans="25:25" hidden="1" x14ac:dyDescent="0.25">
      <c r="Y13400" s="501"/>
    </row>
    <row r="13401" spans="25:25" hidden="1" x14ac:dyDescent="0.25">
      <c r="Y13401" s="501"/>
    </row>
    <row r="13402" spans="25:25" hidden="1" x14ac:dyDescent="0.25">
      <c r="Y13402" s="501"/>
    </row>
    <row r="13403" spans="25:25" hidden="1" x14ac:dyDescent="0.25">
      <c r="Y13403" s="501"/>
    </row>
    <row r="13404" spans="25:25" hidden="1" x14ac:dyDescent="0.25">
      <c r="Y13404" s="501"/>
    </row>
    <row r="13405" spans="25:25" hidden="1" x14ac:dyDescent="0.25">
      <c r="Y13405" s="501"/>
    </row>
    <row r="13406" spans="25:25" hidden="1" x14ac:dyDescent="0.25">
      <c r="Y13406" s="501"/>
    </row>
    <row r="13407" spans="25:25" hidden="1" x14ac:dyDescent="0.25">
      <c r="Y13407" s="501"/>
    </row>
    <row r="13408" spans="25:25" hidden="1" x14ac:dyDescent="0.25">
      <c r="Y13408" s="501"/>
    </row>
    <row r="13409" spans="25:25" hidden="1" x14ac:dyDescent="0.25">
      <c r="Y13409" s="501"/>
    </row>
    <row r="13410" spans="25:25" hidden="1" x14ac:dyDescent="0.25">
      <c r="Y13410" s="501"/>
    </row>
    <row r="13411" spans="25:25" hidden="1" x14ac:dyDescent="0.25">
      <c r="Y13411" s="501"/>
    </row>
    <row r="13412" spans="25:25" hidden="1" x14ac:dyDescent="0.25">
      <c r="Y13412" s="501"/>
    </row>
    <row r="13413" spans="25:25" hidden="1" x14ac:dyDescent="0.25">
      <c r="Y13413" s="501"/>
    </row>
    <row r="13414" spans="25:25" hidden="1" x14ac:dyDescent="0.25">
      <c r="Y13414" s="501"/>
    </row>
    <row r="13415" spans="25:25" hidden="1" x14ac:dyDescent="0.25">
      <c r="Y13415" s="501"/>
    </row>
    <row r="13416" spans="25:25" hidden="1" x14ac:dyDescent="0.25">
      <c r="Y13416" s="501"/>
    </row>
    <row r="13417" spans="25:25" hidden="1" x14ac:dyDescent="0.25">
      <c r="Y13417" s="501"/>
    </row>
    <row r="13418" spans="25:25" hidden="1" x14ac:dyDescent="0.25">
      <c r="Y13418" s="501"/>
    </row>
    <row r="13419" spans="25:25" hidden="1" x14ac:dyDescent="0.25">
      <c r="Y13419" s="501"/>
    </row>
    <row r="13420" spans="25:25" hidden="1" x14ac:dyDescent="0.25">
      <c r="Y13420" s="501"/>
    </row>
    <row r="13421" spans="25:25" hidden="1" x14ac:dyDescent="0.25">
      <c r="Y13421" s="501"/>
    </row>
    <row r="13422" spans="25:25" hidden="1" x14ac:dyDescent="0.25">
      <c r="Y13422" s="501"/>
    </row>
    <row r="13423" spans="25:25" hidden="1" x14ac:dyDescent="0.25">
      <c r="Y13423" s="501"/>
    </row>
    <row r="13424" spans="25:25" hidden="1" x14ac:dyDescent="0.25">
      <c r="Y13424" s="501"/>
    </row>
    <row r="13425" spans="25:25" hidden="1" x14ac:dyDescent="0.25">
      <c r="Y13425" s="501"/>
    </row>
    <row r="13426" spans="25:25" hidden="1" x14ac:dyDescent="0.25">
      <c r="Y13426" s="501"/>
    </row>
    <row r="13427" spans="25:25" hidden="1" x14ac:dyDescent="0.25">
      <c r="Y13427" s="501"/>
    </row>
    <row r="13428" spans="25:25" hidden="1" x14ac:dyDescent="0.25">
      <c r="Y13428" s="501"/>
    </row>
    <row r="13429" spans="25:25" hidden="1" x14ac:dyDescent="0.25">
      <c r="Y13429" s="501"/>
    </row>
    <row r="13430" spans="25:25" hidden="1" x14ac:dyDescent="0.25">
      <c r="Y13430" s="501"/>
    </row>
    <row r="13431" spans="25:25" hidden="1" x14ac:dyDescent="0.25">
      <c r="Y13431" s="501"/>
    </row>
    <row r="13432" spans="25:25" hidden="1" x14ac:dyDescent="0.25">
      <c r="Y13432" s="501"/>
    </row>
    <row r="13433" spans="25:25" hidden="1" x14ac:dyDescent="0.25">
      <c r="Y13433" s="501"/>
    </row>
    <row r="13434" spans="25:25" hidden="1" x14ac:dyDescent="0.25">
      <c r="Y13434" s="501"/>
    </row>
    <row r="13435" spans="25:25" hidden="1" x14ac:dyDescent="0.25">
      <c r="Y13435" s="501"/>
    </row>
    <row r="13436" spans="25:25" hidden="1" x14ac:dyDescent="0.25">
      <c r="Y13436" s="501"/>
    </row>
    <row r="13437" spans="25:25" hidden="1" x14ac:dyDescent="0.25">
      <c r="Y13437" s="501"/>
    </row>
    <row r="13438" spans="25:25" hidden="1" x14ac:dyDescent="0.25">
      <c r="Y13438" s="501"/>
    </row>
    <row r="13439" spans="25:25" hidden="1" x14ac:dyDescent="0.25">
      <c r="Y13439" s="501"/>
    </row>
    <row r="13440" spans="25:25" hidden="1" x14ac:dyDescent="0.25">
      <c r="Y13440" s="501"/>
    </row>
    <row r="13441" spans="25:25" hidden="1" x14ac:dyDescent="0.25">
      <c r="Y13441" s="501"/>
    </row>
    <row r="13442" spans="25:25" hidden="1" x14ac:dyDescent="0.25">
      <c r="Y13442" s="501"/>
    </row>
    <row r="13443" spans="25:25" hidden="1" x14ac:dyDescent="0.25">
      <c r="Y13443" s="501"/>
    </row>
    <row r="13444" spans="25:25" hidden="1" x14ac:dyDescent="0.25">
      <c r="Y13444" s="501"/>
    </row>
    <row r="13445" spans="25:25" hidden="1" x14ac:dyDescent="0.25">
      <c r="Y13445" s="501"/>
    </row>
    <row r="13446" spans="25:25" hidden="1" x14ac:dyDescent="0.25">
      <c r="Y13446" s="501"/>
    </row>
    <row r="13447" spans="25:25" hidden="1" x14ac:dyDescent="0.25">
      <c r="Y13447" s="501"/>
    </row>
    <row r="13448" spans="25:25" hidden="1" x14ac:dyDescent="0.25">
      <c r="Y13448" s="501"/>
    </row>
    <row r="13449" spans="25:25" hidden="1" x14ac:dyDescent="0.25">
      <c r="Y13449" s="501"/>
    </row>
    <row r="13450" spans="25:25" hidden="1" x14ac:dyDescent="0.25">
      <c r="Y13450" s="501"/>
    </row>
    <row r="13451" spans="25:25" hidden="1" x14ac:dyDescent="0.25">
      <c r="Y13451" s="501"/>
    </row>
    <row r="13452" spans="25:25" hidden="1" x14ac:dyDescent="0.25">
      <c r="Y13452" s="501"/>
    </row>
    <row r="13453" spans="25:25" hidden="1" x14ac:dyDescent="0.25">
      <c r="Y13453" s="501"/>
    </row>
    <row r="13454" spans="25:25" hidden="1" x14ac:dyDescent="0.25">
      <c r="Y13454" s="501"/>
    </row>
    <row r="13455" spans="25:25" hidden="1" x14ac:dyDescent="0.25">
      <c r="Y13455" s="501"/>
    </row>
    <row r="13456" spans="25:25" hidden="1" x14ac:dyDescent="0.25">
      <c r="Y13456" s="501"/>
    </row>
    <row r="13457" spans="25:25" hidden="1" x14ac:dyDescent="0.25">
      <c r="Y13457" s="501"/>
    </row>
    <row r="13458" spans="25:25" hidden="1" x14ac:dyDescent="0.25">
      <c r="Y13458" s="501"/>
    </row>
    <row r="13459" spans="25:25" hidden="1" x14ac:dyDescent="0.25">
      <c r="Y13459" s="501"/>
    </row>
    <row r="13460" spans="25:25" hidden="1" x14ac:dyDescent="0.25">
      <c r="Y13460" s="501"/>
    </row>
    <row r="13461" spans="25:25" hidden="1" x14ac:dyDescent="0.25">
      <c r="Y13461" s="501"/>
    </row>
    <row r="13462" spans="25:25" hidden="1" x14ac:dyDescent="0.25">
      <c r="Y13462" s="501"/>
    </row>
    <row r="13463" spans="25:25" hidden="1" x14ac:dyDescent="0.25">
      <c r="Y13463" s="501"/>
    </row>
    <row r="13464" spans="25:25" hidden="1" x14ac:dyDescent="0.25">
      <c r="Y13464" s="501"/>
    </row>
    <row r="13465" spans="25:25" hidden="1" x14ac:dyDescent="0.25">
      <c r="Y13465" s="501"/>
    </row>
    <row r="13466" spans="25:25" hidden="1" x14ac:dyDescent="0.25">
      <c r="Y13466" s="501"/>
    </row>
    <row r="13467" spans="25:25" hidden="1" x14ac:dyDescent="0.25">
      <c r="Y13467" s="501"/>
    </row>
    <row r="13468" spans="25:25" hidden="1" x14ac:dyDescent="0.25">
      <c r="Y13468" s="501"/>
    </row>
    <row r="13469" spans="25:25" hidden="1" x14ac:dyDescent="0.25">
      <c r="Y13469" s="501"/>
    </row>
    <row r="13470" spans="25:25" hidden="1" x14ac:dyDescent="0.25">
      <c r="Y13470" s="501"/>
    </row>
    <row r="13471" spans="25:25" hidden="1" x14ac:dyDescent="0.25">
      <c r="Y13471" s="501"/>
    </row>
    <row r="13472" spans="25:25" hidden="1" x14ac:dyDescent="0.25">
      <c r="Y13472" s="501"/>
    </row>
    <row r="13473" spans="25:25" hidden="1" x14ac:dyDescent="0.25">
      <c r="Y13473" s="501"/>
    </row>
    <row r="13474" spans="25:25" hidden="1" x14ac:dyDescent="0.25">
      <c r="Y13474" s="501"/>
    </row>
    <row r="13475" spans="25:25" hidden="1" x14ac:dyDescent="0.25">
      <c r="Y13475" s="501"/>
    </row>
    <row r="13476" spans="25:25" hidden="1" x14ac:dyDescent="0.25">
      <c r="Y13476" s="501"/>
    </row>
    <row r="13477" spans="25:25" hidden="1" x14ac:dyDescent="0.25">
      <c r="Y13477" s="501"/>
    </row>
    <row r="13478" spans="25:25" hidden="1" x14ac:dyDescent="0.25">
      <c r="Y13478" s="501"/>
    </row>
    <row r="13479" spans="25:25" hidden="1" x14ac:dyDescent="0.25">
      <c r="Y13479" s="501"/>
    </row>
    <row r="13480" spans="25:25" hidden="1" x14ac:dyDescent="0.25">
      <c r="Y13480" s="501"/>
    </row>
    <row r="13481" spans="25:25" hidden="1" x14ac:dyDescent="0.25">
      <c r="Y13481" s="501"/>
    </row>
    <row r="13482" spans="25:25" hidden="1" x14ac:dyDescent="0.25">
      <c r="Y13482" s="501"/>
    </row>
    <row r="13483" spans="25:25" hidden="1" x14ac:dyDescent="0.25">
      <c r="Y13483" s="501"/>
    </row>
    <row r="13484" spans="25:25" hidden="1" x14ac:dyDescent="0.25">
      <c r="Y13484" s="501"/>
    </row>
    <row r="13485" spans="25:25" hidden="1" x14ac:dyDescent="0.25">
      <c r="Y13485" s="501"/>
    </row>
    <row r="13486" spans="25:25" hidden="1" x14ac:dyDescent="0.25">
      <c r="Y13486" s="501"/>
    </row>
    <row r="13487" spans="25:25" hidden="1" x14ac:dyDescent="0.25">
      <c r="Y13487" s="501"/>
    </row>
    <row r="13488" spans="25:25" hidden="1" x14ac:dyDescent="0.25">
      <c r="Y13488" s="501"/>
    </row>
    <row r="13489" spans="25:25" hidden="1" x14ac:dyDescent="0.25">
      <c r="Y13489" s="501"/>
    </row>
    <row r="13490" spans="25:25" hidden="1" x14ac:dyDescent="0.25">
      <c r="Y13490" s="501"/>
    </row>
    <row r="13491" spans="25:25" hidden="1" x14ac:dyDescent="0.25">
      <c r="Y13491" s="501"/>
    </row>
    <row r="13492" spans="25:25" hidden="1" x14ac:dyDescent="0.25">
      <c r="Y13492" s="501"/>
    </row>
    <row r="13493" spans="25:25" hidden="1" x14ac:dyDescent="0.25">
      <c r="Y13493" s="501"/>
    </row>
    <row r="13494" spans="25:25" hidden="1" x14ac:dyDescent="0.25">
      <c r="Y13494" s="501"/>
    </row>
    <row r="13495" spans="25:25" hidden="1" x14ac:dyDescent="0.25">
      <c r="Y13495" s="501"/>
    </row>
    <row r="13496" spans="25:25" hidden="1" x14ac:dyDescent="0.25">
      <c r="Y13496" s="501"/>
    </row>
    <row r="13497" spans="25:25" hidden="1" x14ac:dyDescent="0.25">
      <c r="Y13497" s="501"/>
    </row>
    <row r="13498" spans="25:25" hidden="1" x14ac:dyDescent="0.25">
      <c r="Y13498" s="501"/>
    </row>
    <row r="13499" spans="25:25" hidden="1" x14ac:dyDescent="0.25">
      <c r="Y13499" s="501"/>
    </row>
    <row r="13500" spans="25:25" hidden="1" x14ac:dyDescent="0.25">
      <c r="Y13500" s="501"/>
    </row>
    <row r="13501" spans="25:25" hidden="1" x14ac:dyDescent="0.25">
      <c r="Y13501" s="501"/>
    </row>
    <row r="13502" spans="25:25" hidden="1" x14ac:dyDescent="0.25">
      <c r="Y13502" s="501"/>
    </row>
    <row r="13503" spans="25:25" hidden="1" x14ac:dyDescent="0.25">
      <c r="Y13503" s="501"/>
    </row>
    <row r="13504" spans="25:25" hidden="1" x14ac:dyDescent="0.25">
      <c r="Y13504" s="501"/>
    </row>
    <row r="13505" spans="25:25" hidden="1" x14ac:dyDescent="0.25">
      <c r="Y13505" s="501"/>
    </row>
    <row r="13506" spans="25:25" hidden="1" x14ac:dyDescent="0.25">
      <c r="Y13506" s="501"/>
    </row>
    <row r="13507" spans="25:25" hidden="1" x14ac:dyDescent="0.25">
      <c r="Y13507" s="501"/>
    </row>
    <row r="13508" spans="25:25" hidden="1" x14ac:dyDescent="0.25">
      <c r="Y13508" s="501"/>
    </row>
    <row r="13509" spans="25:25" hidden="1" x14ac:dyDescent="0.25">
      <c r="Y13509" s="501"/>
    </row>
    <row r="13510" spans="25:25" hidden="1" x14ac:dyDescent="0.25">
      <c r="Y13510" s="501"/>
    </row>
    <row r="13511" spans="25:25" hidden="1" x14ac:dyDescent="0.25">
      <c r="Y13511" s="501"/>
    </row>
    <row r="13512" spans="25:25" hidden="1" x14ac:dyDescent="0.25">
      <c r="Y13512" s="501"/>
    </row>
    <row r="13513" spans="25:25" hidden="1" x14ac:dyDescent="0.25">
      <c r="Y13513" s="501"/>
    </row>
    <row r="13514" spans="25:25" hidden="1" x14ac:dyDescent="0.25">
      <c r="Y13514" s="501"/>
    </row>
    <row r="13515" spans="25:25" hidden="1" x14ac:dyDescent="0.25">
      <c r="Y13515" s="501"/>
    </row>
    <row r="13516" spans="25:25" hidden="1" x14ac:dyDescent="0.25">
      <c r="Y13516" s="501"/>
    </row>
    <row r="13517" spans="25:25" hidden="1" x14ac:dyDescent="0.25">
      <c r="Y13517" s="501"/>
    </row>
    <row r="13518" spans="25:25" hidden="1" x14ac:dyDescent="0.25">
      <c r="Y13518" s="501"/>
    </row>
    <row r="13519" spans="25:25" hidden="1" x14ac:dyDescent="0.25">
      <c r="Y13519" s="501"/>
    </row>
    <row r="13520" spans="25:25" hidden="1" x14ac:dyDescent="0.25">
      <c r="Y13520" s="501"/>
    </row>
    <row r="13521" spans="25:25" hidden="1" x14ac:dyDescent="0.25">
      <c r="Y13521" s="501"/>
    </row>
    <row r="13522" spans="25:25" hidden="1" x14ac:dyDescent="0.25">
      <c r="Y13522" s="501"/>
    </row>
    <row r="13523" spans="25:25" hidden="1" x14ac:dyDescent="0.25">
      <c r="Y13523" s="501"/>
    </row>
    <row r="13524" spans="25:25" hidden="1" x14ac:dyDescent="0.25">
      <c r="Y13524" s="501"/>
    </row>
    <row r="13525" spans="25:25" hidden="1" x14ac:dyDescent="0.25">
      <c r="Y13525" s="501"/>
    </row>
    <row r="13526" spans="25:25" hidden="1" x14ac:dyDescent="0.25">
      <c r="Y13526" s="501"/>
    </row>
    <row r="13527" spans="25:25" hidden="1" x14ac:dyDescent="0.25">
      <c r="Y13527" s="501"/>
    </row>
    <row r="13528" spans="25:25" hidden="1" x14ac:dyDescent="0.25">
      <c r="Y13528" s="501"/>
    </row>
    <row r="13529" spans="25:25" hidden="1" x14ac:dyDescent="0.25">
      <c r="Y13529" s="501"/>
    </row>
    <row r="13530" spans="25:25" hidden="1" x14ac:dyDescent="0.25">
      <c r="Y13530" s="501"/>
    </row>
    <row r="13531" spans="25:25" hidden="1" x14ac:dyDescent="0.25">
      <c r="Y13531" s="501"/>
    </row>
    <row r="13532" spans="25:25" hidden="1" x14ac:dyDescent="0.25">
      <c r="Y13532" s="501"/>
    </row>
    <row r="13533" spans="25:25" hidden="1" x14ac:dyDescent="0.25">
      <c r="Y13533" s="501"/>
    </row>
    <row r="13534" spans="25:25" hidden="1" x14ac:dyDescent="0.25">
      <c r="Y13534" s="501"/>
    </row>
    <row r="13535" spans="25:25" hidden="1" x14ac:dyDescent="0.25">
      <c r="Y13535" s="501"/>
    </row>
    <row r="13536" spans="25:25" hidden="1" x14ac:dyDescent="0.25">
      <c r="Y13536" s="501"/>
    </row>
    <row r="13537" spans="25:25" hidden="1" x14ac:dyDescent="0.25">
      <c r="Y13537" s="501"/>
    </row>
    <row r="13538" spans="25:25" hidden="1" x14ac:dyDescent="0.25">
      <c r="Y13538" s="501"/>
    </row>
    <row r="13539" spans="25:25" hidden="1" x14ac:dyDescent="0.25">
      <c r="Y13539" s="501"/>
    </row>
    <row r="13540" spans="25:25" hidden="1" x14ac:dyDescent="0.25">
      <c r="Y13540" s="501"/>
    </row>
    <row r="13541" spans="25:25" hidden="1" x14ac:dyDescent="0.25">
      <c r="Y13541" s="501"/>
    </row>
    <row r="13542" spans="25:25" hidden="1" x14ac:dyDescent="0.25">
      <c r="Y13542" s="501"/>
    </row>
    <row r="13543" spans="25:25" hidden="1" x14ac:dyDescent="0.25">
      <c r="Y13543" s="501"/>
    </row>
    <row r="13544" spans="25:25" hidden="1" x14ac:dyDescent="0.25">
      <c r="Y13544" s="501"/>
    </row>
    <row r="13545" spans="25:25" hidden="1" x14ac:dyDescent="0.25">
      <c r="Y13545" s="501"/>
    </row>
    <row r="13546" spans="25:25" hidden="1" x14ac:dyDescent="0.25">
      <c r="Y13546" s="501"/>
    </row>
    <row r="13547" spans="25:25" hidden="1" x14ac:dyDescent="0.25">
      <c r="Y13547" s="501"/>
    </row>
    <row r="13548" spans="25:25" hidden="1" x14ac:dyDescent="0.25">
      <c r="Y13548" s="501"/>
    </row>
    <row r="13549" spans="25:25" hidden="1" x14ac:dyDescent="0.25">
      <c r="Y13549" s="501"/>
    </row>
    <row r="13550" spans="25:25" hidden="1" x14ac:dyDescent="0.25">
      <c r="Y13550" s="501"/>
    </row>
    <row r="13551" spans="25:25" hidden="1" x14ac:dyDescent="0.25">
      <c r="Y13551" s="501"/>
    </row>
    <row r="13552" spans="25:25" hidden="1" x14ac:dyDescent="0.25">
      <c r="Y13552" s="501"/>
    </row>
    <row r="13553" spans="25:25" hidden="1" x14ac:dyDescent="0.25">
      <c r="Y13553" s="501"/>
    </row>
    <row r="13554" spans="25:25" hidden="1" x14ac:dyDescent="0.25">
      <c r="Y13554" s="501"/>
    </row>
    <row r="13555" spans="25:25" hidden="1" x14ac:dyDescent="0.25">
      <c r="Y13555" s="501"/>
    </row>
    <row r="13556" spans="25:25" hidden="1" x14ac:dyDescent="0.25">
      <c r="Y13556" s="501"/>
    </row>
    <row r="13557" spans="25:25" hidden="1" x14ac:dyDescent="0.25">
      <c r="Y13557" s="501"/>
    </row>
    <row r="13558" spans="25:25" hidden="1" x14ac:dyDescent="0.25">
      <c r="Y13558" s="501"/>
    </row>
    <row r="13559" spans="25:25" hidden="1" x14ac:dyDescent="0.25">
      <c r="Y13559" s="501"/>
    </row>
    <row r="13560" spans="25:25" hidden="1" x14ac:dyDescent="0.25">
      <c r="Y13560" s="501"/>
    </row>
    <row r="13561" spans="25:25" hidden="1" x14ac:dyDescent="0.25">
      <c r="Y13561" s="501"/>
    </row>
    <row r="13562" spans="25:25" hidden="1" x14ac:dyDescent="0.25">
      <c r="Y13562" s="501"/>
    </row>
    <row r="13563" spans="25:25" hidden="1" x14ac:dyDescent="0.25">
      <c r="Y13563" s="501"/>
    </row>
    <row r="13564" spans="25:25" hidden="1" x14ac:dyDescent="0.25">
      <c r="Y13564" s="501"/>
    </row>
    <row r="13565" spans="25:25" hidden="1" x14ac:dyDescent="0.25">
      <c r="Y13565" s="501"/>
    </row>
    <row r="13566" spans="25:25" hidden="1" x14ac:dyDescent="0.25">
      <c r="Y13566" s="501"/>
    </row>
    <row r="13567" spans="25:25" hidden="1" x14ac:dyDescent="0.25">
      <c r="Y13567" s="501"/>
    </row>
    <row r="13568" spans="25:25" hidden="1" x14ac:dyDescent="0.25">
      <c r="Y13568" s="501"/>
    </row>
    <row r="13569" spans="25:25" hidden="1" x14ac:dyDescent="0.25">
      <c r="Y13569" s="501"/>
    </row>
    <row r="13570" spans="25:25" hidden="1" x14ac:dyDescent="0.25">
      <c r="Y13570" s="501"/>
    </row>
    <row r="13571" spans="25:25" hidden="1" x14ac:dyDescent="0.25">
      <c r="Y13571" s="501"/>
    </row>
    <row r="13572" spans="25:25" hidden="1" x14ac:dyDescent="0.25">
      <c r="Y13572" s="501"/>
    </row>
    <row r="13573" spans="25:25" hidden="1" x14ac:dyDescent="0.25">
      <c r="Y13573" s="501"/>
    </row>
    <row r="13574" spans="25:25" hidden="1" x14ac:dyDescent="0.25">
      <c r="Y13574" s="501"/>
    </row>
    <row r="13575" spans="25:25" hidden="1" x14ac:dyDescent="0.25">
      <c r="Y13575" s="501"/>
    </row>
    <row r="13576" spans="25:25" hidden="1" x14ac:dyDescent="0.25">
      <c r="Y13576" s="501"/>
    </row>
    <row r="13577" spans="25:25" hidden="1" x14ac:dyDescent="0.25">
      <c r="Y13577" s="501"/>
    </row>
    <row r="13578" spans="25:25" hidden="1" x14ac:dyDescent="0.25">
      <c r="Y13578" s="501"/>
    </row>
    <row r="13579" spans="25:25" hidden="1" x14ac:dyDescent="0.25">
      <c r="Y13579" s="501"/>
    </row>
    <row r="13580" spans="25:25" hidden="1" x14ac:dyDescent="0.25">
      <c r="Y13580" s="501"/>
    </row>
    <row r="13581" spans="25:25" hidden="1" x14ac:dyDescent="0.25">
      <c r="Y13581" s="501"/>
    </row>
    <row r="13582" spans="25:25" hidden="1" x14ac:dyDescent="0.25">
      <c r="Y13582" s="501"/>
    </row>
    <row r="13583" spans="25:25" hidden="1" x14ac:dyDescent="0.25">
      <c r="Y13583" s="501"/>
    </row>
    <row r="13584" spans="25:25" hidden="1" x14ac:dyDescent="0.25">
      <c r="Y13584" s="501"/>
    </row>
    <row r="13585" spans="25:25" hidden="1" x14ac:dyDescent="0.25">
      <c r="Y13585" s="501"/>
    </row>
    <row r="13586" spans="25:25" hidden="1" x14ac:dyDescent="0.25">
      <c r="Y13586" s="501"/>
    </row>
    <row r="13587" spans="25:25" hidden="1" x14ac:dyDescent="0.25">
      <c r="Y13587" s="501"/>
    </row>
    <row r="13588" spans="25:25" hidden="1" x14ac:dyDescent="0.25">
      <c r="Y13588" s="501"/>
    </row>
    <row r="13589" spans="25:25" hidden="1" x14ac:dyDescent="0.25">
      <c r="Y13589" s="501"/>
    </row>
    <row r="13590" spans="25:25" hidden="1" x14ac:dyDescent="0.25">
      <c r="Y13590" s="501"/>
    </row>
    <row r="13591" spans="25:25" hidden="1" x14ac:dyDescent="0.25">
      <c r="Y13591" s="501"/>
    </row>
    <row r="13592" spans="25:25" hidden="1" x14ac:dyDescent="0.25">
      <c r="Y13592" s="501"/>
    </row>
    <row r="13593" spans="25:25" hidden="1" x14ac:dyDescent="0.25">
      <c r="Y13593" s="501"/>
    </row>
    <row r="13594" spans="25:25" hidden="1" x14ac:dyDescent="0.25">
      <c r="Y13594" s="501"/>
    </row>
    <row r="13595" spans="25:25" hidden="1" x14ac:dyDescent="0.25">
      <c r="Y13595" s="501"/>
    </row>
    <row r="13596" spans="25:25" hidden="1" x14ac:dyDescent="0.25">
      <c r="Y13596" s="501"/>
    </row>
    <row r="13597" spans="25:25" hidden="1" x14ac:dyDescent="0.25">
      <c r="Y13597" s="501"/>
    </row>
    <row r="13598" spans="25:25" hidden="1" x14ac:dyDescent="0.25">
      <c r="Y13598" s="501"/>
    </row>
    <row r="13599" spans="25:25" hidden="1" x14ac:dyDescent="0.25">
      <c r="Y13599" s="501"/>
    </row>
    <row r="13600" spans="25:25" hidden="1" x14ac:dyDescent="0.25">
      <c r="Y13600" s="501"/>
    </row>
    <row r="13601" spans="25:25" hidden="1" x14ac:dyDescent="0.25">
      <c r="Y13601" s="501"/>
    </row>
    <row r="13602" spans="25:25" hidden="1" x14ac:dyDescent="0.25">
      <c r="Y13602" s="501"/>
    </row>
    <row r="13603" spans="25:25" hidden="1" x14ac:dyDescent="0.25">
      <c r="Y13603" s="501"/>
    </row>
    <row r="13604" spans="25:25" hidden="1" x14ac:dyDescent="0.25">
      <c r="Y13604" s="501"/>
    </row>
    <row r="13605" spans="25:25" hidden="1" x14ac:dyDescent="0.25">
      <c r="Y13605" s="501"/>
    </row>
    <row r="13606" spans="25:25" hidden="1" x14ac:dyDescent="0.25">
      <c r="Y13606" s="501"/>
    </row>
    <row r="13607" spans="25:25" hidden="1" x14ac:dyDescent="0.25">
      <c r="Y13607" s="501"/>
    </row>
    <row r="13608" spans="25:25" hidden="1" x14ac:dyDescent="0.25">
      <c r="Y13608" s="501"/>
    </row>
    <row r="13609" spans="25:25" hidden="1" x14ac:dyDescent="0.25">
      <c r="Y13609" s="501"/>
    </row>
    <row r="13610" spans="25:25" hidden="1" x14ac:dyDescent="0.25">
      <c r="Y13610" s="501"/>
    </row>
    <row r="13611" spans="25:25" hidden="1" x14ac:dyDescent="0.25">
      <c r="Y13611" s="501"/>
    </row>
    <row r="13612" spans="25:25" hidden="1" x14ac:dyDescent="0.25">
      <c r="Y13612" s="501"/>
    </row>
    <row r="13613" spans="25:25" hidden="1" x14ac:dyDescent="0.25">
      <c r="Y13613" s="501"/>
    </row>
    <row r="13614" spans="25:25" hidden="1" x14ac:dyDescent="0.25">
      <c r="Y13614" s="501"/>
    </row>
    <row r="13615" spans="25:25" hidden="1" x14ac:dyDescent="0.25">
      <c r="Y13615" s="501"/>
    </row>
    <row r="13616" spans="25:25" hidden="1" x14ac:dyDescent="0.25">
      <c r="Y13616" s="501"/>
    </row>
    <row r="13617" spans="25:25" hidden="1" x14ac:dyDescent="0.25">
      <c r="Y13617" s="501"/>
    </row>
    <row r="13618" spans="25:25" hidden="1" x14ac:dyDescent="0.25">
      <c r="Y13618" s="501"/>
    </row>
    <row r="13619" spans="25:25" hidden="1" x14ac:dyDescent="0.25">
      <c r="Y13619" s="501"/>
    </row>
    <row r="13620" spans="25:25" hidden="1" x14ac:dyDescent="0.25">
      <c r="Y13620" s="501"/>
    </row>
    <row r="13621" spans="25:25" hidden="1" x14ac:dyDescent="0.25">
      <c r="Y13621" s="501"/>
    </row>
    <row r="13622" spans="25:25" hidden="1" x14ac:dyDescent="0.25">
      <c r="Y13622" s="501"/>
    </row>
    <row r="13623" spans="25:25" hidden="1" x14ac:dyDescent="0.25">
      <c r="Y13623" s="501"/>
    </row>
    <row r="13624" spans="25:25" hidden="1" x14ac:dyDescent="0.25">
      <c r="Y13624" s="501"/>
    </row>
    <row r="13625" spans="25:25" hidden="1" x14ac:dyDescent="0.25">
      <c r="Y13625" s="501"/>
    </row>
    <row r="13626" spans="25:25" hidden="1" x14ac:dyDescent="0.25">
      <c r="Y13626" s="501"/>
    </row>
    <row r="13627" spans="25:25" hidden="1" x14ac:dyDescent="0.25">
      <c r="Y13627" s="501"/>
    </row>
    <row r="13628" spans="25:25" hidden="1" x14ac:dyDescent="0.25">
      <c r="Y13628" s="501"/>
    </row>
    <row r="13629" spans="25:25" hidden="1" x14ac:dyDescent="0.25">
      <c r="Y13629" s="501"/>
    </row>
    <row r="13630" spans="25:25" hidden="1" x14ac:dyDescent="0.25">
      <c r="Y13630" s="501"/>
    </row>
    <row r="13631" spans="25:25" hidden="1" x14ac:dyDescent="0.25">
      <c r="Y13631" s="501"/>
    </row>
    <row r="13632" spans="25:25" hidden="1" x14ac:dyDescent="0.25">
      <c r="Y13632" s="501"/>
    </row>
    <row r="13633" spans="25:25" hidden="1" x14ac:dyDescent="0.25">
      <c r="Y13633" s="501"/>
    </row>
    <row r="13634" spans="25:25" hidden="1" x14ac:dyDescent="0.25">
      <c r="Y13634" s="501"/>
    </row>
    <row r="13635" spans="25:25" hidden="1" x14ac:dyDescent="0.25">
      <c r="Y13635" s="501"/>
    </row>
    <row r="13636" spans="25:25" hidden="1" x14ac:dyDescent="0.25">
      <c r="Y13636" s="501"/>
    </row>
    <row r="13637" spans="25:25" hidden="1" x14ac:dyDescent="0.25">
      <c r="Y13637" s="501"/>
    </row>
    <row r="13638" spans="25:25" hidden="1" x14ac:dyDescent="0.25">
      <c r="Y13638" s="501"/>
    </row>
    <row r="13639" spans="25:25" hidden="1" x14ac:dyDescent="0.25">
      <c r="Y13639" s="501"/>
    </row>
    <row r="13640" spans="25:25" hidden="1" x14ac:dyDescent="0.25">
      <c r="Y13640" s="501"/>
    </row>
    <row r="13641" spans="25:25" hidden="1" x14ac:dyDescent="0.25">
      <c r="Y13641" s="501"/>
    </row>
    <row r="13642" spans="25:25" hidden="1" x14ac:dyDescent="0.25">
      <c r="Y13642" s="501"/>
    </row>
    <row r="13643" spans="25:25" hidden="1" x14ac:dyDescent="0.25">
      <c r="Y13643" s="501"/>
    </row>
    <row r="13644" spans="25:25" hidden="1" x14ac:dyDescent="0.25">
      <c r="Y13644" s="501"/>
    </row>
    <row r="13645" spans="25:25" hidden="1" x14ac:dyDescent="0.25">
      <c r="Y13645" s="501"/>
    </row>
    <row r="13646" spans="25:25" hidden="1" x14ac:dyDescent="0.25">
      <c r="Y13646" s="501"/>
    </row>
    <row r="13647" spans="25:25" hidden="1" x14ac:dyDescent="0.25">
      <c r="Y13647" s="501"/>
    </row>
    <row r="13648" spans="25:25" hidden="1" x14ac:dyDescent="0.25">
      <c r="Y13648" s="501"/>
    </row>
    <row r="13649" spans="25:25" hidden="1" x14ac:dyDescent="0.25">
      <c r="Y13649" s="501"/>
    </row>
    <row r="13650" spans="25:25" hidden="1" x14ac:dyDescent="0.25">
      <c r="Y13650" s="501"/>
    </row>
    <row r="13651" spans="25:25" hidden="1" x14ac:dyDescent="0.25">
      <c r="Y13651" s="501"/>
    </row>
    <row r="13652" spans="25:25" hidden="1" x14ac:dyDescent="0.25">
      <c r="Y13652" s="501"/>
    </row>
    <row r="13653" spans="25:25" hidden="1" x14ac:dyDescent="0.25">
      <c r="Y13653" s="501"/>
    </row>
    <row r="13654" spans="25:25" hidden="1" x14ac:dyDescent="0.25">
      <c r="Y13654" s="501"/>
    </row>
    <row r="13655" spans="25:25" hidden="1" x14ac:dyDescent="0.25">
      <c r="Y13655" s="501"/>
    </row>
    <row r="13656" spans="25:25" hidden="1" x14ac:dyDescent="0.25">
      <c r="Y13656" s="501"/>
    </row>
    <row r="13657" spans="25:25" hidden="1" x14ac:dyDescent="0.25">
      <c r="Y13657" s="501"/>
    </row>
    <row r="13658" spans="25:25" hidden="1" x14ac:dyDescent="0.25">
      <c r="Y13658" s="501"/>
    </row>
    <row r="13659" spans="25:25" hidden="1" x14ac:dyDescent="0.25">
      <c r="Y13659" s="501"/>
    </row>
    <row r="13660" spans="25:25" hidden="1" x14ac:dyDescent="0.25">
      <c r="Y13660" s="501"/>
    </row>
    <row r="13661" spans="25:25" hidden="1" x14ac:dyDescent="0.25">
      <c r="Y13661" s="501"/>
    </row>
    <row r="13662" spans="25:25" hidden="1" x14ac:dyDescent="0.25">
      <c r="Y13662" s="501"/>
    </row>
    <row r="13663" spans="25:25" hidden="1" x14ac:dyDescent="0.25">
      <c r="Y13663" s="501"/>
    </row>
    <row r="13664" spans="25:25" hidden="1" x14ac:dyDescent="0.25">
      <c r="Y13664" s="501"/>
    </row>
    <row r="13665" spans="25:25" hidden="1" x14ac:dyDescent="0.25">
      <c r="Y13665" s="501"/>
    </row>
    <row r="13666" spans="25:25" hidden="1" x14ac:dyDescent="0.25">
      <c r="Y13666" s="501"/>
    </row>
    <row r="13667" spans="25:25" hidden="1" x14ac:dyDescent="0.25">
      <c r="Y13667" s="501"/>
    </row>
    <row r="13668" spans="25:25" hidden="1" x14ac:dyDescent="0.25">
      <c r="Y13668" s="501"/>
    </row>
    <row r="13669" spans="25:25" hidden="1" x14ac:dyDescent="0.25">
      <c r="Y13669" s="501"/>
    </row>
    <row r="13670" spans="25:25" hidden="1" x14ac:dyDescent="0.25">
      <c r="Y13670" s="501"/>
    </row>
    <row r="13671" spans="25:25" hidden="1" x14ac:dyDescent="0.25">
      <c r="Y13671" s="501"/>
    </row>
    <row r="13672" spans="25:25" hidden="1" x14ac:dyDescent="0.25">
      <c r="Y13672" s="501"/>
    </row>
    <row r="13673" spans="25:25" hidden="1" x14ac:dyDescent="0.25">
      <c r="Y13673" s="501"/>
    </row>
    <row r="13674" spans="25:25" hidden="1" x14ac:dyDescent="0.25">
      <c r="Y13674" s="501"/>
    </row>
    <row r="13675" spans="25:25" hidden="1" x14ac:dyDescent="0.25">
      <c r="Y13675" s="501"/>
    </row>
    <row r="13676" spans="25:25" hidden="1" x14ac:dyDescent="0.25">
      <c r="Y13676" s="501"/>
    </row>
    <row r="13677" spans="25:25" hidden="1" x14ac:dyDescent="0.25">
      <c r="Y13677" s="501"/>
    </row>
    <row r="13678" spans="25:25" hidden="1" x14ac:dyDescent="0.25">
      <c r="Y13678" s="501"/>
    </row>
    <row r="13679" spans="25:25" hidden="1" x14ac:dyDescent="0.25">
      <c r="Y13679" s="501"/>
    </row>
    <row r="13680" spans="25:25" hidden="1" x14ac:dyDescent="0.25">
      <c r="Y13680" s="501"/>
    </row>
    <row r="13681" spans="25:25" hidden="1" x14ac:dyDescent="0.25">
      <c r="Y13681" s="501"/>
    </row>
    <row r="13682" spans="25:25" hidden="1" x14ac:dyDescent="0.25">
      <c r="Y13682" s="501"/>
    </row>
    <row r="13683" spans="25:25" hidden="1" x14ac:dyDescent="0.25">
      <c r="Y13683" s="501"/>
    </row>
    <row r="13684" spans="25:25" hidden="1" x14ac:dyDescent="0.25">
      <c r="Y13684" s="501"/>
    </row>
    <row r="13685" spans="25:25" hidden="1" x14ac:dyDescent="0.25">
      <c r="Y13685" s="501"/>
    </row>
    <row r="13686" spans="25:25" hidden="1" x14ac:dyDescent="0.25">
      <c r="Y13686" s="501"/>
    </row>
    <row r="13687" spans="25:25" hidden="1" x14ac:dyDescent="0.25">
      <c r="Y13687" s="501"/>
    </row>
    <row r="13688" spans="25:25" hidden="1" x14ac:dyDescent="0.25">
      <c r="Y13688" s="501"/>
    </row>
    <row r="13689" spans="25:25" hidden="1" x14ac:dyDescent="0.25">
      <c r="Y13689" s="501"/>
    </row>
    <row r="13690" spans="25:25" hidden="1" x14ac:dyDescent="0.25">
      <c r="Y13690" s="501"/>
    </row>
    <row r="13691" spans="25:25" hidden="1" x14ac:dyDescent="0.25">
      <c r="Y13691" s="501"/>
    </row>
    <row r="13692" spans="25:25" hidden="1" x14ac:dyDescent="0.25">
      <c r="Y13692" s="501"/>
    </row>
    <row r="13693" spans="25:25" hidden="1" x14ac:dyDescent="0.25">
      <c r="Y13693" s="501"/>
    </row>
    <row r="13694" spans="25:25" hidden="1" x14ac:dyDescent="0.25">
      <c r="Y13694" s="501"/>
    </row>
    <row r="13695" spans="25:25" hidden="1" x14ac:dyDescent="0.25">
      <c r="Y13695" s="501"/>
    </row>
    <row r="13696" spans="25:25" hidden="1" x14ac:dyDescent="0.25">
      <c r="Y13696" s="501"/>
    </row>
    <row r="13697" spans="25:25" hidden="1" x14ac:dyDescent="0.25">
      <c r="Y13697" s="501"/>
    </row>
    <row r="13698" spans="25:25" hidden="1" x14ac:dyDescent="0.25">
      <c r="Y13698" s="501"/>
    </row>
    <row r="13699" spans="25:25" hidden="1" x14ac:dyDescent="0.25">
      <c r="Y13699" s="501"/>
    </row>
    <row r="13700" spans="25:25" hidden="1" x14ac:dyDescent="0.25">
      <c r="Y13700" s="501"/>
    </row>
    <row r="13701" spans="25:25" hidden="1" x14ac:dyDescent="0.25">
      <c r="Y13701" s="501"/>
    </row>
    <row r="13702" spans="25:25" hidden="1" x14ac:dyDescent="0.25">
      <c r="Y13702" s="501"/>
    </row>
    <row r="13703" spans="25:25" hidden="1" x14ac:dyDescent="0.25">
      <c r="Y13703" s="501"/>
    </row>
    <row r="13704" spans="25:25" hidden="1" x14ac:dyDescent="0.25">
      <c r="Y13704" s="501"/>
    </row>
    <row r="13705" spans="25:25" hidden="1" x14ac:dyDescent="0.25">
      <c r="Y13705" s="501"/>
    </row>
    <row r="13706" spans="25:25" hidden="1" x14ac:dyDescent="0.25">
      <c r="Y13706" s="501"/>
    </row>
    <row r="13707" spans="25:25" hidden="1" x14ac:dyDescent="0.25">
      <c r="Y13707" s="501"/>
    </row>
    <row r="13708" spans="25:25" hidden="1" x14ac:dyDescent="0.25">
      <c r="Y13708" s="501"/>
    </row>
    <row r="13709" spans="25:25" hidden="1" x14ac:dyDescent="0.25">
      <c r="Y13709" s="501"/>
    </row>
    <row r="13710" spans="25:25" hidden="1" x14ac:dyDescent="0.25">
      <c r="Y13710" s="501"/>
    </row>
    <row r="13711" spans="25:25" hidden="1" x14ac:dyDescent="0.25">
      <c r="Y13711" s="501"/>
    </row>
    <row r="13712" spans="25:25" hidden="1" x14ac:dyDescent="0.25">
      <c r="Y13712" s="501"/>
    </row>
    <row r="13713" spans="25:25" hidden="1" x14ac:dyDescent="0.25">
      <c r="Y13713" s="501"/>
    </row>
    <row r="13714" spans="25:25" hidden="1" x14ac:dyDescent="0.25">
      <c r="Y13714" s="501"/>
    </row>
    <row r="13715" spans="25:25" hidden="1" x14ac:dyDescent="0.25">
      <c r="Y13715" s="501"/>
    </row>
    <row r="13716" spans="25:25" hidden="1" x14ac:dyDescent="0.25">
      <c r="Y13716" s="501"/>
    </row>
    <row r="13717" spans="25:25" hidden="1" x14ac:dyDescent="0.25">
      <c r="Y13717" s="501"/>
    </row>
    <row r="13718" spans="25:25" hidden="1" x14ac:dyDescent="0.25">
      <c r="Y13718" s="501"/>
    </row>
    <row r="13719" spans="25:25" hidden="1" x14ac:dyDescent="0.25">
      <c r="Y13719" s="501"/>
    </row>
    <row r="13720" spans="25:25" hidden="1" x14ac:dyDescent="0.25">
      <c r="Y13720" s="501"/>
    </row>
    <row r="13721" spans="25:25" hidden="1" x14ac:dyDescent="0.25">
      <c r="Y13721" s="501"/>
    </row>
    <row r="13722" spans="25:25" hidden="1" x14ac:dyDescent="0.25">
      <c r="Y13722" s="501"/>
    </row>
    <row r="13723" spans="25:25" hidden="1" x14ac:dyDescent="0.25">
      <c r="Y13723" s="501"/>
    </row>
    <row r="13724" spans="25:25" hidden="1" x14ac:dyDescent="0.25">
      <c r="Y13724" s="501"/>
    </row>
    <row r="13725" spans="25:25" hidden="1" x14ac:dyDescent="0.25">
      <c r="Y13725" s="501"/>
    </row>
    <row r="13726" spans="25:25" hidden="1" x14ac:dyDescent="0.25">
      <c r="Y13726" s="501"/>
    </row>
    <row r="13727" spans="25:25" hidden="1" x14ac:dyDescent="0.25">
      <c r="Y13727" s="501"/>
    </row>
    <row r="13728" spans="25:25" hidden="1" x14ac:dyDescent="0.25">
      <c r="Y13728" s="501"/>
    </row>
    <row r="13729" spans="25:25" hidden="1" x14ac:dyDescent="0.25">
      <c r="Y13729" s="501"/>
    </row>
    <row r="13730" spans="25:25" hidden="1" x14ac:dyDescent="0.25">
      <c r="Y13730" s="501"/>
    </row>
    <row r="13731" spans="25:25" hidden="1" x14ac:dyDescent="0.25">
      <c r="Y13731" s="501"/>
    </row>
    <row r="13732" spans="25:25" hidden="1" x14ac:dyDescent="0.25">
      <c r="Y13732" s="501"/>
    </row>
    <row r="13733" spans="25:25" hidden="1" x14ac:dyDescent="0.25">
      <c r="Y13733" s="501"/>
    </row>
    <row r="13734" spans="25:25" hidden="1" x14ac:dyDescent="0.25">
      <c r="Y13734" s="501"/>
    </row>
    <row r="13735" spans="25:25" hidden="1" x14ac:dyDescent="0.25">
      <c r="Y13735" s="501"/>
    </row>
    <row r="13736" spans="25:25" hidden="1" x14ac:dyDescent="0.25">
      <c r="Y13736" s="501"/>
    </row>
    <row r="13737" spans="25:25" hidden="1" x14ac:dyDescent="0.25">
      <c r="Y13737" s="501"/>
    </row>
    <row r="13738" spans="25:25" hidden="1" x14ac:dyDescent="0.25">
      <c r="Y13738" s="501"/>
    </row>
    <row r="13739" spans="25:25" hidden="1" x14ac:dyDescent="0.25">
      <c r="Y13739" s="501"/>
    </row>
    <row r="13740" spans="25:25" hidden="1" x14ac:dyDescent="0.25">
      <c r="Y13740" s="501"/>
    </row>
    <row r="13741" spans="25:25" hidden="1" x14ac:dyDescent="0.25">
      <c r="Y13741" s="501"/>
    </row>
    <row r="13742" spans="25:25" hidden="1" x14ac:dyDescent="0.25">
      <c r="Y13742" s="501"/>
    </row>
    <row r="13743" spans="25:25" hidden="1" x14ac:dyDescent="0.25">
      <c r="Y13743" s="501"/>
    </row>
    <row r="13744" spans="25:25" hidden="1" x14ac:dyDescent="0.25">
      <c r="Y13744" s="501"/>
    </row>
    <row r="13745" spans="25:25" hidden="1" x14ac:dyDescent="0.25">
      <c r="Y13745" s="501"/>
    </row>
    <row r="13746" spans="25:25" hidden="1" x14ac:dyDescent="0.25">
      <c r="Y13746" s="501"/>
    </row>
    <row r="13747" spans="25:25" hidden="1" x14ac:dyDescent="0.25">
      <c r="Y13747" s="501"/>
    </row>
    <row r="13748" spans="25:25" hidden="1" x14ac:dyDescent="0.25">
      <c r="Y13748" s="501"/>
    </row>
    <row r="13749" spans="25:25" hidden="1" x14ac:dyDescent="0.25">
      <c r="Y13749" s="501"/>
    </row>
    <row r="13750" spans="25:25" hidden="1" x14ac:dyDescent="0.25">
      <c r="Y13750" s="501"/>
    </row>
    <row r="13751" spans="25:25" hidden="1" x14ac:dyDescent="0.25">
      <c r="Y13751" s="501"/>
    </row>
    <row r="13752" spans="25:25" hidden="1" x14ac:dyDescent="0.25">
      <c r="Y13752" s="501"/>
    </row>
    <row r="13753" spans="25:25" hidden="1" x14ac:dyDescent="0.25">
      <c r="Y13753" s="501"/>
    </row>
    <row r="13754" spans="25:25" hidden="1" x14ac:dyDescent="0.25">
      <c r="Y13754" s="501"/>
    </row>
    <row r="13755" spans="25:25" hidden="1" x14ac:dyDescent="0.25">
      <c r="Y13755" s="501"/>
    </row>
    <row r="13756" spans="25:25" hidden="1" x14ac:dyDescent="0.25">
      <c r="Y13756" s="501"/>
    </row>
    <row r="13757" spans="25:25" hidden="1" x14ac:dyDescent="0.25">
      <c r="Y13757" s="501"/>
    </row>
    <row r="13758" spans="25:25" hidden="1" x14ac:dyDescent="0.25">
      <c r="Y13758" s="501"/>
    </row>
    <row r="13759" spans="25:25" hidden="1" x14ac:dyDescent="0.25">
      <c r="Y13759" s="501"/>
    </row>
    <row r="13760" spans="25:25" hidden="1" x14ac:dyDescent="0.25">
      <c r="Y13760" s="501"/>
    </row>
    <row r="13761" spans="25:25" hidden="1" x14ac:dyDescent="0.25">
      <c r="Y13761" s="501"/>
    </row>
    <row r="13762" spans="25:25" hidden="1" x14ac:dyDescent="0.25">
      <c r="Y13762" s="501"/>
    </row>
    <row r="13763" spans="25:25" hidden="1" x14ac:dyDescent="0.25">
      <c r="Y13763" s="501"/>
    </row>
    <row r="13764" spans="25:25" hidden="1" x14ac:dyDescent="0.25">
      <c r="Y13764" s="501"/>
    </row>
    <row r="13765" spans="25:25" hidden="1" x14ac:dyDescent="0.25">
      <c r="Y13765" s="501"/>
    </row>
    <row r="13766" spans="25:25" hidden="1" x14ac:dyDescent="0.25">
      <c r="Y13766" s="501"/>
    </row>
    <row r="13767" spans="25:25" hidden="1" x14ac:dyDescent="0.25">
      <c r="Y13767" s="501"/>
    </row>
    <row r="13768" spans="25:25" hidden="1" x14ac:dyDescent="0.25">
      <c r="Y13768" s="501"/>
    </row>
    <row r="13769" spans="25:25" hidden="1" x14ac:dyDescent="0.25">
      <c r="Y13769" s="501"/>
    </row>
    <row r="13770" spans="25:25" hidden="1" x14ac:dyDescent="0.25">
      <c r="Y13770" s="501"/>
    </row>
    <row r="13771" spans="25:25" hidden="1" x14ac:dyDescent="0.25">
      <c r="Y13771" s="501"/>
    </row>
    <row r="13772" spans="25:25" hidden="1" x14ac:dyDescent="0.25">
      <c r="Y13772" s="501"/>
    </row>
    <row r="13773" spans="25:25" hidden="1" x14ac:dyDescent="0.25">
      <c r="Y13773" s="501"/>
    </row>
    <row r="13774" spans="25:25" hidden="1" x14ac:dyDescent="0.25">
      <c r="Y13774" s="501"/>
    </row>
    <row r="13775" spans="25:25" hidden="1" x14ac:dyDescent="0.25">
      <c r="Y13775" s="501"/>
    </row>
    <row r="13776" spans="25:25" hidden="1" x14ac:dyDescent="0.25">
      <c r="Y13776" s="501"/>
    </row>
    <row r="13777" spans="25:25" hidden="1" x14ac:dyDescent="0.25">
      <c r="Y13777" s="501"/>
    </row>
    <row r="13778" spans="25:25" hidden="1" x14ac:dyDescent="0.25">
      <c r="Y13778" s="501"/>
    </row>
    <row r="13779" spans="25:25" hidden="1" x14ac:dyDescent="0.25">
      <c r="Y13779" s="501"/>
    </row>
    <row r="13780" spans="25:25" hidden="1" x14ac:dyDescent="0.25">
      <c r="Y13780" s="501"/>
    </row>
    <row r="13781" spans="25:25" hidden="1" x14ac:dyDescent="0.25">
      <c r="Y13781" s="501"/>
    </row>
    <row r="13782" spans="25:25" hidden="1" x14ac:dyDescent="0.25">
      <c r="Y13782" s="501"/>
    </row>
    <row r="13783" spans="25:25" hidden="1" x14ac:dyDescent="0.25">
      <c r="Y13783" s="501"/>
    </row>
    <row r="13784" spans="25:25" hidden="1" x14ac:dyDescent="0.25">
      <c r="Y13784" s="501"/>
    </row>
    <row r="13785" spans="25:25" hidden="1" x14ac:dyDescent="0.25">
      <c r="Y13785" s="501"/>
    </row>
    <row r="13786" spans="25:25" hidden="1" x14ac:dyDescent="0.25">
      <c r="Y13786" s="501"/>
    </row>
    <row r="13787" spans="25:25" hidden="1" x14ac:dyDescent="0.25">
      <c r="Y13787" s="501"/>
    </row>
    <row r="13788" spans="25:25" hidden="1" x14ac:dyDescent="0.25">
      <c r="Y13788" s="501"/>
    </row>
    <row r="13789" spans="25:25" hidden="1" x14ac:dyDescent="0.25">
      <c r="Y13789" s="501"/>
    </row>
    <row r="13790" spans="25:25" hidden="1" x14ac:dyDescent="0.25">
      <c r="Y13790" s="501"/>
    </row>
    <row r="13791" spans="25:25" hidden="1" x14ac:dyDescent="0.25">
      <c r="Y13791" s="501"/>
    </row>
    <row r="13792" spans="25:25" hidden="1" x14ac:dyDescent="0.25">
      <c r="Y13792" s="501"/>
    </row>
    <row r="13793" spans="25:25" hidden="1" x14ac:dyDescent="0.25">
      <c r="Y13793" s="501"/>
    </row>
    <row r="13794" spans="25:25" hidden="1" x14ac:dyDescent="0.25">
      <c r="Y13794" s="501"/>
    </row>
    <row r="13795" spans="25:25" hidden="1" x14ac:dyDescent="0.25">
      <c r="Y13795" s="501"/>
    </row>
    <row r="13796" spans="25:25" hidden="1" x14ac:dyDescent="0.25">
      <c r="Y13796" s="501"/>
    </row>
    <row r="13797" spans="25:25" hidden="1" x14ac:dyDescent="0.25">
      <c r="Y13797" s="501"/>
    </row>
    <row r="13798" spans="25:25" hidden="1" x14ac:dyDescent="0.25">
      <c r="Y13798" s="501"/>
    </row>
    <row r="13799" spans="25:25" hidden="1" x14ac:dyDescent="0.25">
      <c r="Y13799" s="501"/>
    </row>
    <row r="13800" spans="25:25" hidden="1" x14ac:dyDescent="0.25">
      <c r="Y13800" s="501"/>
    </row>
    <row r="13801" spans="25:25" hidden="1" x14ac:dyDescent="0.25">
      <c r="Y13801" s="501"/>
    </row>
    <row r="13802" spans="25:25" hidden="1" x14ac:dyDescent="0.25">
      <c r="Y13802" s="501"/>
    </row>
    <row r="13803" spans="25:25" hidden="1" x14ac:dyDescent="0.25">
      <c r="Y13803" s="501"/>
    </row>
    <row r="13804" spans="25:25" hidden="1" x14ac:dyDescent="0.25">
      <c r="Y13804" s="501"/>
    </row>
    <row r="13805" spans="25:25" hidden="1" x14ac:dyDescent="0.25">
      <c r="Y13805" s="501"/>
    </row>
    <row r="13806" spans="25:25" hidden="1" x14ac:dyDescent="0.25">
      <c r="Y13806" s="501"/>
    </row>
    <row r="13807" spans="25:25" hidden="1" x14ac:dyDescent="0.25">
      <c r="Y13807" s="501"/>
    </row>
    <row r="13808" spans="25:25" hidden="1" x14ac:dyDescent="0.25">
      <c r="Y13808" s="501"/>
    </row>
    <row r="13809" spans="25:25" hidden="1" x14ac:dyDescent="0.25">
      <c r="Y13809" s="501"/>
    </row>
    <row r="13810" spans="25:25" hidden="1" x14ac:dyDescent="0.25">
      <c r="Y13810" s="501"/>
    </row>
    <row r="13811" spans="25:25" hidden="1" x14ac:dyDescent="0.25">
      <c r="Y13811" s="501"/>
    </row>
    <row r="13812" spans="25:25" hidden="1" x14ac:dyDescent="0.25">
      <c r="Y13812" s="501"/>
    </row>
    <row r="13813" spans="25:25" hidden="1" x14ac:dyDescent="0.25">
      <c r="Y13813" s="501"/>
    </row>
    <row r="13814" spans="25:25" hidden="1" x14ac:dyDescent="0.25">
      <c r="Y13814" s="501"/>
    </row>
    <row r="13815" spans="25:25" hidden="1" x14ac:dyDescent="0.25">
      <c r="Y13815" s="501"/>
    </row>
    <row r="13816" spans="25:25" hidden="1" x14ac:dyDescent="0.25">
      <c r="Y13816" s="501"/>
    </row>
    <row r="13817" spans="25:25" hidden="1" x14ac:dyDescent="0.25">
      <c r="Y13817" s="501"/>
    </row>
    <row r="13818" spans="25:25" hidden="1" x14ac:dyDescent="0.25">
      <c r="Y13818" s="501"/>
    </row>
    <row r="13819" spans="25:25" hidden="1" x14ac:dyDescent="0.25">
      <c r="Y13819" s="501"/>
    </row>
    <row r="13820" spans="25:25" hidden="1" x14ac:dyDescent="0.25">
      <c r="Y13820" s="501"/>
    </row>
    <row r="13821" spans="25:25" hidden="1" x14ac:dyDescent="0.25">
      <c r="Y13821" s="501"/>
    </row>
    <row r="13822" spans="25:25" hidden="1" x14ac:dyDescent="0.25">
      <c r="Y13822" s="501"/>
    </row>
    <row r="13823" spans="25:25" hidden="1" x14ac:dyDescent="0.25">
      <c r="Y13823" s="501"/>
    </row>
    <row r="13824" spans="25:25" hidden="1" x14ac:dyDescent="0.25">
      <c r="Y13824" s="501"/>
    </row>
    <row r="13825" spans="25:25" hidden="1" x14ac:dyDescent="0.25">
      <c r="Y13825" s="501"/>
    </row>
    <row r="13826" spans="25:25" hidden="1" x14ac:dyDescent="0.25">
      <c r="Y13826" s="501"/>
    </row>
    <row r="13827" spans="25:25" hidden="1" x14ac:dyDescent="0.25">
      <c r="Y13827" s="501"/>
    </row>
    <row r="13828" spans="25:25" hidden="1" x14ac:dyDescent="0.25">
      <c r="Y13828" s="501"/>
    </row>
    <row r="13829" spans="25:25" hidden="1" x14ac:dyDescent="0.25">
      <c r="Y13829" s="501"/>
    </row>
    <row r="13830" spans="25:25" hidden="1" x14ac:dyDescent="0.25">
      <c r="Y13830" s="501"/>
    </row>
    <row r="13831" spans="25:25" hidden="1" x14ac:dyDescent="0.25">
      <c r="Y13831" s="501"/>
    </row>
    <row r="13832" spans="25:25" hidden="1" x14ac:dyDescent="0.25">
      <c r="Y13832" s="501"/>
    </row>
    <row r="13833" spans="25:25" hidden="1" x14ac:dyDescent="0.25">
      <c r="Y13833" s="501"/>
    </row>
    <row r="13834" spans="25:25" hidden="1" x14ac:dyDescent="0.25">
      <c r="Y13834" s="501"/>
    </row>
    <row r="13835" spans="25:25" hidden="1" x14ac:dyDescent="0.25">
      <c r="Y13835" s="501"/>
    </row>
    <row r="13836" spans="25:25" hidden="1" x14ac:dyDescent="0.25">
      <c r="Y13836" s="501"/>
    </row>
    <row r="13837" spans="25:25" hidden="1" x14ac:dyDescent="0.25">
      <c r="Y13837" s="501"/>
    </row>
    <row r="13838" spans="25:25" hidden="1" x14ac:dyDescent="0.25">
      <c r="Y13838" s="501"/>
    </row>
    <row r="13839" spans="25:25" hidden="1" x14ac:dyDescent="0.25">
      <c r="Y13839" s="501"/>
    </row>
    <row r="13840" spans="25:25" hidden="1" x14ac:dyDescent="0.25">
      <c r="Y13840" s="501"/>
    </row>
    <row r="13841" spans="25:25" hidden="1" x14ac:dyDescent="0.25">
      <c r="Y13841" s="501"/>
    </row>
    <row r="13842" spans="25:25" hidden="1" x14ac:dyDescent="0.25">
      <c r="Y13842" s="501"/>
    </row>
    <row r="13843" spans="25:25" hidden="1" x14ac:dyDescent="0.25">
      <c r="Y13843" s="501"/>
    </row>
    <row r="13844" spans="25:25" hidden="1" x14ac:dyDescent="0.25">
      <c r="Y13844" s="501"/>
    </row>
    <row r="13845" spans="25:25" hidden="1" x14ac:dyDescent="0.25">
      <c r="Y13845" s="501"/>
    </row>
    <row r="13846" spans="25:25" hidden="1" x14ac:dyDescent="0.25">
      <c r="Y13846" s="501"/>
    </row>
    <row r="13847" spans="25:25" hidden="1" x14ac:dyDescent="0.25">
      <c r="Y13847" s="501"/>
    </row>
    <row r="13848" spans="25:25" hidden="1" x14ac:dyDescent="0.25">
      <c r="Y13848" s="501"/>
    </row>
    <row r="13849" spans="25:25" hidden="1" x14ac:dyDescent="0.25">
      <c r="Y13849" s="501"/>
    </row>
    <row r="13850" spans="25:25" hidden="1" x14ac:dyDescent="0.25">
      <c r="Y13850" s="501"/>
    </row>
    <row r="13851" spans="25:25" hidden="1" x14ac:dyDescent="0.25">
      <c r="Y13851" s="501"/>
    </row>
    <row r="13852" spans="25:25" hidden="1" x14ac:dyDescent="0.25">
      <c r="Y13852" s="501"/>
    </row>
    <row r="13853" spans="25:25" hidden="1" x14ac:dyDescent="0.25">
      <c r="Y13853" s="501"/>
    </row>
    <row r="13854" spans="25:25" hidden="1" x14ac:dyDescent="0.25">
      <c r="Y13854" s="501"/>
    </row>
    <row r="13855" spans="25:25" hidden="1" x14ac:dyDescent="0.25">
      <c r="Y13855" s="501"/>
    </row>
    <row r="13856" spans="25:25" hidden="1" x14ac:dyDescent="0.25">
      <c r="Y13856" s="501"/>
    </row>
    <row r="13857" spans="25:25" hidden="1" x14ac:dyDescent="0.25">
      <c r="Y13857" s="501"/>
    </row>
    <row r="13858" spans="25:25" hidden="1" x14ac:dyDescent="0.25">
      <c r="Y13858" s="501"/>
    </row>
    <row r="13859" spans="25:25" hidden="1" x14ac:dyDescent="0.25">
      <c r="Y13859" s="501"/>
    </row>
    <row r="13860" spans="25:25" hidden="1" x14ac:dyDescent="0.25">
      <c r="Y13860" s="501"/>
    </row>
    <row r="13861" spans="25:25" hidden="1" x14ac:dyDescent="0.25">
      <c r="Y13861" s="501"/>
    </row>
    <row r="13862" spans="25:25" hidden="1" x14ac:dyDescent="0.25">
      <c r="Y13862" s="501"/>
    </row>
    <row r="13863" spans="25:25" hidden="1" x14ac:dyDescent="0.25">
      <c r="Y13863" s="501"/>
    </row>
    <row r="13864" spans="25:25" hidden="1" x14ac:dyDescent="0.25">
      <c r="Y13864" s="501"/>
    </row>
    <row r="13865" spans="25:25" hidden="1" x14ac:dyDescent="0.25">
      <c r="Y13865" s="501"/>
    </row>
    <row r="13866" spans="25:25" hidden="1" x14ac:dyDescent="0.25">
      <c r="Y13866" s="501"/>
    </row>
    <row r="13867" spans="25:25" hidden="1" x14ac:dyDescent="0.25">
      <c r="Y13867" s="501"/>
    </row>
    <row r="13868" spans="25:25" hidden="1" x14ac:dyDescent="0.25">
      <c r="Y13868" s="501"/>
    </row>
    <row r="13869" spans="25:25" hidden="1" x14ac:dyDescent="0.25">
      <c r="Y13869" s="501"/>
    </row>
    <row r="13870" spans="25:25" hidden="1" x14ac:dyDescent="0.25">
      <c r="Y13870" s="501"/>
    </row>
    <row r="13871" spans="25:25" hidden="1" x14ac:dyDescent="0.25">
      <c r="Y13871" s="501"/>
    </row>
    <row r="13872" spans="25:25" hidden="1" x14ac:dyDescent="0.25">
      <c r="Y13872" s="501"/>
    </row>
    <row r="13873" spans="25:25" hidden="1" x14ac:dyDescent="0.25">
      <c r="Y13873" s="501"/>
    </row>
    <row r="13874" spans="25:25" hidden="1" x14ac:dyDescent="0.25">
      <c r="Y13874" s="501"/>
    </row>
    <row r="13875" spans="25:25" hidden="1" x14ac:dyDescent="0.25">
      <c r="Y13875" s="501"/>
    </row>
    <row r="13876" spans="25:25" hidden="1" x14ac:dyDescent="0.25">
      <c r="Y13876" s="501"/>
    </row>
    <row r="13877" spans="25:25" hidden="1" x14ac:dyDescent="0.25">
      <c r="Y13877" s="501"/>
    </row>
    <row r="13878" spans="25:25" hidden="1" x14ac:dyDescent="0.25">
      <c r="Y13878" s="501"/>
    </row>
    <row r="13879" spans="25:25" hidden="1" x14ac:dyDescent="0.25">
      <c r="Y13879" s="501"/>
    </row>
    <row r="13880" spans="25:25" hidden="1" x14ac:dyDescent="0.25">
      <c r="Y13880" s="501"/>
    </row>
    <row r="13881" spans="25:25" hidden="1" x14ac:dyDescent="0.25">
      <c r="Y13881" s="501"/>
    </row>
    <row r="13882" spans="25:25" hidden="1" x14ac:dyDescent="0.25">
      <c r="Y13882" s="501"/>
    </row>
    <row r="13883" spans="25:25" hidden="1" x14ac:dyDescent="0.25">
      <c r="Y13883" s="501"/>
    </row>
    <row r="13884" spans="25:25" hidden="1" x14ac:dyDescent="0.25">
      <c r="Y13884" s="501"/>
    </row>
    <row r="13885" spans="25:25" hidden="1" x14ac:dyDescent="0.25">
      <c r="Y13885" s="501"/>
    </row>
    <row r="13886" spans="25:25" hidden="1" x14ac:dyDescent="0.25">
      <c r="Y13886" s="501"/>
    </row>
    <row r="13887" spans="25:25" hidden="1" x14ac:dyDescent="0.25">
      <c r="Y13887" s="501"/>
    </row>
    <row r="13888" spans="25:25" hidden="1" x14ac:dyDescent="0.25">
      <c r="Y13888" s="501"/>
    </row>
    <row r="13889" spans="25:25" hidden="1" x14ac:dyDescent="0.25">
      <c r="Y13889" s="501"/>
    </row>
    <row r="13890" spans="25:25" hidden="1" x14ac:dyDescent="0.25">
      <c r="Y13890" s="501"/>
    </row>
    <row r="13891" spans="25:25" hidden="1" x14ac:dyDescent="0.25">
      <c r="Y13891" s="501"/>
    </row>
    <row r="13892" spans="25:25" hidden="1" x14ac:dyDescent="0.25">
      <c r="Y13892" s="501"/>
    </row>
    <row r="13893" spans="25:25" hidden="1" x14ac:dyDescent="0.25">
      <c r="Y13893" s="501"/>
    </row>
    <row r="13894" spans="25:25" hidden="1" x14ac:dyDescent="0.25">
      <c r="Y13894" s="501"/>
    </row>
    <row r="13895" spans="25:25" hidden="1" x14ac:dyDescent="0.25">
      <c r="Y13895" s="501"/>
    </row>
    <row r="13896" spans="25:25" hidden="1" x14ac:dyDescent="0.25">
      <c r="Y13896" s="501"/>
    </row>
    <row r="13897" spans="25:25" hidden="1" x14ac:dyDescent="0.25">
      <c r="Y13897" s="501"/>
    </row>
    <row r="13898" spans="25:25" hidden="1" x14ac:dyDescent="0.25">
      <c r="Y13898" s="501"/>
    </row>
    <row r="13899" spans="25:25" hidden="1" x14ac:dyDescent="0.25">
      <c r="Y13899" s="501"/>
    </row>
    <row r="13900" spans="25:25" hidden="1" x14ac:dyDescent="0.25">
      <c r="Y13900" s="501"/>
    </row>
    <row r="13901" spans="25:25" hidden="1" x14ac:dyDescent="0.25">
      <c r="Y13901" s="501"/>
    </row>
    <row r="13902" spans="25:25" hidden="1" x14ac:dyDescent="0.25">
      <c r="Y13902" s="501"/>
    </row>
    <row r="13903" spans="25:25" hidden="1" x14ac:dyDescent="0.25">
      <c r="Y13903" s="501"/>
    </row>
    <row r="13904" spans="25:25" hidden="1" x14ac:dyDescent="0.25">
      <c r="Y13904" s="501"/>
    </row>
    <row r="13905" spans="25:25" hidden="1" x14ac:dyDescent="0.25">
      <c r="Y13905" s="501"/>
    </row>
    <row r="13906" spans="25:25" hidden="1" x14ac:dyDescent="0.25">
      <c r="Y13906" s="501"/>
    </row>
    <row r="13907" spans="25:25" hidden="1" x14ac:dyDescent="0.25">
      <c r="Y13907" s="501"/>
    </row>
    <row r="13908" spans="25:25" hidden="1" x14ac:dyDescent="0.25">
      <c r="Y13908" s="501"/>
    </row>
    <row r="13909" spans="25:25" hidden="1" x14ac:dyDescent="0.25">
      <c r="Y13909" s="501"/>
    </row>
    <row r="13910" spans="25:25" hidden="1" x14ac:dyDescent="0.25">
      <c r="Y13910" s="501"/>
    </row>
    <row r="13911" spans="25:25" hidden="1" x14ac:dyDescent="0.25">
      <c r="Y13911" s="501"/>
    </row>
    <row r="13912" spans="25:25" hidden="1" x14ac:dyDescent="0.25">
      <c r="Y13912" s="501"/>
    </row>
    <row r="13913" spans="25:25" hidden="1" x14ac:dyDescent="0.25">
      <c r="Y13913" s="501"/>
    </row>
    <row r="13914" spans="25:25" hidden="1" x14ac:dyDescent="0.25">
      <c r="Y13914" s="501"/>
    </row>
    <row r="13915" spans="25:25" hidden="1" x14ac:dyDescent="0.25">
      <c r="Y13915" s="501"/>
    </row>
    <row r="13916" spans="25:25" hidden="1" x14ac:dyDescent="0.25">
      <c r="Y13916" s="501"/>
    </row>
    <row r="13917" spans="25:25" hidden="1" x14ac:dyDescent="0.25">
      <c r="Y13917" s="501"/>
    </row>
    <row r="13918" spans="25:25" hidden="1" x14ac:dyDescent="0.25">
      <c r="Y13918" s="501"/>
    </row>
    <row r="13919" spans="25:25" hidden="1" x14ac:dyDescent="0.25">
      <c r="Y13919" s="501"/>
    </row>
    <row r="13920" spans="25:25" hidden="1" x14ac:dyDescent="0.25">
      <c r="Y13920" s="501"/>
    </row>
    <row r="13921" spans="25:25" hidden="1" x14ac:dyDescent="0.25">
      <c r="Y13921" s="501"/>
    </row>
    <row r="13922" spans="25:25" hidden="1" x14ac:dyDescent="0.25">
      <c r="Y13922" s="501"/>
    </row>
    <row r="13923" spans="25:25" hidden="1" x14ac:dyDescent="0.25">
      <c r="Y13923" s="501"/>
    </row>
    <row r="13924" spans="25:25" hidden="1" x14ac:dyDescent="0.25">
      <c r="Y13924" s="501"/>
    </row>
    <row r="13925" spans="25:25" hidden="1" x14ac:dyDescent="0.25">
      <c r="Y13925" s="501"/>
    </row>
    <row r="13926" spans="25:25" hidden="1" x14ac:dyDescent="0.25">
      <c r="Y13926" s="501"/>
    </row>
    <row r="13927" spans="25:25" hidden="1" x14ac:dyDescent="0.25">
      <c r="Y13927" s="501"/>
    </row>
    <row r="13928" spans="25:25" hidden="1" x14ac:dyDescent="0.25">
      <c r="Y13928" s="501"/>
    </row>
    <row r="13929" spans="25:25" hidden="1" x14ac:dyDescent="0.25">
      <c r="Y13929" s="501"/>
    </row>
    <row r="13930" spans="25:25" hidden="1" x14ac:dyDescent="0.25">
      <c r="Y13930" s="501"/>
    </row>
    <row r="13931" spans="25:25" hidden="1" x14ac:dyDescent="0.25">
      <c r="Y13931" s="501"/>
    </row>
    <row r="13932" spans="25:25" hidden="1" x14ac:dyDescent="0.25">
      <c r="Y13932" s="501"/>
    </row>
    <row r="13933" spans="25:25" hidden="1" x14ac:dyDescent="0.25">
      <c r="Y13933" s="501"/>
    </row>
    <row r="13934" spans="25:25" hidden="1" x14ac:dyDescent="0.25">
      <c r="Y13934" s="501"/>
    </row>
    <row r="13935" spans="25:25" hidden="1" x14ac:dyDescent="0.25">
      <c r="Y13935" s="501"/>
    </row>
    <row r="13936" spans="25:25" hidden="1" x14ac:dyDescent="0.25">
      <c r="Y13936" s="501"/>
    </row>
    <row r="13937" spans="25:25" hidden="1" x14ac:dyDescent="0.25">
      <c r="Y13937" s="501"/>
    </row>
    <row r="13938" spans="25:25" hidden="1" x14ac:dyDescent="0.25">
      <c r="Y13938" s="501"/>
    </row>
    <row r="13939" spans="25:25" hidden="1" x14ac:dyDescent="0.25">
      <c r="Y13939" s="501"/>
    </row>
    <row r="13940" spans="25:25" hidden="1" x14ac:dyDescent="0.25">
      <c r="Y13940" s="501"/>
    </row>
    <row r="13941" spans="25:25" hidden="1" x14ac:dyDescent="0.25">
      <c r="Y13941" s="501"/>
    </row>
    <row r="13942" spans="25:25" hidden="1" x14ac:dyDescent="0.25">
      <c r="Y13942" s="501"/>
    </row>
    <row r="13943" spans="25:25" hidden="1" x14ac:dyDescent="0.25">
      <c r="Y13943" s="501"/>
    </row>
    <row r="13944" spans="25:25" hidden="1" x14ac:dyDescent="0.25">
      <c r="Y13944" s="501"/>
    </row>
    <row r="13945" spans="25:25" hidden="1" x14ac:dyDescent="0.25">
      <c r="Y13945" s="501"/>
    </row>
    <row r="13946" spans="25:25" hidden="1" x14ac:dyDescent="0.25">
      <c r="Y13946" s="501"/>
    </row>
    <row r="13947" spans="25:25" hidden="1" x14ac:dyDescent="0.25">
      <c r="Y13947" s="501"/>
    </row>
    <row r="13948" spans="25:25" hidden="1" x14ac:dyDescent="0.25">
      <c r="Y13948" s="501"/>
    </row>
    <row r="13949" spans="25:25" hidden="1" x14ac:dyDescent="0.25">
      <c r="Y13949" s="501"/>
    </row>
    <row r="13950" spans="25:25" hidden="1" x14ac:dyDescent="0.25">
      <c r="Y13950" s="501"/>
    </row>
    <row r="13951" spans="25:25" hidden="1" x14ac:dyDescent="0.25">
      <c r="Y13951" s="501"/>
    </row>
    <row r="13952" spans="25:25" hidden="1" x14ac:dyDescent="0.25">
      <c r="Y13952" s="501"/>
    </row>
    <row r="13953" spans="25:25" hidden="1" x14ac:dyDescent="0.25">
      <c r="Y13953" s="501"/>
    </row>
    <row r="13954" spans="25:25" hidden="1" x14ac:dyDescent="0.25">
      <c r="Y13954" s="501"/>
    </row>
    <row r="13955" spans="25:25" hidden="1" x14ac:dyDescent="0.25">
      <c r="Y13955" s="501"/>
    </row>
    <row r="13956" spans="25:25" hidden="1" x14ac:dyDescent="0.25">
      <c r="Y13956" s="501"/>
    </row>
    <row r="13957" spans="25:25" hidden="1" x14ac:dyDescent="0.25">
      <c r="Y13957" s="501"/>
    </row>
    <row r="13958" spans="25:25" hidden="1" x14ac:dyDescent="0.25">
      <c r="Y13958" s="501"/>
    </row>
    <row r="13959" spans="25:25" hidden="1" x14ac:dyDescent="0.25">
      <c r="Y13959" s="501"/>
    </row>
    <row r="13960" spans="25:25" hidden="1" x14ac:dyDescent="0.25">
      <c r="Y13960" s="501"/>
    </row>
    <row r="13961" spans="25:25" hidden="1" x14ac:dyDescent="0.25">
      <c r="Y13961" s="501"/>
    </row>
    <row r="13962" spans="25:25" hidden="1" x14ac:dyDescent="0.25">
      <c r="Y13962" s="501"/>
    </row>
    <row r="13963" spans="25:25" hidden="1" x14ac:dyDescent="0.25">
      <c r="Y13963" s="501"/>
    </row>
    <row r="13964" spans="25:25" hidden="1" x14ac:dyDescent="0.25">
      <c r="Y13964" s="501"/>
    </row>
    <row r="13965" spans="25:25" hidden="1" x14ac:dyDescent="0.25">
      <c r="Y13965" s="501"/>
    </row>
    <row r="13966" spans="25:25" hidden="1" x14ac:dyDescent="0.25">
      <c r="Y13966" s="501"/>
    </row>
    <row r="13967" spans="25:25" hidden="1" x14ac:dyDescent="0.25">
      <c r="Y13967" s="501"/>
    </row>
    <row r="13968" spans="25:25" hidden="1" x14ac:dyDescent="0.25">
      <c r="Y13968" s="501"/>
    </row>
    <row r="13969" spans="25:25" hidden="1" x14ac:dyDescent="0.25">
      <c r="Y13969" s="501"/>
    </row>
    <row r="13970" spans="25:25" hidden="1" x14ac:dyDescent="0.25">
      <c r="Y13970" s="501"/>
    </row>
    <row r="13971" spans="25:25" hidden="1" x14ac:dyDescent="0.25">
      <c r="Y13971" s="501"/>
    </row>
    <row r="13972" spans="25:25" hidden="1" x14ac:dyDescent="0.25">
      <c r="Y13972" s="501"/>
    </row>
    <row r="13973" spans="25:25" hidden="1" x14ac:dyDescent="0.25">
      <c r="Y13973" s="501"/>
    </row>
    <row r="13974" spans="25:25" hidden="1" x14ac:dyDescent="0.25">
      <c r="Y13974" s="501"/>
    </row>
    <row r="13975" spans="25:25" hidden="1" x14ac:dyDescent="0.25">
      <c r="Y13975" s="501"/>
    </row>
    <row r="13976" spans="25:25" hidden="1" x14ac:dyDescent="0.25">
      <c r="Y13976" s="501"/>
    </row>
    <row r="13977" spans="25:25" hidden="1" x14ac:dyDescent="0.25">
      <c r="Y13977" s="501"/>
    </row>
    <row r="13978" spans="25:25" hidden="1" x14ac:dyDescent="0.25">
      <c r="Y13978" s="501"/>
    </row>
    <row r="13979" spans="25:25" hidden="1" x14ac:dyDescent="0.25">
      <c r="Y13979" s="501"/>
    </row>
    <row r="13980" spans="25:25" hidden="1" x14ac:dyDescent="0.25">
      <c r="Y13980" s="501"/>
    </row>
    <row r="13981" spans="25:25" hidden="1" x14ac:dyDescent="0.25">
      <c r="Y13981" s="501"/>
    </row>
    <row r="13982" spans="25:25" hidden="1" x14ac:dyDescent="0.25">
      <c r="Y13982" s="501"/>
    </row>
    <row r="13983" spans="25:25" hidden="1" x14ac:dyDescent="0.25">
      <c r="Y13983" s="501"/>
    </row>
    <row r="13984" spans="25:25" hidden="1" x14ac:dyDescent="0.25">
      <c r="Y13984" s="501"/>
    </row>
    <row r="13985" spans="25:25" hidden="1" x14ac:dyDescent="0.25">
      <c r="Y13985" s="501"/>
    </row>
    <row r="13986" spans="25:25" hidden="1" x14ac:dyDescent="0.25">
      <c r="Y13986" s="501"/>
    </row>
    <row r="13987" spans="25:25" hidden="1" x14ac:dyDescent="0.25">
      <c r="Y13987" s="501"/>
    </row>
    <row r="13988" spans="25:25" hidden="1" x14ac:dyDescent="0.25">
      <c r="Y13988" s="501"/>
    </row>
    <row r="13989" spans="25:25" hidden="1" x14ac:dyDescent="0.25">
      <c r="Y13989" s="501"/>
    </row>
    <row r="13990" spans="25:25" hidden="1" x14ac:dyDescent="0.25">
      <c r="Y13990" s="501"/>
    </row>
    <row r="13991" spans="25:25" hidden="1" x14ac:dyDescent="0.25">
      <c r="Y13991" s="501"/>
    </row>
    <row r="13992" spans="25:25" hidden="1" x14ac:dyDescent="0.25">
      <c r="Y13992" s="501"/>
    </row>
    <row r="13993" spans="25:25" hidden="1" x14ac:dyDescent="0.25">
      <c r="Y13993" s="501"/>
    </row>
    <row r="13994" spans="25:25" hidden="1" x14ac:dyDescent="0.25">
      <c r="Y13994" s="501"/>
    </row>
    <row r="13995" spans="25:25" hidden="1" x14ac:dyDescent="0.25">
      <c r="Y13995" s="501"/>
    </row>
    <row r="13996" spans="25:25" hidden="1" x14ac:dyDescent="0.25">
      <c r="Y13996" s="501"/>
    </row>
    <row r="13997" spans="25:25" hidden="1" x14ac:dyDescent="0.25">
      <c r="Y13997" s="501"/>
    </row>
    <row r="13998" spans="25:25" hidden="1" x14ac:dyDescent="0.25">
      <c r="Y13998" s="501"/>
    </row>
    <row r="13999" spans="25:25" hidden="1" x14ac:dyDescent="0.25">
      <c r="Y13999" s="501"/>
    </row>
    <row r="14000" spans="25:25" hidden="1" x14ac:dyDescent="0.25">
      <c r="Y14000" s="501"/>
    </row>
    <row r="14001" spans="25:25" hidden="1" x14ac:dyDescent="0.25">
      <c r="Y14001" s="501"/>
    </row>
    <row r="14002" spans="25:25" hidden="1" x14ac:dyDescent="0.25">
      <c r="Y14002" s="501"/>
    </row>
    <row r="14003" spans="25:25" hidden="1" x14ac:dyDescent="0.25">
      <c r="Y14003" s="501"/>
    </row>
    <row r="14004" spans="25:25" hidden="1" x14ac:dyDescent="0.25">
      <c r="Y14004" s="501"/>
    </row>
    <row r="14005" spans="25:25" hidden="1" x14ac:dyDescent="0.25">
      <c r="Y14005" s="501"/>
    </row>
    <row r="14006" spans="25:25" hidden="1" x14ac:dyDescent="0.25">
      <c r="Y14006" s="501"/>
    </row>
    <row r="14007" spans="25:25" hidden="1" x14ac:dyDescent="0.25">
      <c r="Y14007" s="501"/>
    </row>
    <row r="14008" spans="25:25" hidden="1" x14ac:dyDescent="0.25">
      <c r="Y14008" s="501"/>
    </row>
    <row r="14009" spans="25:25" hidden="1" x14ac:dyDescent="0.25">
      <c r="Y14009" s="501"/>
    </row>
    <row r="14010" spans="25:25" hidden="1" x14ac:dyDescent="0.25">
      <c r="Y14010" s="501"/>
    </row>
    <row r="14011" spans="25:25" hidden="1" x14ac:dyDescent="0.25">
      <c r="Y14011" s="501"/>
    </row>
    <row r="14012" spans="25:25" hidden="1" x14ac:dyDescent="0.25">
      <c r="Y14012" s="501"/>
    </row>
    <row r="14013" spans="25:25" hidden="1" x14ac:dyDescent="0.25">
      <c r="Y14013" s="501"/>
    </row>
    <row r="14014" spans="25:25" hidden="1" x14ac:dyDescent="0.25">
      <c r="Y14014" s="501"/>
    </row>
    <row r="14015" spans="25:25" hidden="1" x14ac:dyDescent="0.25">
      <c r="Y14015" s="501"/>
    </row>
    <row r="14016" spans="25:25" hidden="1" x14ac:dyDescent="0.25">
      <c r="Y14016" s="501"/>
    </row>
    <row r="14017" spans="25:25" hidden="1" x14ac:dyDescent="0.25">
      <c r="Y14017" s="501"/>
    </row>
    <row r="14018" spans="25:25" hidden="1" x14ac:dyDescent="0.25">
      <c r="Y14018" s="501"/>
    </row>
    <row r="14019" spans="25:25" hidden="1" x14ac:dyDescent="0.25">
      <c r="Y14019" s="501"/>
    </row>
    <row r="14020" spans="25:25" hidden="1" x14ac:dyDescent="0.25">
      <c r="Y14020" s="501"/>
    </row>
    <row r="14021" spans="25:25" hidden="1" x14ac:dyDescent="0.25">
      <c r="Y14021" s="501"/>
    </row>
    <row r="14022" spans="25:25" hidden="1" x14ac:dyDescent="0.25">
      <c r="Y14022" s="501"/>
    </row>
    <row r="14023" spans="25:25" hidden="1" x14ac:dyDescent="0.25">
      <c r="Y14023" s="501"/>
    </row>
    <row r="14024" spans="25:25" hidden="1" x14ac:dyDescent="0.25">
      <c r="Y14024" s="501"/>
    </row>
    <row r="14025" spans="25:25" hidden="1" x14ac:dyDescent="0.25">
      <c r="Y14025" s="501"/>
    </row>
    <row r="14026" spans="25:25" hidden="1" x14ac:dyDescent="0.25">
      <c r="Y14026" s="501"/>
    </row>
    <row r="14027" spans="25:25" hidden="1" x14ac:dyDescent="0.25">
      <c r="Y14027" s="501"/>
    </row>
    <row r="14028" spans="25:25" hidden="1" x14ac:dyDescent="0.25">
      <c r="Y14028" s="501"/>
    </row>
    <row r="14029" spans="25:25" hidden="1" x14ac:dyDescent="0.25">
      <c r="Y14029" s="501"/>
    </row>
    <row r="14030" spans="25:25" hidden="1" x14ac:dyDescent="0.25">
      <c r="Y14030" s="501"/>
    </row>
    <row r="14031" spans="25:25" hidden="1" x14ac:dyDescent="0.25">
      <c r="Y14031" s="501"/>
    </row>
    <row r="14032" spans="25:25" hidden="1" x14ac:dyDescent="0.25">
      <c r="Y14032" s="501"/>
    </row>
    <row r="14033" spans="25:25" hidden="1" x14ac:dyDescent="0.25">
      <c r="Y14033" s="501"/>
    </row>
    <row r="14034" spans="25:25" hidden="1" x14ac:dyDescent="0.25">
      <c r="Y14034" s="501"/>
    </row>
    <row r="14035" spans="25:25" hidden="1" x14ac:dyDescent="0.25">
      <c r="Y14035" s="501"/>
    </row>
    <row r="14036" spans="25:25" hidden="1" x14ac:dyDescent="0.25">
      <c r="Y14036" s="501"/>
    </row>
    <row r="14037" spans="25:25" hidden="1" x14ac:dyDescent="0.25">
      <c r="Y14037" s="501"/>
    </row>
    <row r="14038" spans="25:25" hidden="1" x14ac:dyDescent="0.25">
      <c r="Y14038" s="501"/>
    </row>
    <row r="14039" spans="25:25" hidden="1" x14ac:dyDescent="0.25">
      <c r="Y14039" s="501"/>
    </row>
    <row r="14040" spans="25:25" hidden="1" x14ac:dyDescent="0.25">
      <c r="Y14040" s="501"/>
    </row>
    <row r="14041" spans="25:25" hidden="1" x14ac:dyDescent="0.25">
      <c r="Y14041" s="501"/>
    </row>
    <row r="14042" spans="25:25" hidden="1" x14ac:dyDescent="0.25">
      <c r="Y14042" s="501"/>
    </row>
    <row r="14043" spans="25:25" hidden="1" x14ac:dyDescent="0.25">
      <c r="Y14043" s="501"/>
    </row>
    <row r="14044" spans="25:25" hidden="1" x14ac:dyDescent="0.25">
      <c r="Y14044" s="501"/>
    </row>
    <row r="14045" spans="25:25" hidden="1" x14ac:dyDescent="0.25">
      <c r="Y14045" s="501"/>
    </row>
    <row r="14046" spans="25:25" hidden="1" x14ac:dyDescent="0.25">
      <c r="Y14046" s="501"/>
    </row>
    <row r="14047" spans="25:25" hidden="1" x14ac:dyDescent="0.25">
      <c r="Y14047" s="501"/>
    </row>
    <row r="14048" spans="25:25" hidden="1" x14ac:dyDescent="0.25">
      <c r="Y14048" s="501"/>
    </row>
    <row r="14049" spans="25:25" hidden="1" x14ac:dyDescent="0.25">
      <c r="Y14049" s="501"/>
    </row>
    <row r="14050" spans="25:25" hidden="1" x14ac:dyDescent="0.25">
      <c r="Y14050" s="501"/>
    </row>
    <row r="14051" spans="25:25" hidden="1" x14ac:dyDescent="0.25">
      <c r="Y14051" s="501"/>
    </row>
    <row r="14052" spans="25:25" hidden="1" x14ac:dyDescent="0.25">
      <c r="Y14052" s="501"/>
    </row>
    <row r="14053" spans="25:25" hidden="1" x14ac:dyDescent="0.25">
      <c r="Y14053" s="501"/>
    </row>
    <row r="14054" spans="25:25" hidden="1" x14ac:dyDescent="0.25">
      <c r="Y14054" s="501"/>
    </row>
    <row r="14055" spans="25:25" hidden="1" x14ac:dyDescent="0.25">
      <c r="Y14055" s="501"/>
    </row>
    <row r="14056" spans="25:25" hidden="1" x14ac:dyDescent="0.25">
      <c r="Y14056" s="501"/>
    </row>
    <row r="14057" spans="25:25" hidden="1" x14ac:dyDescent="0.25">
      <c r="Y14057" s="501"/>
    </row>
    <row r="14058" spans="25:25" hidden="1" x14ac:dyDescent="0.25">
      <c r="Y14058" s="501"/>
    </row>
    <row r="14059" spans="25:25" hidden="1" x14ac:dyDescent="0.25">
      <c r="Y14059" s="501"/>
    </row>
    <row r="14060" spans="25:25" hidden="1" x14ac:dyDescent="0.25">
      <c r="Y14060" s="501"/>
    </row>
    <row r="14061" spans="25:25" hidden="1" x14ac:dyDescent="0.25">
      <c r="Y14061" s="501"/>
    </row>
    <row r="14062" spans="25:25" hidden="1" x14ac:dyDescent="0.25">
      <c r="Y14062" s="501"/>
    </row>
    <row r="14063" spans="25:25" hidden="1" x14ac:dyDescent="0.25">
      <c r="Y14063" s="501"/>
    </row>
    <row r="14064" spans="25:25" hidden="1" x14ac:dyDescent="0.25">
      <c r="Y14064" s="501"/>
    </row>
    <row r="14065" spans="25:25" hidden="1" x14ac:dyDescent="0.25">
      <c r="Y14065" s="501"/>
    </row>
    <row r="14066" spans="25:25" hidden="1" x14ac:dyDescent="0.25">
      <c r="Y14066" s="501"/>
    </row>
    <row r="14067" spans="25:25" hidden="1" x14ac:dyDescent="0.25">
      <c r="Y14067" s="501"/>
    </row>
    <row r="14068" spans="25:25" hidden="1" x14ac:dyDescent="0.25">
      <c r="Y14068" s="501"/>
    </row>
    <row r="14069" spans="25:25" hidden="1" x14ac:dyDescent="0.25">
      <c r="Y14069" s="501"/>
    </row>
    <row r="14070" spans="25:25" hidden="1" x14ac:dyDescent="0.25">
      <c r="Y14070" s="501"/>
    </row>
    <row r="14071" spans="25:25" hidden="1" x14ac:dyDescent="0.25">
      <c r="Y14071" s="501"/>
    </row>
    <row r="14072" spans="25:25" hidden="1" x14ac:dyDescent="0.25">
      <c r="Y14072" s="501"/>
    </row>
    <row r="14073" spans="25:25" hidden="1" x14ac:dyDescent="0.25">
      <c r="Y14073" s="501"/>
    </row>
    <row r="14074" spans="25:25" hidden="1" x14ac:dyDescent="0.25">
      <c r="Y14074" s="501"/>
    </row>
    <row r="14075" spans="25:25" hidden="1" x14ac:dyDescent="0.25">
      <c r="Y14075" s="501"/>
    </row>
    <row r="14076" spans="25:25" hidden="1" x14ac:dyDescent="0.25">
      <c r="Y14076" s="501"/>
    </row>
    <row r="14077" spans="25:25" hidden="1" x14ac:dyDescent="0.25">
      <c r="Y14077" s="501"/>
    </row>
    <row r="14078" spans="25:25" hidden="1" x14ac:dyDescent="0.25">
      <c r="Y14078" s="501"/>
    </row>
    <row r="14079" spans="25:25" hidden="1" x14ac:dyDescent="0.25">
      <c r="Y14079" s="501"/>
    </row>
    <row r="14080" spans="25:25" hidden="1" x14ac:dyDescent="0.25">
      <c r="Y14080" s="501"/>
    </row>
    <row r="14081" spans="25:25" hidden="1" x14ac:dyDescent="0.25">
      <c r="Y14081" s="501"/>
    </row>
    <row r="14082" spans="25:25" hidden="1" x14ac:dyDescent="0.25">
      <c r="Y14082" s="501"/>
    </row>
    <row r="14083" spans="25:25" hidden="1" x14ac:dyDescent="0.25">
      <c r="Y14083" s="501"/>
    </row>
    <row r="14084" spans="25:25" hidden="1" x14ac:dyDescent="0.25">
      <c r="Y14084" s="501"/>
    </row>
    <row r="14085" spans="25:25" hidden="1" x14ac:dyDescent="0.25">
      <c r="Y14085" s="501"/>
    </row>
    <row r="14086" spans="25:25" hidden="1" x14ac:dyDescent="0.25">
      <c r="Y14086" s="501"/>
    </row>
    <row r="14087" spans="25:25" hidden="1" x14ac:dyDescent="0.25">
      <c r="Y14087" s="501"/>
    </row>
    <row r="14088" spans="25:25" hidden="1" x14ac:dyDescent="0.25">
      <c r="Y14088" s="501"/>
    </row>
    <row r="14089" spans="25:25" hidden="1" x14ac:dyDescent="0.25">
      <c r="Y14089" s="501"/>
    </row>
    <row r="14090" spans="25:25" hidden="1" x14ac:dyDescent="0.25">
      <c r="Y14090" s="501"/>
    </row>
    <row r="14091" spans="25:25" hidden="1" x14ac:dyDescent="0.25">
      <c r="Y14091" s="501"/>
    </row>
    <row r="14092" spans="25:25" hidden="1" x14ac:dyDescent="0.25">
      <c r="Y14092" s="501"/>
    </row>
    <row r="14093" spans="25:25" hidden="1" x14ac:dyDescent="0.25">
      <c r="Y14093" s="501"/>
    </row>
    <row r="14094" spans="25:25" hidden="1" x14ac:dyDescent="0.25">
      <c r="Y14094" s="501"/>
    </row>
    <row r="14095" spans="25:25" hidden="1" x14ac:dyDescent="0.25">
      <c r="Y14095" s="501"/>
    </row>
    <row r="14096" spans="25:25" hidden="1" x14ac:dyDescent="0.25">
      <c r="Y14096" s="501"/>
    </row>
    <row r="14097" spans="25:25" hidden="1" x14ac:dyDescent="0.25">
      <c r="Y14097" s="501"/>
    </row>
    <row r="14098" spans="25:25" hidden="1" x14ac:dyDescent="0.25">
      <c r="Y14098" s="501"/>
    </row>
    <row r="14099" spans="25:25" hidden="1" x14ac:dyDescent="0.25">
      <c r="Y14099" s="501"/>
    </row>
    <row r="14100" spans="25:25" hidden="1" x14ac:dyDescent="0.25">
      <c r="Y14100" s="501"/>
    </row>
    <row r="14101" spans="25:25" hidden="1" x14ac:dyDescent="0.25">
      <c r="Y14101" s="501"/>
    </row>
    <row r="14102" spans="25:25" hidden="1" x14ac:dyDescent="0.25">
      <c r="Y14102" s="501"/>
    </row>
    <row r="14103" spans="25:25" hidden="1" x14ac:dyDescent="0.25">
      <c r="Y14103" s="501"/>
    </row>
    <row r="14104" spans="25:25" hidden="1" x14ac:dyDescent="0.25">
      <c r="Y14104" s="501"/>
    </row>
    <row r="14105" spans="25:25" hidden="1" x14ac:dyDescent="0.25">
      <c r="Y14105" s="501"/>
    </row>
    <row r="14106" spans="25:25" hidden="1" x14ac:dyDescent="0.25">
      <c r="Y14106" s="501"/>
    </row>
    <row r="14107" spans="25:25" hidden="1" x14ac:dyDescent="0.25">
      <c r="Y14107" s="501"/>
    </row>
    <row r="14108" spans="25:25" hidden="1" x14ac:dyDescent="0.25">
      <c r="Y14108" s="501"/>
    </row>
    <row r="14109" spans="25:25" hidden="1" x14ac:dyDescent="0.25">
      <c r="Y14109" s="501"/>
    </row>
    <row r="14110" spans="25:25" hidden="1" x14ac:dyDescent="0.25">
      <c r="Y14110" s="501"/>
    </row>
    <row r="14111" spans="25:25" hidden="1" x14ac:dyDescent="0.25">
      <c r="Y14111" s="501"/>
    </row>
    <row r="14112" spans="25:25" hidden="1" x14ac:dyDescent="0.25">
      <c r="Y14112" s="501"/>
    </row>
    <row r="14113" spans="25:25" hidden="1" x14ac:dyDescent="0.25">
      <c r="Y14113" s="501"/>
    </row>
    <row r="14114" spans="25:25" hidden="1" x14ac:dyDescent="0.25">
      <c r="Y14114" s="501"/>
    </row>
    <row r="14115" spans="25:25" hidden="1" x14ac:dyDescent="0.25">
      <c r="Y14115" s="501"/>
    </row>
    <row r="14116" spans="25:25" hidden="1" x14ac:dyDescent="0.25">
      <c r="Y14116" s="501"/>
    </row>
    <row r="14117" spans="25:25" hidden="1" x14ac:dyDescent="0.25">
      <c r="Y14117" s="501"/>
    </row>
    <row r="14118" spans="25:25" hidden="1" x14ac:dyDescent="0.25">
      <c r="Y14118" s="501"/>
    </row>
    <row r="14119" spans="25:25" hidden="1" x14ac:dyDescent="0.25">
      <c r="Y14119" s="501"/>
    </row>
    <row r="14120" spans="25:25" hidden="1" x14ac:dyDescent="0.25">
      <c r="Y14120" s="501"/>
    </row>
    <row r="14121" spans="25:25" hidden="1" x14ac:dyDescent="0.25">
      <c r="Y14121" s="501"/>
    </row>
    <row r="14122" spans="25:25" hidden="1" x14ac:dyDescent="0.25">
      <c r="Y14122" s="501"/>
    </row>
    <row r="14123" spans="25:25" hidden="1" x14ac:dyDescent="0.25">
      <c r="Y14123" s="501"/>
    </row>
    <row r="14124" spans="25:25" hidden="1" x14ac:dyDescent="0.25">
      <c r="Y14124" s="501"/>
    </row>
    <row r="14125" spans="25:25" hidden="1" x14ac:dyDescent="0.25">
      <c r="Y14125" s="501"/>
    </row>
    <row r="14126" spans="25:25" hidden="1" x14ac:dyDescent="0.25">
      <c r="Y14126" s="501"/>
    </row>
    <row r="14127" spans="25:25" hidden="1" x14ac:dyDescent="0.25">
      <c r="Y14127" s="501"/>
    </row>
    <row r="14128" spans="25:25" hidden="1" x14ac:dyDescent="0.25">
      <c r="Y14128" s="501"/>
    </row>
    <row r="14129" spans="25:25" hidden="1" x14ac:dyDescent="0.25">
      <c r="Y14129" s="501"/>
    </row>
    <row r="14130" spans="25:25" hidden="1" x14ac:dyDescent="0.25">
      <c r="Y14130" s="501"/>
    </row>
    <row r="14131" spans="25:25" hidden="1" x14ac:dyDescent="0.25">
      <c r="Y14131" s="501"/>
    </row>
    <row r="14132" spans="25:25" hidden="1" x14ac:dyDescent="0.25">
      <c r="Y14132" s="501"/>
    </row>
    <row r="14133" spans="25:25" hidden="1" x14ac:dyDescent="0.25">
      <c r="Y14133" s="501"/>
    </row>
    <row r="14134" spans="25:25" hidden="1" x14ac:dyDescent="0.25">
      <c r="Y14134" s="501"/>
    </row>
    <row r="14135" spans="25:25" hidden="1" x14ac:dyDescent="0.25">
      <c r="Y14135" s="501"/>
    </row>
    <row r="14136" spans="25:25" hidden="1" x14ac:dyDescent="0.25">
      <c r="Y14136" s="501"/>
    </row>
    <row r="14137" spans="25:25" hidden="1" x14ac:dyDescent="0.25">
      <c r="Y14137" s="501"/>
    </row>
    <row r="14138" spans="25:25" hidden="1" x14ac:dyDescent="0.25">
      <c r="Y14138" s="501"/>
    </row>
    <row r="14139" spans="25:25" hidden="1" x14ac:dyDescent="0.25">
      <c r="Y14139" s="501"/>
    </row>
    <row r="14140" spans="25:25" hidden="1" x14ac:dyDescent="0.25">
      <c r="Y14140" s="501"/>
    </row>
    <row r="14141" spans="25:25" hidden="1" x14ac:dyDescent="0.25">
      <c r="Y14141" s="501"/>
    </row>
    <row r="14142" spans="25:25" hidden="1" x14ac:dyDescent="0.25">
      <c r="Y14142" s="501"/>
    </row>
    <row r="14143" spans="25:25" hidden="1" x14ac:dyDescent="0.25">
      <c r="Y14143" s="501"/>
    </row>
    <row r="14144" spans="25:25" hidden="1" x14ac:dyDescent="0.25">
      <c r="Y14144" s="501"/>
    </row>
    <row r="14145" spans="25:25" hidden="1" x14ac:dyDescent="0.25">
      <c r="Y14145" s="501"/>
    </row>
    <row r="14146" spans="25:25" hidden="1" x14ac:dyDescent="0.25">
      <c r="Y14146" s="501"/>
    </row>
    <row r="14147" spans="25:25" hidden="1" x14ac:dyDescent="0.25">
      <c r="Y14147" s="501"/>
    </row>
    <row r="14148" spans="25:25" hidden="1" x14ac:dyDescent="0.25">
      <c r="Y14148" s="501"/>
    </row>
    <row r="14149" spans="25:25" hidden="1" x14ac:dyDescent="0.25">
      <c r="Y14149" s="501"/>
    </row>
    <row r="14150" spans="25:25" hidden="1" x14ac:dyDescent="0.25">
      <c r="Y14150" s="501"/>
    </row>
    <row r="14151" spans="25:25" hidden="1" x14ac:dyDescent="0.25">
      <c r="Y14151" s="501"/>
    </row>
    <row r="14152" spans="25:25" hidden="1" x14ac:dyDescent="0.25">
      <c r="Y14152" s="501"/>
    </row>
    <row r="14153" spans="25:25" hidden="1" x14ac:dyDescent="0.25">
      <c r="Y14153" s="501"/>
    </row>
    <row r="14154" spans="25:25" hidden="1" x14ac:dyDescent="0.25">
      <c r="Y14154" s="501"/>
    </row>
    <row r="14155" spans="25:25" hidden="1" x14ac:dyDescent="0.25">
      <c r="Y14155" s="501"/>
    </row>
    <row r="14156" spans="25:25" hidden="1" x14ac:dyDescent="0.25">
      <c r="Y14156" s="501"/>
    </row>
    <row r="14157" spans="25:25" hidden="1" x14ac:dyDescent="0.25">
      <c r="Y14157" s="501"/>
    </row>
    <row r="14158" spans="25:25" hidden="1" x14ac:dyDescent="0.25">
      <c r="Y14158" s="501"/>
    </row>
    <row r="14159" spans="25:25" hidden="1" x14ac:dyDescent="0.25">
      <c r="Y14159" s="501"/>
    </row>
    <row r="14160" spans="25:25" hidden="1" x14ac:dyDescent="0.25">
      <c r="Y14160" s="501"/>
    </row>
    <row r="14161" spans="25:25" hidden="1" x14ac:dyDescent="0.25">
      <c r="Y14161" s="501"/>
    </row>
    <row r="14162" spans="25:25" hidden="1" x14ac:dyDescent="0.25">
      <c r="Y14162" s="501"/>
    </row>
    <row r="14163" spans="25:25" hidden="1" x14ac:dyDescent="0.25">
      <c r="Y14163" s="501"/>
    </row>
    <row r="14164" spans="25:25" hidden="1" x14ac:dyDescent="0.25">
      <c r="Y14164" s="501"/>
    </row>
    <row r="14165" spans="25:25" hidden="1" x14ac:dyDescent="0.25">
      <c r="Y14165" s="501"/>
    </row>
    <row r="14166" spans="25:25" hidden="1" x14ac:dyDescent="0.25">
      <c r="Y14166" s="501"/>
    </row>
    <row r="14167" spans="25:25" hidden="1" x14ac:dyDescent="0.25">
      <c r="Y14167" s="501"/>
    </row>
    <row r="14168" spans="25:25" hidden="1" x14ac:dyDescent="0.25">
      <c r="Y14168" s="501"/>
    </row>
    <row r="14169" spans="25:25" hidden="1" x14ac:dyDescent="0.25">
      <c r="Y14169" s="501"/>
    </row>
    <row r="14170" spans="25:25" hidden="1" x14ac:dyDescent="0.25">
      <c r="Y14170" s="501"/>
    </row>
    <row r="14171" spans="25:25" hidden="1" x14ac:dyDescent="0.25">
      <c r="Y14171" s="501"/>
    </row>
    <row r="14172" spans="25:25" hidden="1" x14ac:dyDescent="0.25">
      <c r="Y14172" s="501"/>
    </row>
    <row r="14173" spans="25:25" hidden="1" x14ac:dyDescent="0.25">
      <c r="Y14173" s="501"/>
    </row>
    <row r="14174" spans="25:25" hidden="1" x14ac:dyDescent="0.25">
      <c r="Y14174" s="501"/>
    </row>
    <row r="14175" spans="25:25" hidden="1" x14ac:dyDescent="0.25">
      <c r="Y14175" s="501"/>
    </row>
    <row r="14176" spans="25:25" hidden="1" x14ac:dyDescent="0.25">
      <c r="Y14176" s="501"/>
    </row>
    <row r="14177" spans="25:25" hidden="1" x14ac:dyDescent="0.25">
      <c r="Y14177" s="501"/>
    </row>
    <row r="14178" spans="25:25" hidden="1" x14ac:dyDescent="0.25">
      <c r="Y14178" s="501"/>
    </row>
    <row r="14179" spans="25:25" hidden="1" x14ac:dyDescent="0.25">
      <c r="Y14179" s="501"/>
    </row>
    <row r="14180" spans="25:25" hidden="1" x14ac:dyDescent="0.25">
      <c r="Y14180" s="501"/>
    </row>
    <row r="14181" spans="25:25" hidden="1" x14ac:dyDescent="0.25">
      <c r="Y14181" s="501"/>
    </row>
    <row r="14182" spans="25:25" hidden="1" x14ac:dyDescent="0.25">
      <c r="Y14182" s="501"/>
    </row>
    <row r="14183" spans="25:25" hidden="1" x14ac:dyDescent="0.25">
      <c r="Y14183" s="501"/>
    </row>
    <row r="14184" spans="25:25" hidden="1" x14ac:dyDescent="0.25">
      <c r="Y14184" s="501"/>
    </row>
    <row r="14185" spans="25:25" hidden="1" x14ac:dyDescent="0.25">
      <c r="Y14185" s="501"/>
    </row>
    <row r="14186" spans="25:25" hidden="1" x14ac:dyDescent="0.25">
      <c r="Y14186" s="501"/>
    </row>
    <row r="14187" spans="25:25" hidden="1" x14ac:dyDescent="0.25">
      <c r="Y14187" s="501"/>
    </row>
    <row r="14188" spans="25:25" hidden="1" x14ac:dyDescent="0.25">
      <c r="Y14188" s="501"/>
    </row>
    <row r="14189" spans="25:25" hidden="1" x14ac:dyDescent="0.25">
      <c r="Y14189" s="501"/>
    </row>
    <row r="14190" spans="25:25" hidden="1" x14ac:dyDescent="0.25">
      <c r="Y14190" s="501"/>
    </row>
    <row r="14191" spans="25:25" hidden="1" x14ac:dyDescent="0.25">
      <c r="Y14191" s="501"/>
    </row>
    <row r="14192" spans="25:25" hidden="1" x14ac:dyDescent="0.25">
      <c r="Y14192" s="501"/>
    </row>
    <row r="14193" spans="25:25" hidden="1" x14ac:dyDescent="0.25">
      <c r="Y14193" s="501"/>
    </row>
    <row r="14194" spans="25:25" hidden="1" x14ac:dyDescent="0.25">
      <c r="Y14194" s="501"/>
    </row>
    <row r="14195" spans="25:25" hidden="1" x14ac:dyDescent="0.25">
      <c r="Y14195" s="501"/>
    </row>
    <row r="14196" spans="25:25" hidden="1" x14ac:dyDescent="0.25">
      <c r="Y14196" s="501"/>
    </row>
    <row r="14197" spans="25:25" hidden="1" x14ac:dyDescent="0.25">
      <c r="Y14197" s="501"/>
    </row>
    <row r="14198" spans="25:25" hidden="1" x14ac:dyDescent="0.25">
      <c r="Y14198" s="501"/>
    </row>
    <row r="14199" spans="25:25" hidden="1" x14ac:dyDescent="0.25">
      <c r="Y14199" s="501"/>
    </row>
    <row r="14200" spans="25:25" hidden="1" x14ac:dyDescent="0.25">
      <c r="Y14200" s="501"/>
    </row>
    <row r="14201" spans="25:25" hidden="1" x14ac:dyDescent="0.25">
      <c r="Y14201" s="501"/>
    </row>
    <row r="14202" spans="25:25" hidden="1" x14ac:dyDescent="0.25">
      <c r="Y14202" s="501"/>
    </row>
    <row r="14203" spans="25:25" hidden="1" x14ac:dyDescent="0.25">
      <c r="Y14203" s="501"/>
    </row>
    <row r="14204" spans="25:25" hidden="1" x14ac:dyDescent="0.25">
      <c r="Y14204" s="501"/>
    </row>
    <row r="14205" spans="25:25" hidden="1" x14ac:dyDescent="0.25">
      <c r="Y14205" s="501"/>
    </row>
    <row r="14206" spans="25:25" hidden="1" x14ac:dyDescent="0.25">
      <c r="Y14206" s="501"/>
    </row>
    <row r="14207" spans="25:25" hidden="1" x14ac:dyDescent="0.25">
      <c r="Y14207" s="501"/>
    </row>
    <row r="14208" spans="25:25" hidden="1" x14ac:dyDescent="0.25">
      <c r="Y14208" s="501"/>
    </row>
    <row r="14209" spans="25:25" hidden="1" x14ac:dyDescent="0.25">
      <c r="Y14209" s="501"/>
    </row>
    <row r="14210" spans="25:25" hidden="1" x14ac:dyDescent="0.25">
      <c r="Y14210" s="501"/>
    </row>
    <row r="14211" spans="25:25" hidden="1" x14ac:dyDescent="0.25">
      <c r="Y14211" s="501"/>
    </row>
    <row r="14212" spans="25:25" hidden="1" x14ac:dyDescent="0.25">
      <c r="Y14212" s="501"/>
    </row>
    <row r="14213" spans="25:25" hidden="1" x14ac:dyDescent="0.25">
      <c r="Y14213" s="501"/>
    </row>
    <row r="14214" spans="25:25" hidden="1" x14ac:dyDescent="0.25">
      <c r="Y14214" s="501"/>
    </row>
    <row r="14215" spans="25:25" hidden="1" x14ac:dyDescent="0.25">
      <c r="Y14215" s="501"/>
    </row>
    <row r="14216" spans="25:25" hidden="1" x14ac:dyDescent="0.25">
      <c r="Y14216" s="501"/>
    </row>
    <row r="14217" spans="25:25" hidden="1" x14ac:dyDescent="0.25">
      <c r="Y14217" s="501"/>
    </row>
    <row r="14218" spans="25:25" hidden="1" x14ac:dyDescent="0.25">
      <c r="Y14218" s="501"/>
    </row>
    <row r="14219" spans="25:25" hidden="1" x14ac:dyDescent="0.25">
      <c r="Y14219" s="501"/>
    </row>
    <row r="14220" spans="25:25" hidden="1" x14ac:dyDescent="0.25">
      <c r="Y14220" s="501"/>
    </row>
    <row r="14221" spans="25:25" hidden="1" x14ac:dyDescent="0.25">
      <c r="Y14221" s="501"/>
    </row>
    <row r="14222" spans="25:25" hidden="1" x14ac:dyDescent="0.25">
      <c r="Y14222" s="501"/>
    </row>
    <row r="14223" spans="25:25" hidden="1" x14ac:dyDescent="0.25">
      <c r="Y14223" s="501"/>
    </row>
    <row r="14224" spans="25:25" hidden="1" x14ac:dyDescent="0.25">
      <c r="Y14224" s="501"/>
    </row>
    <row r="14225" spans="25:25" hidden="1" x14ac:dyDescent="0.25">
      <c r="Y14225" s="501"/>
    </row>
    <row r="14226" spans="25:25" hidden="1" x14ac:dyDescent="0.25">
      <c r="Y14226" s="501"/>
    </row>
    <row r="14227" spans="25:25" hidden="1" x14ac:dyDescent="0.25">
      <c r="Y14227" s="501"/>
    </row>
    <row r="14228" spans="25:25" hidden="1" x14ac:dyDescent="0.25">
      <c r="Y14228" s="501"/>
    </row>
    <row r="14229" spans="25:25" hidden="1" x14ac:dyDescent="0.25">
      <c r="Y14229" s="501"/>
    </row>
    <row r="14230" spans="25:25" hidden="1" x14ac:dyDescent="0.25">
      <c r="Y14230" s="501"/>
    </row>
    <row r="14231" spans="25:25" hidden="1" x14ac:dyDescent="0.25">
      <c r="Y14231" s="501"/>
    </row>
    <row r="14232" spans="25:25" hidden="1" x14ac:dyDescent="0.25">
      <c r="Y14232" s="501"/>
    </row>
    <row r="14233" spans="25:25" hidden="1" x14ac:dyDescent="0.25">
      <c r="Y14233" s="501"/>
    </row>
    <row r="14234" spans="25:25" hidden="1" x14ac:dyDescent="0.25">
      <c r="Y14234" s="501"/>
    </row>
    <row r="14235" spans="25:25" hidden="1" x14ac:dyDescent="0.25">
      <c r="Y14235" s="501"/>
    </row>
    <row r="14236" spans="25:25" hidden="1" x14ac:dyDescent="0.25">
      <c r="Y14236" s="501"/>
    </row>
    <row r="14237" spans="25:25" hidden="1" x14ac:dyDescent="0.25">
      <c r="Y14237" s="501"/>
    </row>
    <row r="14238" spans="25:25" hidden="1" x14ac:dyDescent="0.25">
      <c r="Y14238" s="501"/>
    </row>
    <row r="14239" spans="25:25" hidden="1" x14ac:dyDescent="0.25">
      <c r="Y14239" s="501"/>
    </row>
    <row r="14240" spans="25:25" hidden="1" x14ac:dyDescent="0.25">
      <c r="Y14240" s="501"/>
    </row>
    <row r="14241" spans="25:25" hidden="1" x14ac:dyDescent="0.25">
      <c r="Y14241" s="501"/>
    </row>
    <row r="14242" spans="25:25" hidden="1" x14ac:dyDescent="0.25">
      <c r="Y14242" s="501"/>
    </row>
    <row r="14243" spans="25:25" hidden="1" x14ac:dyDescent="0.25">
      <c r="Y14243" s="501"/>
    </row>
    <row r="14244" spans="25:25" hidden="1" x14ac:dyDescent="0.25">
      <c r="Y14244" s="501"/>
    </row>
    <row r="14245" spans="25:25" hidden="1" x14ac:dyDescent="0.25">
      <c r="Y14245" s="501"/>
    </row>
    <row r="14246" spans="25:25" hidden="1" x14ac:dyDescent="0.25">
      <c r="Y14246" s="501"/>
    </row>
    <row r="14247" spans="25:25" hidden="1" x14ac:dyDescent="0.25">
      <c r="Y14247" s="501"/>
    </row>
    <row r="14248" spans="25:25" hidden="1" x14ac:dyDescent="0.25">
      <c r="Y14248" s="501"/>
    </row>
    <row r="14249" spans="25:25" hidden="1" x14ac:dyDescent="0.25">
      <c r="Y14249" s="501"/>
    </row>
    <row r="14250" spans="25:25" hidden="1" x14ac:dyDescent="0.25">
      <c r="Y14250" s="501"/>
    </row>
    <row r="14251" spans="25:25" hidden="1" x14ac:dyDescent="0.25">
      <c r="Y14251" s="501"/>
    </row>
    <row r="14252" spans="25:25" hidden="1" x14ac:dyDescent="0.25">
      <c r="Y14252" s="501"/>
    </row>
    <row r="14253" spans="25:25" hidden="1" x14ac:dyDescent="0.25">
      <c r="Y14253" s="501"/>
    </row>
    <row r="14254" spans="25:25" hidden="1" x14ac:dyDescent="0.25">
      <c r="Y14254" s="501"/>
    </row>
    <row r="14255" spans="25:25" hidden="1" x14ac:dyDescent="0.25">
      <c r="Y14255" s="501"/>
    </row>
    <row r="14256" spans="25:25" hidden="1" x14ac:dyDescent="0.25">
      <c r="Y14256" s="501"/>
    </row>
    <row r="14257" spans="25:25" hidden="1" x14ac:dyDescent="0.25">
      <c r="Y14257" s="501"/>
    </row>
    <row r="14258" spans="25:25" hidden="1" x14ac:dyDescent="0.25">
      <c r="Y14258" s="501"/>
    </row>
    <row r="14259" spans="25:25" hidden="1" x14ac:dyDescent="0.25">
      <c r="Y14259" s="501"/>
    </row>
    <row r="14260" spans="25:25" hidden="1" x14ac:dyDescent="0.25">
      <c r="Y14260" s="501"/>
    </row>
    <row r="14261" spans="25:25" hidden="1" x14ac:dyDescent="0.25">
      <c r="Y14261" s="501"/>
    </row>
    <row r="14262" spans="25:25" hidden="1" x14ac:dyDescent="0.25">
      <c r="Y14262" s="501"/>
    </row>
    <row r="14263" spans="25:25" hidden="1" x14ac:dyDescent="0.25">
      <c r="Y14263" s="501"/>
    </row>
    <row r="14264" spans="25:25" hidden="1" x14ac:dyDescent="0.25">
      <c r="Y14264" s="501"/>
    </row>
    <row r="14265" spans="25:25" hidden="1" x14ac:dyDescent="0.25">
      <c r="Y14265" s="501"/>
    </row>
    <row r="14266" spans="25:25" hidden="1" x14ac:dyDescent="0.25">
      <c r="Y14266" s="501"/>
    </row>
    <row r="14267" spans="25:25" hidden="1" x14ac:dyDescent="0.25">
      <c r="Y14267" s="501"/>
    </row>
    <row r="14268" spans="25:25" hidden="1" x14ac:dyDescent="0.25">
      <c r="Y14268" s="501"/>
    </row>
    <row r="14269" spans="25:25" hidden="1" x14ac:dyDescent="0.25">
      <c r="Y14269" s="501"/>
    </row>
    <row r="14270" spans="25:25" hidden="1" x14ac:dyDescent="0.25">
      <c r="Y14270" s="501"/>
    </row>
    <row r="14271" spans="25:25" hidden="1" x14ac:dyDescent="0.25">
      <c r="Y14271" s="501"/>
    </row>
    <row r="14272" spans="25:25" hidden="1" x14ac:dyDescent="0.25">
      <c r="Y14272" s="501"/>
    </row>
    <row r="14273" spans="25:25" hidden="1" x14ac:dyDescent="0.25">
      <c r="Y14273" s="501"/>
    </row>
    <row r="14274" spans="25:25" hidden="1" x14ac:dyDescent="0.25">
      <c r="Y14274" s="501"/>
    </row>
    <row r="14275" spans="25:25" hidden="1" x14ac:dyDescent="0.25">
      <c r="Y14275" s="501"/>
    </row>
    <row r="14276" spans="25:25" hidden="1" x14ac:dyDescent="0.25">
      <c r="Y14276" s="501"/>
    </row>
    <row r="14277" spans="25:25" hidden="1" x14ac:dyDescent="0.25">
      <c r="Y14277" s="501"/>
    </row>
    <row r="14278" spans="25:25" hidden="1" x14ac:dyDescent="0.25">
      <c r="Y14278" s="501"/>
    </row>
    <row r="14279" spans="25:25" hidden="1" x14ac:dyDescent="0.25">
      <c r="Y14279" s="501"/>
    </row>
    <row r="14280" spans="25:25" hidden="1" x14ac:dyDescent="0.25">
      <c r="Y14280" s="501"/>
    </row>
    <row r="14281" spans="25:25" hidden="1" x14ac:dyDescent="0.25">
      <c r="Y14281" s="501"/>
    </row>
    <row r="14282" spans="25:25" hidden="1" x14ac:dyDescent="0.25">
      <c r="Y14282" s="501"/>
    </row>
    <row r="14283" spans="25:25" hidden="1" x14ac:dyDescent="0.25">
      <c r="Y14283" s="501"/>
    </row>
    <row r="14284" spans="25:25" hidden="1" x14ac:dyDescent="0.25">
      <c r="Y14284" s="501"/>
    </row>
    <row r="14285" spans="25:25" hidden="1" x14ac:dyDescent="0.25">
      <c r="Y14285" s="501"/>
    </row>
    <row r="14286" spans="25:25" hidden="1" x14ac:dyDescent="0.25">
      <c r="Y14286" s="501"/>
    </row>
    <row r="14287" spans="25:25" hidden="1" x14ac:dyDescent="0.25">
      <c r="Y14287" s="501"/>
    </row>
    <row r="14288" spans="25:25" hidden="1" x14ac:dyDescent="0.25">
      <c r="Y14288" s="501"/>
    </row>
    <row r="14289" spans="25:25" hidden="1" x14ac:dyDescent="0.25">
      <c r="Y14289" s="501"/>
    </row>
    <row r="14290" spans="25:25" hidden="1" x14ac:dyDescent="0.25">
      <c r="Y14290" s="501"/>
    </row>
    <row r="14291" spans="25:25" hidden="1" x14ac:dyDescent="0.25">
      <c r="Y14291" s="501"/>
    </row>
    <row r="14292" spans="25:25" hidden="1" x14ac:dyDescent="0.25">
      <c r="Y14292" s="501"/>
    </row>
    <row r="14293" spans="25:25" hidden="1" x14ac:dyDescent="0.25">
      <c r="Y14293" s="501"/>
    </row>
    <row r="14294" spans="25:25" hidden="1" x14ac:dyDescent="0.25">
      <c r="Y14294" s="501"/>
    </row>
    <row r="14295" spans="25:25" hidden="1" x14ac:dyDescent="0.25">
      <c r="Y14295" s="501"/>
    </row>
    <row r="14296" spans="25:25" hidden="1" x14ac:dyDescent="0.25">
      <c r="Y14296" s="501"/>
    </row>
    <row r="14297" spans="25:25" hidden="1" x14ac:dyDescent="0.25">
      <c r="Y14297" s="501"/>
    </row>
    <row r="14298" spans="25:25" hidden="1" x14ac:dyDescent="0.25">
      <c r="Y14298" s="501"/>
    </row>
    <row r="14299" spans="25:25" hidden="1" x14ac:dyDescent="0.25">
      <c r="Y14299" s="501"/>
    </row>
    <row r="14300" spans="25:25" hidden="1" x14ac:dyDescent="0.25">
      <c r="Y14300" s="501"/>
    </row>
    <row r="14301" spans="25:25" hidden="1" x14ac:dyDescent="0.25">
      <c r="Y14301" s="501"/>
    </row>
    <row r="14302" spans="25:25" hidden="1" x14ac:dyDescent="0.25">
      <c r="Y14302" s="501"/>
    </row>
    <row r="14303" spans="25:25" hidden="1" x14ac:dyDescent="0.25">
      <c r="Y14303" s="501"/>
    </row>
    <row r="14304" spans="25:25" hidden="1" x14ac:dyDescent="0.25">
      <c r="Y14304" s="501"/>
    </row>
    <row r="14305" spans="25:25" hidden="1" x14ac:dyDescent="0.25">
      <c r="Y14305" s="501"/>
    </row>
    <row r="14306" spans="25:25" hidden="1" x14ac:dyDescent="0.25">
      <c r="Y14306" s="501"/>
    </row>
    <row r="14307" spans="25:25" hidden="1" x14ac:dyDescent="0.25">
      <c r="Y14307" s="501"/>
    </row>
    <row r="14308" spans="25:25" hidden="1" x14ac:dyDescent="0.25">
      <c r="Y14308" s="501"/>
    </row>
    <row r="14309" spans="25:25" hidden="1" x14ac:dyDescent="0.25">
      <c r="Y14309" s="501"/>
    </row>
    <row r="14310" spans="25:25" hidden="1" x14ac:dyDescent="0.25">
      <c r="Y14310" s="501"/>
    </row>
    <row r="14311" spans="25:25" hidden="1" x14ac:dyDescent="0.25">
      <c r="Y14311" s="501"/>
    </row>
    <row r="14312" spans="25:25" hidden="1" x14ac:dyDescent="0.25">
      <c r="Y14312" s="501"/>
    </row>
    <row r="14313" spans="25:25" hidden="1" x14ac:dyDescent="0.25">
      <c r="Y14313" s="501"/>
    </row>
    <row r="14314" spans="25:25" hidden="1" x14ac:dyDescent="0.25">
      <c r="Y14314" s="501"/>
    </row>
    <row r="14315" spans="25:25" hidden="1" x14ac:dyDescent="0.25">
      <c r="Y14315" s="501"/>
    </row>
    <row r="14316" spans="25:25" hidden="1" x14ac:dyDescent="0.25">
      <c r="Y14316" s="501"/>
    </row>
    <row r="14317" spans="25:25" hidden="1" x14ac:dyDescent="0.25">
      <c r="Y14317" s="501"/>
    </row>
    <row r="14318" spans="25:25" hidden="1" x14ac:dyDescent="0.25">
      <c r="Y14318" s="501"/>
    </row>
    <row r="14319" spans="25:25" hidden="1" x14ac:dyDescent="0.25">
      <c r="Y14319" s="501"/>
    </row>
    <row r="14320" spans="25:25" hidden="1" x14ac:dyDescent="0.25">
      <c r="Y14320" s="501"/>
    </row>
    <row r="14321" spans="25:25" hidden="1" x14ac:dyDescent="0.25">
      <c r="Y14321" s="501"/>
    </row>
    <row r="14322" spans="25:25" hidden="1" x14ac:dyDescent="0.25">
      <c r="Y14322" s="501"/>
    </row>
    <row r="14323" spans="25:25" hidden="1" x14ac:dyDescent="0.25">
      <c r="Y14323" s="501"/>
    </row>
    <row r="14324" spans="25:25" hidden="1" x14ac:dyDescent="0.25">
      <c r="Y14324" s="501"/>
    </row>
    <row r="14325" spans="25:25" hidden="1" x14ac:dyDescent="0.25">
      <c r="Y14325" s="501"/>
    </row>
    <row r="14326" spans="25:25" hidden="1" x14ac:dyDescent="0.25">
      <c r="Y14326" s="501"/>
    </row>
    <row r="14327" spans="25:25" hidden="1" x14ac:dyDescent="0.25">
      <c r="Y14327" s="501"/>
    </row>
    <row r="14328" spans="25:25" hidden="1" x14ac:dyDescent="0.25">
      <c r="Y14328" s="501"/>
    </row>
    <row r="14329" spans="25:25" hidden="1" x14ac:dyDescent="0.25">
      <c r="Y14329" s="501"/>
    </row>
    <row r="14330" spans="25:25" hidden="1" x14ac:dyDescent="0.25">
      <c r="Y14330" s="501"/>
    </row>
    <row r="14331" spans="25:25" hidden="1" x14ac:dyDescent="0.25">
      <c r="Y14331" s="501"/>
    </row>
    <row r="14332" spans="25:25" hidden="1" x14ac:dyDescent="0.25">
      <c r="Y14332" s="501"/>
    </row>
    <row r="14333" spans="25:25" hidden="1" x14ac:dyDescent="0.25">
      <c r="Y14333" s="501"/>
    </row>
    <row r="14334" spans="25:25" hidden="1" x14ac:dyDescent="0.25">
      <c r="Y14334" s="501"/>
    </row>
    <row r="14335" spans="25:25" hidden="1" x14ac:dyDescent="0.25">
      <c r="Y14335" s="501"/>
    </row>
    <row r="14336" spans="25:25" hidden="1" x14ac:dyDescent="0.25">
      <c r="Y14336" s="501"/>
    </row>
    <row r="14337" spans="25:25" hidden="1" x14ac:dyDescent="0.25">
      <c r="Y14337" s="501"/>
    </row>
    <row r="14338" spans="25:25" hidden="1" x14ac:dyDescent="0.25">
      <c r="Y14338" s="501"/>
    </row>
    <row r="14339" spans="25:25" hidden="1" x14ac:dyDescent="0.25">
      <c r="Y14339" s="501"/>
    </row>
    <row r="14340" spans="25:25" hidden="1" x14ac:dyDescent="0.25">
      <c r="Y14340" s="501"/>
    </row>
    <row r="14341" spans="25:25" hidden="1" x14ac:dyDescent="0.25">
      <c r="Y14341" s="501"/>
    </row>
    <row r="14342" spans="25:25" hidden="1" x14ac:dyDescent="0.25">
      <c r="Y14342" s="501"/>
    </row>
    <row r="14343" spans="25:25" hidden="1" x14ac:dyDescent="0.25">
      <c r="Y14343" s="501"/>
    </row>
    <row r="14344" spans="25:25" hidden="1" x14ac:dyDescent="0.25">
      <c r="Y14344" s="501"/>
    </row>
    <row r="14345" spans="25:25" hidden="1" x14ac:dyDescent="0.25">
      <c r="Y14345" s="501"/>
    </row>
    <row r="14346" spans="25:25" hidden="1" x14ac:dyDescent="0.25">
      <c r="Y14346" s="501"/>
    </row>
    <row r="14347" spans="25:25" hidden="1" x14ac:dyDescent="0.25">
      <c r="Y14347" s="501"/>
    </row>
    <row r="14348" spans="25:25" hidden="1" x14ac:dyDescent="0.25">
      <c r="Y14348" s="501"/>
    </row>
    <row r="14349" spans="25:25" hidden="1" x14ac:dyDescent="0.25">
      <c r="Y14349" s="501"/>
    </row>
    <row r="14350" spans="25:25" hidden="1" x14ac:dyDescent="0.25">
      <c r="Y14350" s="501"/>
    </row>
    <row r="14351" spans="25:25" hidden="1" x14ac:dyDescent="0.25">
      <c r="Y14351" s="501"/>
    </row>
    <row r="14352" spans="25:25" hidden="1" x14ac:dyDescent="0.25">
      <c r="Y14352" s="501"/>
    </row>
    <row r="14353" spans="25:25" hidden="1" x14ac:dyDescent="0.25">
      <c r="Y14353" s="501"/>
    </row>
    <row r="14354" spans="25:25" hidden="1" x14ac:dyDescent="0.25">
      <c r="Y14354" s="501"/>
    </row>
    <row r="14355" spans="25:25" hidden="1" x14ac:dyDescent="0.25">
      <c r="Y14355" s="501"/>
    </row>
    <row r="14356" spans="25:25" hidden="1" x14ac:dyDescent="0.25">
      <c r="Y14356" s="501"/>
    </row>
    <row r="14357" spans="25:25" hidden="1" x14ac:dyDescent="0.25">
      <c r="Y14357" s="501"/>
    </row>
    <row r="14358" spans="25:25" hidden="1" x14ac:dyDescent="0.25">
      <c r="Y14358" s="501"/>
    </row>
    <row r="14359" spans="25:25" hidden="1" x14ac:dyDescent="0.25">
      <c r="Y14359" s="501"/>
    </row>
    <row r="14360" spans="25:25" hidden="1" x14ac:dyDescent="0.25">
      <c r="Y14360" s="501"/>
    </row>
    <row r="14361" spans="25:25" hidden="1" x14ac:dyDescent="0.25">
      <c r="Y14361" s="501"/>
    </row>
    <row r="14362" spans="25:25" hidden="1" x14ac:dyDescent="0.25">
      <c r="Y14362" s="501"/>
    </row>
    <row r="14363" spans="25:25" hidden="1" x14ac:dyDescent="0.25">
      <c r="Y14363" s="501"/>
    </row>
    <row r="14364" spans="25:25" hidden="1" x14ac:dyDescent="0.25">
      <c r="Y14364" s="501"/>
    </row>
    <row r="14365" spans="25:25" hidden="1" x14ac:dyDescent="0.25">
      <c r="Y14365" s="501"/>
    </row>
    <row r="14366" spans="25:25" hidden="1" x14ac:dyDescent="0.25">
      <c r="Y14366" s="501"/>
    </row>
    <row r="14367" spans="25:25" hidden="1" x14ac:dyDescent="0.25">
      <c r="Y14367" s="501"/>
    </row>
    <row r="14368" spans="25:25" hidden="1" x14ac:dyDescent="0.25">
      <c r="Y14368" s="501"/>
    </row>
    <row r="14369" spans="25:25" hidden="1" x14ac:dyDescent="0.25">
      <c r="Y14369" s="501"/>
    </row>
    <row r="14370" spans="25:25" hidden="1" x14ac:dyDescent="0.25">
      <c r="Y14370" s="501"/>
    </row>
    <row r="14371" spans="25:25" hidden="1" x14ac:dyDescent="0.25">
      <c r="Y14371" s="501"/>
    </row>
    <row r="14372" spans="25:25" hidden="1" x14ac:dyDescent="0.25">
      <c r="Y14372" s="501"/>
    </row>
    <row r="14373" spans="25:25" hidden="1" x14ac:dyDescent="0.25">
      <c r="Y14373" s="501"/>
    </row>
    <row r="14374" spans="25:25" hidden="1" x14ac:dyDescent="0.25">
      <c r="Y14374" s="501"/>
    </row>
    <row r="14375" spans="25:25" hidden="1" x14ac:dyDescent="0.25">
      <c r="Y14375" s="501"/>
    </row>
    <row r="14376" spans="25:25" hidden="1" x14ac:dyDescent="0.25">
      <c r="Y14376" s="501"/>
    </row>
    <row r="14377" spans="25:25" hidden="1" x14ac:dyDescent="0.25">
      <c r="Y14377" s="501"/>
    </row>
    <row r="14378" spans="25:25" hidden="1" x14ac:dyDescent="0.25">
      <c r="Y14378" s="501"/>
    </row>
    <row r="14379" spans="25:25" hidden="1" x14ac:dyDescent="0.25">
      <c r="Y14379" s="501"/>
    </row>
    <row r="14380" spans="25:25" hidden="1" x14ac:dyDescent="0.25">
      <c r="Y14380" s="501"/>
    </row>
    <row r="14381" spans="25:25" hidden="1" x14ac:dyDescent="0.25">
      <c r="Y14381" s="501"/>
    </row>
    <row r="14382" spans="25:25" hidden="1" x14ac:dyDescent="0.25">
      <c r="Y14382" s="501"/>
    </row>
    <row r="14383" spans="25:25" hidden="1" x14ac:dyDescent="0.25">
      <c r="Y14383" s="501"/>
    </row>
    <row r="14384" spans="25:25" hidden="1" x14ac:dyDescent="0.25">
      <c r="Y14384" s="501"/>
    </row>
    <row r="14385" spans="25:25" hidden="1" x14ac:dyDescent="0.25">
      <c r="Y14385" s="501"/>
    </row>
    <row r="14386" spans="25:25" hidden="1" x14ac:dyDescent="0.25">
      <c r="Y14386" s="501"/>
    </row>
    <row r="14387" spans="25:25" hidden="1" x14ac:dyDescent="0.25">
      <c r="Y14387" s="501"/>
    </row>
    <row r="14388" spans="25:25" hidden="1" x14ac:dyDescent="0.25">
      <c r="Y14388" s="501"/>
    </row>
    <row r="14389" spans="25:25" hidden="1" x14ac:dyDescent="0.25">
      <c r="Y14389" s="501"/>
    </row>
    <row r="14390" spans="25:25" hidden="1" x14ac:dyDescent="0.25">
      <c r="Y14390" s="501"/>
    </row>
    <row r="14391" spans="25:25" hidden="1" x14ac:dyDescent="0.25">
      <c r="Y14391" s="501"/>
    </row>
    <row r="14392" spans="25:25" hidden="1" x14ac:dyDescent="0.25">
      <c r="Y14392" s="501"/>
    </row>
    <row r="14393" spans="25:25" hidden="1" x14ac:dyDescent="0.25">
      <c r="Y14393" s="501"/>
    </row>
    <row r="14394" spans="25:25" hidden="1" x14ac:dyDescent="0.25">
      <c r="Y14394" s="501"/>
    </row>
    <row r="14395" spans="25:25" hidden="1" x14ac:dyDescent="0.25">
      <c r="Y14395" s="501"/>
    </row>
    <row r="14396" spans="25:25" hidden="1" x14ac:dyDescent="0.25">
      <c r="Y14396" s="501"/>
    </row>
    <row r="14397" spans="25:25" hidden="1" x14ac:dyDescent="0.25">
      <c r="Y14397" s="501"/>
    </row>
    <row r="14398" spans="25:25" hidden="1" x14ac:dyDescent="0.25">
      <c r="Y14398" s="501"/>
    </row>
    <row r="14399" spans="25:25" hidden="1" x14ac:dyDescent="0.25">
      <c r="Y14399" s="501"/>
    </row>
    <row r="14400" spans="25:25" hidden="1" x14ac:dyDescent="0.25">
      <c r="Y14400" s="501"/>
    </row>
    <row r="14401" spans="25:25" hidden="1" x14ac:dyDescent="0.25">
      <c r="Y14401" s="501"/>
    </row>
    <row r="14402" spans="25:25" hidden="1" x14ac:dyDescent="0.25">
      <c r="Y14402" s="501"/>
    </row>
    <row r="14403" spans="25:25" hidden="1" x14ac:dyDescent="0.25">
      <c r="Y14403" s="501"/>
    </row>
    <row r="14404" spans="25:25" hidden="1" x14ac:dyDescent="0.25">
      <c r="Y14404" s="501"/>
    </row>
    <row r="14405" spans="25:25" hidden="1" x14ac:dyDescent="0.25">
      <c r="Y14405" s="501"/>
    </row>
    <row r="14406" spans="25:25" hidden="1" x14ac:dyDescent="0.25">
      <c r="Y14406" s="501"/>
    </row>
    <row r="14407" spans="25:25" hidden="1" x14ac:dyDescent="0.25">
      <c r="Y14407" s="501"/>
    </row>
    <row r="14408" spans="25:25" hidden="1" x14ac:dyDescent="0.25">
      <c r="Y14408" s="501"/>
    </row>
    <row r="14409" spans="25:25" hidden="1" x14ac:dyDescent="0.25">
      <c r="Y14409" s="501"/>
    </row>
    <row r="14410" spans="25:25" hidden="1" x14ac:dyDescent="0.25">
      <c r="Y14410" s="501"/>
    </row>
    <row r="14411" spans="25:25" hidden="1" x14ac:dyDescent="0.25">
      <c r="Y14411" s="501"/>
    </row>
    <row r="14412" spans="25:25" hidden="1" x14ac:dyDescent="0.25">
      <c r="Y14412" s="501"/>
    </row>
    <row r="14413" spans="25:25" hidden="1" x14ac:dyDescent="0.25">
      <c r="Y14413" s="501"/>
    </row>
    <row r="14414" spans="25:25" hidden="1" x14ac:dyDescent="0.25">
      <c r="Y14414" s="501"/>
    </row>
    <row r="14415" spans="25:25" hidden="1" x14ac:dyDescent="0.25">
      <c r="Y14415" s="501"/>
    </row>
    <row r="14416" spans="25:25" hidden="1" x14ac:dyDescent="0.25">
      <c r="Y14416" s="501"/>
    </row>
    <row r="14417" spans="25:25" hidden="1" x14ac:dyDescent="0.25">
      <c r="Y14417" s="501"/>
    </row>
    <row r="14418" spans="25:25" hidden="1" x14ac:dyDescent="0.25">
      <c r="Y14418" s="501"/>
    </row>
    <row r="14419" spans="25:25" hidden="1" x14ac:dyDescent="0.25">
      <c r="Y14419" s="501"/>
    </row>
    <row r="14420" spans="25:25" hidden="1" x14ac:dyDescent="0.25">
      <c r="Y14420" s="501"/>
    </row>
    <row r="14421" spans="25:25" hidden="1" x14ac:dyDescent="0.25">
      <c r="Y14421" s="501"/>
    </row>
    <row r="14422" spans="25:25" hidden="1" x14ac:dyDescent="0.25">
      <c r="Y14422" s="501"/>
    </row>
    <row r="14423" spans="25:25" hidden="1" x14ac:dyDescent="0.25">
      <c r="Y14423" s="501"/>
    </row>
    <row r="14424" spans="25:25" hidden="1" x14ac:dyDescent="0.25">
      <c r="Y14424" s="501"/>
    </row>
    <row r="14425" spans="25:25" hidden="1" x14ac:dyDescent="0.25">
      <c r="Y14425" s="501"/>
    </row>
    <row r="14426" spans="25:25" hidden="1" x14ac:dyDescent="0.25">
      <c r="Y14426" s="501"/>
    </row>
    <row r="14427" spans="25:25" hidden="1" x14ac:dyDescent="0.25">
      <c r="Y14427" s="501"/>
    </row>
    <row r="14428" spans="25:25" hidden="1" x14ac:dyDescent="0.25">
      <c r="Y14428" s="501"/>
    </row>
    <row r="14429" spans="25:25" hidden="1" x14ac:dyDescent="0.25">
      <c r="Y14429" s="501"/>
    </row>
    <row r="14430" spans="25:25" hidden="1" x14ac:dyDescent="0.25">
      <c r="Y14430" s="501"/>
    </row>
    <row r="14431" spans="25:25" hidden="1" x14ac:dyDescent="0.25">
      <c r="Y14431" s="501"/>
    </row>
    <row r="14432" spans="25:25" hidden="1" x14ac:dyDescent="0.25">
      <c r="Y14432" s="501"/>
    </row>
    <row r="14433" spans="25:25" hidden="1" x14ac:dyDescent="0.25">
      <c r="Y14433" s="501"/>
    </row>
    <row r="14434" spans="25:25" hidden="1" x14ac:dyDescent="0.25">
      <c r="Y14434" s="501"/>
    </row>
    <row r="14435" spans="25:25" hidden="1" x14ac:dyDescent="0.25">
      <c r="Y14435" s="501"/>
    </row>
    <row r="14436" spans="25:25" hidden="1" x14ac:dyDescent="0.25">
      <c r="Y14436" s="501"/>
    </row>
    <row r="14437" spans="25:25" hidden="1" x14ac:dyDescent="0.25">
      <c r="Y14437" s="501"/>
    </row>
    <row r="14438" spans="25:25" hidden="1" x14ac:dyDescent="0.25">
      <c r="Y14438" s="501"/>
    </row>
    <row r="14439" spans="25:25" hidden="1" x14ac:dyDescent="0.25">
      <c r="Y14439" s="501"/>
    </row>
    <row r="14440" spans="25:25" hidden="1" x14ac:dyDescent="0.25">
      <c r="Y14440" s="501"/>
    </row>
    <row r="14441" spans="25:25" hidden="1" x14ac:dyDescent="0.25">
      <c r="Y14441" s="501"/>
    </row>
    <row r="14442" spans="25:25" hidden="1" x14ac:dyDescent="0.25">
      <c r="Y14442" s="501"/>
    </row>
    <row r="14443" spans="25:25" hidden="1" x14ac:dyDescent="0.25">
      <c r="Y14443" s="501"/>
    </row>
    <row r="14444" spans="25:25" hidden="1" x14ac:dyDescent="0.25">
      <c r="Y14444" s="501"/>
    </row>
    <row r="14445" spans="25:25" hidden="1" x14ac:dyDescent="0.25">
      <c r="Y14445" s="501"/>
    </row>
    <row r="14446" spans="25:25" hidden="1" x14ac:dyDescent="0.25">
      <c r="Y14446" s="501"/>
    </row>
    <row r="14447" spans="25:25" hidden="1" x14ac:dyDescent="0.25">
      <c r="Y14447" s="501"/>
    </row>
    <row r="14448" spans="25:25" hidden="1" x14ac:dyDescent="0.25">
      <c r="Y14448" s="501"/>
    </row>
    <row r="14449" spans="25:25" hidden="1" x14ac:dyDescent="0.25">
      <c r="Y14449" s="501"/>
    </row>
    <row r="14450" spans="25:25" hidden="1" x14ac:dyDescent="0.25">
      <c r="Y14450" s="501"/>
    </row>
    <row r="14451" spans="25:25" hidden="1" x14ac:dyDescent="0.25">
      <c r="Y14451" s="501"/>
    </row>
    <row r="14452" spans="25:25" hidden="1" x14ac:dyDescent="0.25">
      <c r="Y14452" s="501"/>
    </row>
    <row r="14453" spans="25:25" hidden="1" x14ac:dyDescent="0.25">
      <c r="Y14453" s="501"/>
    </row>
    <row r="14454" spans="25:25" hidden="1" x14ac:dyDescent="0.25">
      <c r="Y14454" s="501"/>
    </row>
    <row r="14455" spans="25:25" hidden="1" x14ac:dyDescent="0.25">
      <c r="Y14455" s="501"/>
    </row>
    <row r="14456" spans="25:25" hidden="1" x14ac:dyDescent="0.25">
      <c r="Y14456" s="501"/>
    </row>
    <row r="14457" spans="25:25" hidden="1" x14ac:dyDescent="0.25">
      <c r="Y14457" s="501"/>
    </row>
    <row r="14458" spans="25:25" hidden="1" x14ac:dyDescent="0.25">
      <c r="Y14458" s="501"/>
    </row>
    <row r="14459" spans="25:25" hidden="1" x14ac:dyDescent="0.25">
      <c r="Y14459" s="501"/>
    </row>
    <row r="14460" spans="25:25" hidden="1" x14ac:dyDescent="0.25">
      <c r="Y14460" s="501"/>
    </row>
    <row r="14461" spans="25:25" hidden="1" x14ac:dyDescent="0.25">
      <c r="Y14461" s="501"/>
    </row>
    <row r="14462" spans="25:25" hidden="1" x14ac:dyDescent="0.25">
      <c r="Y14462" s="501"/>
    </row>
    <row r="14463" spans="25:25" hidden="1" x14ac:dyDescent="0.25">
      <c r="Y14463" s="501"/>
    </row>
    <row r="14464" spans="25:25" hidden="1" x14ac:dyDescent="0.25">
      <c r="Y14464" s="501"/>
    </row>
    <row r="14465" spans="25:25" hidden="1" x14ac:dyDescent="0.25">
      <c r="Y14465" s="501"/>
    </row>
    <row r="14466" spans="25:25" hidden="1" x14ac:dyDescent="0.25">
      <c r="Y14466" s="501"/>
    </row>
    <row r="14467" spans="25:25" hidden="1" x14ac:dyDescent="0.25">
      <c r="Y14467" s="501"/>
    </row>
    <row r="14468" spans="25:25" hidden="1" x14ac:dyDescent="0.25">
      <c r="Y14468" s="501"/>
    </row>
    <row r="14469" spans="25:25" hidden="1" x14ac:dyDescent="0.25">
      <c r="Y14469" s="501"/>
    </row>
    <row r="14470" spans="25:25" hidden="1" x14ac:dyDescent="0.25">
      <c r="Y14470" s="501"/>
    </row>
    <row r="14471" spans="25:25" hidden="1" x14ac:dyDescent="0.25">
      <c r="Y14471" s="501"/>
    </row>
    <row r="14472" spans="25:25" hidden="1" x14ac:dyDescent="0.25">
      <c r="Y14472" s="501"/>
    </row>
    <row r="14473" spans="25:25" hidden="1" x14ac:dyDescent="0.25">
      <c r="Y14473" s="501"/>
    </row>
    <row r="14474" spans="25:25" hidden="1" x14ac:dyDescent="0.25">
      <c r="Y14474" s="501"/>
    </row>
    <row r="14475" spans="25:25" hidden="1" x14ac:dyDescent="0.25">
      <c r="Y14475" s="501"/>
    </row>
    <row r="14476" spans="25:25" hidden="1" x14ac:dyDescent="0.25">
      <c r="Y14476" s="501"/>
    </row>
    <row r="14477" spans="25:25" hidden="1" x14ac:dyDescent="0.25">
      <c r="Y14477" s="501"/>
    </row>
    <row r="14478" spans="25:25" hidden="1" x14ac:dyDescent="0.25">
      <c r="Y14478" s="501"/>
    </row>
    <row r="14479" spans="25:25" hidden="1" x14ac:dyDescent="0.25">
      <c r="Y14479" s="501"/>
    </row>
    <row r="14480" spans="25:25" hidden="1" x14ac:dyDescent="0.25">
      <c r="Y14480" s="501"/>
    </row>
    <row r="14481" spans="25:25" hidden="1" x14ac:dyDescent="0.25">
      <c r="Y14481" s="501"/>
    </row>
    <row r="14482" spans="25:25" hidden="1" x14ac:dyDescent="0.25">
      <c r="Y14482" s="501"/>
    </row>
    <row r="14483" spans="25:25" hidden="1" x14ac:dyDescent="0.25">
      <c r="Y14483" s="501"/>
    </row>
    <row r="14484" spans="25:25" hidden="1" x14ac:dyDescent="0.25">
      <c r="Y14484" s="501"/>
    </row>
    <row r="14485" spans="25:25" hidden="1" x14ac:dyDescent="0.25">
      <c r="Y14485" s="501"/>
    </row>
    <row r="14486" spans="25:25" hidden="1" x14ac:dyDescent="0.25">
      <c r="Y14486" s="501"/>
    </row>
    <row r="14487" spans="25:25" hidden="1" x14ac:dyDescent="0.25">
      <c r="Y14487" s="501"/>
    </row>
    <row r="14488" spans="25:25" hidden="1" x14ac:dyDescent="0.25">
      <c r="Y14488" s="501"/>
    </row>
    <row r="14489" spans="25:25" hidden="1" x14ac:dyDescent="0.25">
      <c r="Y14489" s="501"/>
    </row>
    <row r="14490" spans="25:25" hidden="1" x14ac:dyDescent="0.25">
      <c r="Y14490" s="501"/>
    </row>
    <row r="14491" spans="25:25" hidden="1" x14ac:dyDescent="0.25">
      <c r="Y14491" s="501"/>
    </row>
    <row r="14492" spans="25:25" hidden="1" x14ac:dyDescent="0.25">
      <c r="Y14492" s="501"/>
    </row>
    <row r="14493" spans="25:25" hidden="1" x14ac:dyDescent="0.25">
      <c r="Y14493" s="501"/>
    </row>
    <row r="14494" spans="25:25" hidden="1" x14ac:dyDescent="0.25">
      <c r="Y14494" s="501"/>
    </row>
    <row r="14495" spans="25:25" hidden="1" x14ac:dyDescent="0.25">
      <c r="Y14495" s="501"/>
    </row>
    <row r="14496" spans="25:25" hidden="1" x14ac:dyDescent="0.25">
      <c r="Y14496" s="501"/>
    </row>
    <row r="14497" spans="25:25" hidden="1" x14ac:dyDescent="0.25">
      <c r="Y14497" s="501"/>
    </row>
    <row r="14498" spans="25:25" hidden="1" x14ac:dyDescent="0.25">
      <c r="Y14498" s="501"/>
    </row>
    <row r="14499" spans="25:25" hidden="1" x14ac:dyDescent="0.25">
      <c r="Y14499" s="501"/>
    </row>
    <row r="14500" spans="25:25" hidden="1" x14ac:dyDescent="0.25">
      <c r="Y14500" s="501"/>
    </row>
    <row r="14501" spans="25:25" hidden="1" x14ac:dyDescent="0.25">
      <c r="Y14501" s="501"/>
    </row>
    <row r="14502" spans="25:25" hidden="1" x14ac:dyDescent="0.25">
      <c r="Y14502" s="501"/>
    </row>
    <row r="14503" spans="25:25" hidden="1" x14ac:dyDescent="0.25">
      <c r="Y14503" s="501"/>
    </row>
    <row r="14504" spans="25:25" hidden="1" x14ac:dyDescent="0.25">
      <c r="Y14504" s="501"/>
    </row>
    <row r="14505" spans="25:25" hidden="1" x14ac:dyDescent="0.25">
      <c r="Y14505" s="501"/>
    </row>
    <row r="14506" spans="25:25" hidden="1" x14ac:dyDescent="0.25">
      <c r="Y14506" s="501"/>
    </row>
    <row r="14507" spans="25:25" hidden="1" x14ac:dyDescent="0.25">
      <c r="Y14507" s="501"/>
    </row>
    <row r="14508" spans="25:25" hidden="1" x14ac:dyDescent="0.25">
      <c r="Y14508" s="501"/>
    </row>
    <row r="14509" spans="25:25" hidden="1" x14ac:dyDescent="0.25">
      <c r="Y14509" s="501"/>
    </row>
    <row r="14510" spans="25:25" hidden="1" x14ac:dyDescent="0.25">
      <c r="Y14510" s="501"/>
    </row>
    <row r="14511" spans="25:25" hidden="1" x14ac:dyDescent="0.25">
      <c r="Y14511" s="501"/>
    </row>
    <row r="14512" spans="25:25" hidden="1" x14ac:dyDescent="0.25">
      <c r="Y14512" s="501"/>
    </row>
    <row r="14513" spans="25:25" hidden="1" x14ac:dyDescent="0.25">
      <c r="Y14513" s="501"/>
    </row>
    <row r="14514" spans="25:25" hidden="1" x14ac:dyDescent="0.25">
      <c r="Y14514" s="501"/>
    </row>
    <row r="14515" spans="25:25" hidden="1" x14ac:dyDescent="0.25">
      <c r="Y14515" s="501"/>
    </row>
    <row r="14516" spans="25:25" hidden="1" x14ac:dyDescent="0.25">
      <c r="Y14516" s="501"/>
    </row>
    <row r="14517" spans="25:25" hidden="1" x14ac:dyDescent="0.25">
      <c r="Y14517" s="501"/>
    </row>
    <row r="14518" spans="25:25" hidden="1" x14ac:dyDescent="0.25">
      <c r="Y14518" s="501"/>
    </row>
    <row r="14519" spans="25:25" hidden="1" x14ac:dyDescent="0.25">
      <c r="Y14519" s="501"/>
    </row>
    <row r="14520" spans="25:25" hidden="1" x14ac:dyDescent="0.25">
      <c r="Y14520" s="501"/>
    </row>
    <row r="14521" spans="25:25" hidden="1" x14ac:dyDescent="0.25">
      <c r="Y14521" s="501"/>
    </row>
    <row r="14522" spans="25:25" hidden="1" x14ac:dyDescent="0.25">
      <c r="Y14522" s="501"/>
    </row>
    <row r="14523" spans="25:25" hidden="1" x14ac:dyDescent="0.25">
      <c r="Y14523" s="501"/>
    </row>
    <row r="14524" spans="25:25" hidden="1" x14ac:dyDescent="0.25">
      <c r="Y14524" s="501"/>
    </row>
    <row r="14525" spans="25:25" hidden="1" x14ac:dyDescent="0.25">
      <c r="Y14525" s="501"/>
    </row>
    <row r="14526" spans="25:25" hidden="1" x14ac:dyDescent="0.25">
      <c r="Y14526" s="501"/>
    </row>
    <row r="14527" spans="25:25" hidden="1" x14ac:dyDescent="0.25">
      <c r="Y14527" s="501"/>
    </row>
    <row r="14528" spans="25:25" hidden="1" x14ac:dyDescent="0.25">
      <c r="Y14528" s="501"/>
    </row>
    <row r="14529" spans="25:25" hidden="1" x14ac:dyDescent="0.25">
      <c r="Y14529" s="501"/>
    </row>
    <row r="14530" spans="25:25" hidden="1" x14ac:dyDescent="0.25">
      <c r="Y14530" s="501"/>
    </row>
    <row r="14531" spans="25:25" hidden="1" x14ac:dyDescent="0.25">
      <c r="Y14531" s="501"/>
    </row>
    <row r="14532" spans="25:25" hidden="1" x14ac:dyDescent="0.25">
      <c r="Y14532" s="501"/>
    </row>
    <row r="14533" spans="25:25" hidden="1" x14ac:dyDescent="0.25">
      <c r="Y14533" s="501"/>
    </row>
    <row r="14534" spans="25:25" hidden="1" x14ac:dyDescent="0.25">
      <c r="Y14534" s="501"/>
    </row>
    <row r="14535" spans="25:25" hidden="1" x14ac:dyDescent="0.25">
      <c r="Y14535" s="501"/>
    </row>
    <row r="14536" spans="25:25" hidden="1" x14ac:dyDescent="0.25">
      <c r="Y14536" s="501"/>
    </row>
    <row r="14537" spans="25:25" hidden="1" x14ac:dyDescent="0.25">
      <c r="Y14537" s="501"/>
    </row>
    <row r="14538" spans="25:25" hidden="1" x14ac:dyDescent="0.25">
      <c r="Y14538" s="501"/>
    </row>
    <row r="14539" spans="25:25" hidden="1" x14ac:dyDescent="0.25">
      <c r="Y14539" s="501"/>
    </row>
    <row r="14540" spans="25:25" hidden="1" x14ac:dyDescent="0.25">
      <c r="Y14540" s="501"/>
    </row>
    <row r="14541" spans="25:25" hidden="1" x14ac:dyDescent="0.25">
      <c r="Y14541" s="501"/>
    </row>
    <row r="14542" spans="25:25" hidden="1" x14ac:dyDescent="0.25">
      <c r="Y14542" s="501"/>
    </row>
    <row r="14543" spans="25:25" hidden="1" x14ac:dyDescent="0.25">
      <c r="Y14543" s="501"/>
    </row>
    <row r="14544" spans="25:25" hidden="1" x14ac:dyDescent="0.25">
      <c r="Y14544" s="501"/>
    </row>
    <row r="14545" spans="25:25" hidden="1" x14ac:dyDescent="0.25">
      <c r="Y14545" s="501"/>
    </row>
    <row r="14546" spans="25:25" hidden="1" x14ac:dyDescent="0.25">
      <c r="Y14546" s="501"/>
    </row>
    <row r="14547" spans="25:25" hidden="1" x14ac:dyDescent="0.25">
      <c r="Y14547" s="501"/>
    </row>
    <row r="14548" spans="25:25" hidden="1" x14ac:dyDescent="0.25">
      <c r="Y14548" s="501"/>
    </row>
    <row r="14549" spans="25:25" hidden="1" x14ac:dyDescent="0.25">
      <c r="Y14549" s="501"/>
    </row>
    <row r="14550" spans="25:25" hidden="1" x14ac:dyDescent="0.25">
      <c r="Y14550" s="501"/>
    </row>
    <row r="14551" spans="25:25" hidden="1" x14ac:dyDescent="0.25">
      <c r="Y14551" s="501"/>
    </row>
    <row r="14552" spans="25:25" hidden="1" x14ac:dyDescent="0.25">
      <c r="Y14552" s="501"/>
    </row>
    <row r="14553" spans="25:25" hidden="1" x14ac:dyDescent="0.25">
      <c r="Y14553" s="501"/>
    </row>
    <row r="14554" spans="25:25" hidden="1" x14ac:dyDescent="0.25">
      <c r="Y14554" s="501"/>
    </row>
    <row r="14555" spans="25:25" hidden="1" x14ac:dyDescent="0.25">
      <c r="Y14555" s="501"/>
    </row>
    <row r="14556" spans="25:25" hidden="1" x14ac:dyDescent="0.25">
      <c r="Y14556" s="501"/>
    </row>
    <row r="14557" spans="25:25" hidden="1" x14ac:dyDescent="0.25">
      <c r="Y14557" s="501"/>
    </row>
    <row r="14558" spans="25:25" hidden="1" x14ac:dyDescent="0.25">
      <c r="Y14558" s="501"/>
    </row>
    <row r="14559" spans="25:25" hidden="1" x14ac:dyDescent="0.25">
      <c r="Y14559" s="501"/>
    </row>
    <row r="14560" spans="25:25" hidden="1" x14ac:dyDescent="0.25">
      <c r="Y14560" s="501"/>
    </row>
    <row r="14561" spans="25:25" hidden="1" x14ac:dyDescent="0.25">
      <c r="Y14561" s="501"/>
    </row>
    <row r="14562" spans="25:25" hidden="1" x14ac:dyDescent="0.25">
      <c r="Y14562" s="501"/>
    </row>
    <row r="14563" spans="25:25" hidden="1" x14ac:dyDescent="0.25">
      <c r="Y14563" s="501"/>
    </row>
    <row r="14564" spans="25:25" hidden="1" x14ac:dyDescent="0.25">
      <c r="Y14564" s="501"/>
    </row>
    <row r="14565" spans="25:25" hidden="1" x14ac:dyDescent="0.25">
      <c r="Y14565" s="501"/>
    </row>
    <row r="14566" spans="25:25" hidden="1" x14ac:dyDescent="0.25">
      <c r="Y14566" s="501"/>
    </row>
    <row r="14567" spans="25:25" hidden="1" x14ac:dyDescent="0.25">
      <c r="Y14567" s="501"/>
    </row>
    <row r="14568" spans="25:25" hidden="1" x14ac:dyDescent="0.25">
      <c r="Y14568" s="501"/>
    </row>
    <row r="14569" spans="25:25" hidden="1" x14ac:dyDescent="0.25">
      <c r="Y14569" s="501"/>
    </row>
    <row r="14570" spans="25:25" hidden="1" x14ac:dyDescent="0.25">
      <c r="Y14570" s="501"/>
    </row>
    <row r="14571" spans="25:25" hidden="1" x14ac:dyDescent="0.25">
      <c r="Y14571" s="501"/>
    </row>
    <row r="14572" spans="25:25" hidden="1" x14ac:dyDescent="0.25">
      <c r="Y14572" s="501"/>
    </row>
    <row r="14573" spans="25:25" hidden="1" x14ac:dyDescent="0.25">
      <c r="Y14573" s="501"/>
    </row>
    <row r="14574" spans="25:25" hidden="1" x14ac:dyDescent="0.25">
      <c r="Y14574" s="501"/>
    </row>
    <row r="14575" spans="25:25" hidden="1" x14ac:dyDescent="0.25">
      <c r="Y14575" s="501"/>
    </row>
    <row r="14576" spans="25:25" hidden="1" x14ac:dyDescent="0.25">
      <c r="Y14576" s="501"/>
    </row>
    <row r="14577" spans="25:25" hidden="1" x14ac:dyDescent="0.25">
      <c r="Y14577" s="501"/>
    </row>
    <row r="14578" spans="25:25" hidden="1" x14ac:dyDescent="0.25">
      <c r="Y14578" s="501"/>
    </row>
    <row r="14579" spans="25:25" hidden="1" x14ac:dyDescent="0.25">
      <c r="Y14579" s="501"/>
    </row>
    <row r="14580" spans="25:25" hidden="1" x14ac:dyDescent="0.25">
      <c r="Y14580" s="501"/>
    </row>
    <row r="14581" spans="25:25" hidden="1" x14ac:dyDescent="0.25">
      <c r="Y14581" s="501"/>
    </row>
    <row r="14582" spans="25:25" hidden="1" x14ac:dyDescent="0.25">
      <c r="Y14582" s="501"/>
    </row>
    <row r="14583" spans="25:25" hidden="1" x14ac:dyDescent="0.25">
      <c r="Y14583" s="501"/>
    </row>
    <row r="14584" spans="25:25" hidden="1" x14ac:dyDescent="0.25">
      <c r="Y14584" s="501"/>
    </row>
    <row r="14585" spans="25:25" hidden="1" x14ac:dyDescent="0.25">
      <c r="Y14585" s="501"/>
    </row>
    <row r="14586" spans="25:25" hidden="1" x14ac:dyDescent="0.25">
      <c r="Y14586" s="501"/>
    </row>
    <row r="14587" spans="25:25" hidden="1" x14ac:dyDescent="0.25">
      <c r="Y14587" s="501"/>
    </row>
    <row r="14588" spans="25:25" hidden="1" x14ac:dyDescent="0.25">
      <c r="Y14588" s="501"/>
    </row>
    <row r="14589" spans="25:25" hidden="1" x14ac:dyDescent="0.25">
      <c r="Y14589" s="501"/>
    </row>
    <row r="14590" spans="25:25" hidden="1" x14ac:dyDescent="0.25">
      <c r="Y14590" s="501"/>
    </row>
    <row r="14591" spans="25:25" hidden="1" x14ac:dyDescent="0.25">
      <c r="Y14591" s="501"/>
    </row>
    <row r="14592" spans="25:25" hidden="1" x14ac:dyDescent="0.25">
      <c r="Y14592" s="501"/>
    </row>
    <row r="14593" spans="25:25" hidden="1" x14ac:dyDescent="0.25">
      <c r="Y14593" s="501"/>
    </row>
    <row r="14594" spans="25:25" hidden="1" x14ac:dyDescent="0.25">
      <c r="Y14594" s="501"/>
    </row>
    <row r="14595" spans="25:25" hidden="1" x14ac:dyDescent="0.25">
      <c r="Y14595" s="501"/>
    </row>
    <row r="14596" spans="25:25" hidden="1" x14ac:dyDescent="0.25">
      <c r="Y14596" s="501"/>
    </row>
    <row r="14597" spans="25:25" hidden="1" x14ac:dyDescent="0.25">
      <c r="Y14597" s="501"/>
    </row>
    <row r="14598" spans="25:25" hidden="1" x14ac:dyDescent="0.25">
      <c r="Y14598" s="501"/>
    </row>
    <row r="14599" spans="25:25" hidden="1" x14ac:dyDescent="0.25">
      <c r="Y14599" s="501"/>
    </row>
    <row r="14600" spans="25:25" hidden="1" x14ac:dyDescent="0.25">
      <c r="Y14600" s="501"/>
    </row>
    <row r="14601" spans="25:25" hidden="1" x14ac:dyDescent="0.25">
      <c r="Y14601" s="501"/>
    </row>
    <row r="14602" spans="25:25" hidden="1" x14ac:dyDescent="0.25">
      <c r="Y14602" s="501"/>
    </row>
    <row r="14603" spans="25:25" hidden="1" x14ac:dyDescent="0.25">
      <c r="Y14603" s="501"/>
    </row>
    <row r="14604" spans="25:25" hidden="1" x14ac:dyDescent="0.25">
      <c r="Y14604" s="501"/>
    </row>
    <row r="14605" spans="25:25" hidden="1" x14ac:dyDescent="0.25">
      <c r="Y14605" s="501"/>
    </row>
    <row r="14606" spans="25:25" hidden="1" x14ac:dyDescent="0.25">
      <c r="Y14606" s="501"/>
    </row>
    <row r="14607" spans="25:25" hidden="1" x14ac:dyDescent="0.25">
      <c r="Y14607" s="501"/>
    </row>
    <row r="14608" spans="25:25" hidden="1" x14ac:dyDescent="0.25">
      <c r="Y14608" s="501"/>
    </row>
    <row r="14609" spans="25:25" hidden="1" x14ac:dyDescent="0.25">
      <c r="Y14609" s="501"/>
    </row>
    <row r="14610" spans="25:25" hidden="1" x14ac:dyDescent="0.25">
      <c r="Y14610" s="501"/>
    </row>
    <row r="14611" spans="25:25" hidden="1" x14ac:dyDescent="0.25">
      <c r="Y14611" s="501"/>
    </row>
    <row r="14612" spans="25:25" hidden="1" x14ac:dyDescent="0.25">
      <c r="Y14612" s="501"/>
    </row>
    <row r="14613" spans="25:25" hidden="1" x14ac:dyDescent="0.25">
      <c r="Y14613" s="501"/>
    </row>
    <row r="14614" spans="25:25" hidden="1" x14ac:dyDescent="0.25">
      <c r="Y14614" s="501"/>
    </row>
    <row r="14615" spans="25:25" hidden="1" x14ac:dyDescent="0.25">
      <c r="Y14615" s="501"/>
    </row>
    <row r="14616" spans="25:25" hidden="1" x14ac:dyDescent="0.25">
      <c r="Y14616" s="501"/>
    </row>
    <row r="14617" spans="25:25" hidden="1" x14ac:dyDescent="0.25">
      <c r="Y14617" s="501"/>
    </row>
    <row r="14618" spans="25:25" hidden="1" x14ac:dyDescent="0.25">
      <c r="Y14618" s="501"/>
    </row>
    <row r="14619" spans="25:25" hidden="1" x14ac:dyDescent="0.25">
      <c r="Y14619" s="501"/>
    </row>
    <row r="14620" spans="25:25" hidden="1" x14ac:dyDescent="0.25">
      <c r="Y14620" s="501"/>
    </row>
    <row r="14621" spans="25:25" hidden="1" x14ac:dyDescent="0.25">
      <c r="Y14621" s="501"/>
    </row>
    <row r="14622" spans="25:25" hidden="1" x14ac:dyDescent="0.25">
      <c r="Y14622" s="501"/>
    </row>
    <row r="14623" spans="25:25" hidden="1" x14ac:dyDescent="0.25">
      <c r="Y14623" s="501"/>
    </row>
    <row r="14624" spans="25:25" hidden="1" x14ac:dyDescent="0.25">
      <c r="Y14624" s="501"/>
    </row>
    <row r="14625" spans="25:25" hidden="1" x14ac:dyDescent="0.25">
      <c r="Y14625" s="501"/>
    </row>
    <row r="14626" spans="25:25" hidden="1" x14ac:dyDescent="0.25">
      <c r="Y14626" s="501"/>
    </row>
    <row r="14627" spans="25:25" hidden="1" x14ac:dyDescent="0.25">
      <c r="Y14627" s="501"/>
    </row>
    <row r="14628" spans="25:25" hidden="1" x14ac:dyDescent="0.25">
      <c r="Y14628" s="501"/>
    </row>
    <row r="14629" spans="25:25" hidden="1" x14ac:dyDescent="0.25">
      <c r="Y14629" s="501"/>
    </row>
    <row r="14630" spans="25:25" hidden="1" x14ac:dyDescent="0.25">
      <c r="Y14630" s="501"/>
    </row>
    <row r="14631" spans="25:25" hidden="1" x14ac:dyDescent="0.25">
      <c r="Y14631" s="501"/>
    </row>
    <row r="14632" spans="25:25" hidden="1" x14ac:dyDescent="0.25">
      <c r="Y14632" s="501"/>
    </row>
    <row r="14633" spans="25:25" hidden="1" x14ac:dyDescent="0.25">
      <c r="Y14633" s="501"/>
    </row>
    <row r="14634" spans="25:25" hidden="1" x14ac:dyDescent="0.25">
      <c r="Y14634" s="501"/>
    </row>
    <row r="14635" spans="25:25" hidden="1" x14ac:dyDescent="0.25">
      <c r="Y14635" s="501"/>
    </row>
    <row r="14636" spans="25:25" hidden="1" x14ac:dyDescent="0.25">
      <c r="Y14636" s="501"/>
    </row>
    <row r="14637" spans="25:25" hidden="1" x14ac:dyDescent="0.25">
      <c r="Y14637" s="501"/>
    </row>
    <row r="14638" spans="25:25" hidden="1" x14ac:dyDescent="0.25">
      <c r="Y14638" s="501"/>
    </row>
    <row r="14639" spans="25:25" hidden="1" x14ac:dyDescent="0.25">
      <c r="Y14639" s="501"/>
    </row>
    <row r="14640" spans="25:25" hidden="1" x14ac:dyDescent="0.25">
      <c r="Y14640" s="501"/>
    </row>
    <row r="14641" spans="25:25" hidden="1" x14ac:dyDescent="0.25">
      <c r="Y14641" s="501"/>
    </row>
    <row r="14642" spans="25:25" hidden="1" x14ac:dyDescent="0.25">
      <c r="Y14642" s="501"/>
    </row>
    <row r="14643" spans="25:25" hidden="1" x14ac:dyDescent="0.25">
      <c r="Y14643" s="501"/>
    </row>
    <row r="14644" spans="25:25" hidden="1" x14ac:dyDescent="0.25">
      <c r="Y14644" s="501"/>
    </row>
    <row r="14645" spans="25:25" hidden="1" x14ac:dyDescent="0.25">
      <c r="Y14645" s="501"/>
    </row>
    <row r="14646" spans="25:25" hidden="1" x14ac:dyDescent="0.25">
      <c r="Y14646" s="501"/>
    </row>
    <row r="14647" spans="25:25" hidden="1" x14ac:dyDescent="0.25">
      <c r="Y14647" s="501"/>
    </row>
    <row r="14648" spans="25:25" hidden="1" x14ac:dyDescent="0.25">
      <c r="Y14648" s="501"/>
    </row>
    <row r="14649" spans="25:25" hidden="1" x14ac:dyDescent="0.25">
      <c r="Y14649" s="501"/>
    </row>
    <row r="14650" spans="25:25" hidden="1" x14ac:dyDescent="0.25">
      <c r="Y14650" s="501"/>
    </row>
    <row r="14651" spans="25:25" hidden="1" x14ac:dyDescent="0.25">
      <c r="Y14651" s="501"/>
    </row>
    <row r="14652" spans="25:25" hidden="1" x14ac:dyDescent="0.25">
      <c r="Y14652" s="501"/>
    </row>
    <row r="14653" spans="25:25" hidden="1" x14ac:dyDescent="0.25">
      <c r="Y14653" s="501"/>
    </row>
    <row r="14654" spans="25:25" hidden="1" x14ac:dyDescent="0.25">
      <c r="Y14654" s="501"/>
    </row>
    <row r="14655" spans="25:25" hidden="1" x14ac:dyDescent="0.25">
      <c r="Y14655" s="501"/>
    </row>
    <row r="14656" spans="25:25" hidden="1" x14ac:dyDescent="0.25">
      <c r="Y14656" s="501"/>
    </row>
    <row r="14657" spans="25:25" hidden="1" x14ac:dyDescent="0.25">
      <c r="Y14657" s="501"/>
    </row>
    <row r="14658" spans="25:25" hidden="1" x14ac:dyDescent="0.25">
      <c r="Y14658" s="501"/>
    </row>
    <row r="14659" spans="25:25" hidden="1" x14ac:dyDescent="0.25">
      <c r="Y14659" s="501"/>
    </row>
    <row r="14660" spans="25:25" hidden="1" x14ac:dyDescent="0.25">
      <c r="Y14660" s="501"/>
    </row>
    <row r="14661" spans="25:25" hidden="1" x14ac:dyDescent="0.25">
      <c r="Y14661" s="501"/>
    </row>
    <row r="14662" spans="25:25" hidden="1" x14ac:dyDescent="0.25">
      <c r="Y14662" s="501"/>
    </row>
    <row r="14663" spans="25:25" hidden="1" x14ac:dyDescent="0.25">
      <c r="Y14663" s="501"/>
    </row>
    <row r="14664" spans="25:25" hidden="1" x14ac:dyDescent="0.25">
      <c r="Y14664" s="501"/>
    </row>
    <row r="14665" spans="25:25" hidden="1" x14ac:dyDescent="0.25">
      <c r="Y14665" s="501"/>
    </row>
    <row r="14666" spans="25:25" hidden="1" x14ac:dyDescent="0.25">
      <c r="Y14666" s="501"/>
    </row>
    <row r="14667" spans="25:25" hidden="1" x14ac:dyDescent="0.25">
      <c r="Y14667" s="501"/>
    </row>
    <row r="14668" spans="25:25" hidden="1" x14ac:dyDescent="0.25">
      <c r="Y14668" s="501"/>
    </row>
    <row r="14669" spans="25:25" hidden="1" x14ac:dyDescent="0.25">
      <c r="Y14669" s="501"/>
    </row>
    <row r="14670" spans="25:25" hidden="1" x14ac:dyDescent="0.25">
      <c r="Y14670" s="501"/>
    </row>
    <row r="14671" spans="25:25" hidden="1" x14ac:dyDescent="0.25">
      <c r="Y14671" s="501"/>
    </row>
    <row r="14672" spans="25:25" hidden="1" x14ac:dyDescent="0.25">
      <c r="Y14672" s="501"/>
    </row>
    <row r="14673" spans="25:25" hidden="1" x14ac:dyDescent="0.25">
      <c r="Y14673" s="501"/>
    </row>
    <row r="14674" spans="25:25" hidden="1" x14ac:dyDescent="0.25">
      <c r="Y14674" s="501"/>
    </row>
    <row r="14675" spans="25:25" hidden="1" x14ac:dyDescent="0.25">
      <c r="Y14675" s="501"/>
    </row>
    <row r="14676" spans="25:25" hidden="1" x14ac:dyDescent="0.25">
      <c r="Y14676" s="501"/>
    </row>
    <row r="14677" spans="25:25" hidden="1" x14ac:dyDescent="0.25">
      <c r="Y14677" s="501"/>
    </row>
    <row r="14678" spans="25:25" hidden="1" x14ac:dyDescent="0.25">
      <c r="Y14678" s="501"/>
    </row>
    <row r="14679" spans="25:25" hidden="1" x14ac:dyDescent="0.25">
      <c r="Y14679" s="501"/>
    </row>
    <row r="14680" spans="25:25" hidden="1" x14ac:dyDescent="0.25">
      <c r="Y14680" s="501"/>
    </row>
    <row r="14681" spans="25:25" hidden="1" x14ac:dyDescent="0.25">
      <c r="Y14681" s="501"/>
    </row>
    <row r="14682" spans="25:25" hidden="1" x14ac:dyDescent="0.25">
      <c r="Y14682" s="501"/>
    </row>
    <row r="14683" spans="25:25" hidden="1" x14ac:dyDescent="0.25">
      <c r="Y14683" s="501"/>
    </row>
    <row r="14684" spans="25:25" hidden="1" x14ac:dyDescent="0.25">
      <c r="Y14684" s="501"/>
    </row>
    <row r="14685" spans="25:25" hidden="1" x14ac:dyDescent="0.25">
      <c r="Y14685" s="501"/>
    </row>
    <row r="14686" spans="25:25" hidden="1" x14ac:dyDescent="0.25">
      <c r="Y14686" s="501"/>
    </row>
    <row r="14687" spans="25:25" hidden="1" x14ac:dyDescent="0.25">
      <c r="Y14687" s="501"/>
    </row>
    <row r="14688" spans="25:25" hidden="1" x14ac:dyDescent="0.25">
      <c r="Y14688" s="501"/>
    </row>
    <row r="14689" spans="25:25" hidden="1" x14ac:dyDescent="0.25">
      <c r="Y14689" s="501"/>
    </row>
    <row r="14690" spans="25:25" hidden="1" x14ac:dyDescent="0.25">
      <c r="Y14690" s="501"/>
    </row>
    <row r="14691" spans="25:25" hidden="1" x14ac:dyDescent="0.25">
      <c r="Y14691" s="501"/>
    </row>
    <row r="14692" spans="25:25" hidden="1" x14ac:dyDescent="0.25">
      <c r="Y14692" s="501"/>
    </row>
    <row r="14693" spans="25:25" hidden="1" x14ac:dyDescent="0.25">
      <c r="Y14693" s="501"/>
    </row>
    <row r="14694" spans="25:25" hidden="1" x14ac:dyDescent="0.25">
      <c r="Y14694" s="501"/>
    </row>
    <row r="14695" spans="25:25" hidden="1" x14ac:dyDescent="0.25">
      <c r="Y14695" s="501"/>
    </row>
    <row r="14696" spans="25:25" hidden="1" x14ac:dyDescent="0.25">
      <c r="Y14696" s="501"/>
    </row>
    <row r="14697" spans="25:25" hidden="1" x14ac:dyDescent="0.25">
      <c r="Y14697" s="501"/>
    </row>
    <row r="14698" spans="25:25" hidden="1" x14ac:dyDescent="0.25">
      <c r="Y14698" s="501"/>
    </row>
    <row r="14699" spans="25:25" hidden="1" x14ac:dyDescent="0.25">
      <c r="Y14699" s="501"/>
    </row>
    <row r="14700" spans="25:25" hidden="1" x14ac:dyDescent="0.25">
      <c r="Y14700" s="501"/>
    </row>
    <row r="14701" spans="25:25" hidden="1" x14ac:dyDescent="0.25">
      <c r="Y14701" s="501"/>
    </row>
    <row r="14702" spans="25:25" hidden="1" x14ac:dyDescent="0.25">
      <c r="Y14702" s="501"/>
    </row>
    <row r="14703" spans="25:25" hidden="1" x14ac:dyDescent="0.25">
      <c r="Y14703" s="501"/>
    </row>
    <row r="14704" spans="25:25" hidden="1" x14ac:dyDescent="0.25">
      <c r="Y14704" s="501"/>
    </row>
    <row r="14705" spans="25:25" hidden="1" x14ac:dyDescent="0.25">
      <c r="Y14705" s="501"/>
    </row>
    <row r="14706" spans="25:25" hidden="1" x14ac:dyDescent="0.25">
      <c r="Y14706" s="501"/>
    </row>
    <row r="14707" spans="25:25" hidden="1" x14ac:dyDescent="0.25">
      <c r="Y14707" s="501"/>
    </row>
    <row r="14708" spans="25:25" hidden="1" x14ac:dyDescent="0.25">
      <c r="Y14708" s="501"/>
    </row>
    <row r="14709" spans="25:25" hidden="1" x14ac:dyDescent="0.25">
      <c r="Y14709" s="501"/>
    </row>
    <row r="14710" spans="25:25" hidden="1" x14ac:dyDescent="0.25">
      <c r="Y14710" s="501"/>
    </row>
    <row r="14711" spans="25:25" hidden="1" x14ac:dyDescent="0.25">
      <c r="Y14711" s="501"/>
    </row>
    <row r="14712" spans="25:25" hidden="1" x14ac:dyDescent="0.25">
      <c r="Y14712" s="501"/>
    </row>
    <row r="14713" spans="25:25" hidden="1" x14ac:dyDescent="0.25">
      <c r="Y14713" s="501"/>
    </row>
    <row r="14714" spans="25:25" hidden="1" x14ac:dyDescent="0.25">
      <c r="Y14714" s="501"/>
    </row>
    <row r="14715" spans="25:25" hidden="1" x14ac:dyDescent="0.25">
      <c r="Y14715" s="501"/>
    </row>
    <row r="14716" spans="25:25" hidden="1" x14ac:dyDescent="0.25">
      <c r="Y14716" s="501"/>
    </row>
    <row r="14717" spans="25:25" hidden="1" x14ac:dyDescent="0.25">
      <c r="Y14717" s="501"/>
    </row>
    <row r="14718" spans="25:25" hidden="1" x14ac:dyDescent="0.25">
      <c r="Y14718" s="501"/>
    </row>
    <row r="14719" spans="25:25" hidden="1" x14ac:dyDescent="0.25">
      <c r="Y14719" s="501"/>
    </row>
    <row r="14720" spans="25:25" hidden="1" x14ac:dyDescent="0.25">
      <c r="Y14720" s="501"/>
    </row>
    <row r="14721" spans="25:25" hidden="1" x14ac:dyDescent="0.25">
      <c r="Y14721" s="501"/>
    </row>
    <row r="14722" spans="25:25" hidden="1" x14ac:dyDescent="0.25">
      <c r="Y14722" s="501"/>
    </row>
    <row r="14723" spans="25:25" hidden="1" x14ac:dyDescent="0.25">
      <c r="Y14723" s="501"/>
    </row>
    <row r="14724" spans="25:25" hidden="1" x14ac:dyDescent="0.25">
      <c r="Y14724" s="501"/>
    </row>
    <row r="14725" spans="25:25" hidden="1" x14ac:dyDescent="0.25">
      <c r="Y14725" s="501"/>
    </row>
    <row r="14726" spans="25:25" hidden="1" x14ac:dyDescent="0.25">
      <c r="Y14726" s="501"/>
    </row>
    <row r="14727" spans="25:25" hidden="1" x14ac:dyDescent="0.25">
      <c r="Y14727" s="501"/>
    </row>
    <row r="14728" spans="25:25" hidden="1" x14ac:dyDescent="0.25">
      <c r="Y14728" s="501"/>
    </row>
    <row r="14729" spans="25:25" hidden="1" x14ac:dyDescent="0.25">
      <c r="Y14729" s="501"/>
    </row>
    <row r="14730" spans="25:25" hidden="1" x14ac:dyDescent="0.25">
      <c r="Y14730" s="501"/>
    </row>
    <row r="14731" spans="25:25" hidden="1" x14ac:dyDescent="0.25">
      <c r="Y14731" s="501"/>
    </row>
    <row r="14732" spans="25:25" hidden="1" x14ac:dyDescent="0.25">
      <c r="Y14732" s="501"/>
    </row>
    <row r="14733" spans="25:25" hidden="1" x14ac:dyDescent="0.25">
      <c r="Y14733" s="501"/>
    </row>
    <row r="14734" spans="25:25" hidden="1" x14ac:dyDescent="0.25">
      <c r="Y14734" s="501"/>
    </row>
    <row r="14735" spans="25:25" hidden="1" x14ac:dyDescent="0.25">
      <c r="Y14735" s="501"/>
    </row>
    <row r="14736" spans="25:25" hidden="1" x14ac:dyDescent="0.25">
      <c r="Y14736" s="501"/>
    </row>
    <row r="14737" spans="25:25" hidden="1" x14ac:dyDescent="0.25">
      <c r="Y14737" s="501"/>
    </row>
    <row r="14738" spans="25:25" hidden="1" x14ac:dyDescent="0.25">
      <c r="Y14738" s="501"/>
    </row>
    <row r="14739" spans="25:25" hidden="1" x14ac:dyDescent="0.25">
      <c r="Y14739" s="501"/>
    </row>
    <row r="14740" spans="25:25" hidden="1" x14ac:dyDescent="0.25">
      <c r="Y14740" s="501"/>
    </row>
    <row r="14741" spans="25:25" hidden="1" x14ac:dyDescent="0.25">
      <c r="Y14741" s="501"/>
    </row>
    <row r="14742" spans="25:25" hidden="1" x14ac:dyDescent="0.25">
      <c r="Y14742" s="501"/>
    </row>
    <row r="14743" spans="25:25" hidden="1" x14ac:dyDescent="0.25">
      <c r="Y14743" s="501"/>
    </row>
    <row r="14744" spans="25:25" hidden="1" x14ac:dyDescent="0.25">
      <c r="Y14744" s="501"/>
    </row>
    <row r="14745" spans="25:25" hidden="1" x14ac:dyDescent="0.25">
      <c r="Y14745" s="501"/>
    </row>
    <row r="14746" spans="25:25" hidden="1" x14ac:dyDescent="0.25">
      <c r="Y14746" s="501"/>
    </row>
    <row r="14747" spans="25:25" hidden="1" x14ac:dyDescent="0.25">
      <c r="Y14747" s="501"/>
    </row>
    <row r="14748" spans="25:25" hidden="1" x14ac:dyDescent="0.25">
      <c r="Y14748" s="501"/>
    </row>
    <row r="14749" spans="25:25" hidden="1" x14ac:dyDescent="0.25">
      <c r="Y14749" s="501"/>
    </row>
    <row r="14750" spans="25:25" hidden="1" x14ac:dyDescent="0.25">
      <c r="Y14750" s="501"/>
    </row>
    <row r="14751" spans="25:25" hidden="1" x14ac:dyDescent="0.25">
      <c r="Y14751" s="501"/>
    </row>
    <row r="14752" spans="25:25" hidden="1" x14ac:dyDescent="0.25">
      <c r="Y14752" s="501"/>
    </row>
    <row r="14753" spans="25:25" hidden="1" x14ac:dyDescent="0.25">
      <c r="Y14753" s="501"/>
    </row>
    <row r="14754" spans="25:25" hidden="1" x14ac:dyDescent="0.25">
      <c r="Y14754" s="501"/>
    </row>
    <row r="14755" spans="25:25" hidden="1" x14ac:dyDescent="0.25">
      <c r="Y14755" s="501"/>
    </row>
    <row r="14756" spans="25:25" hidden="1" x14ac:dyDescent="0.25">
      <c r="Y14756" s="501"/>
    </row>
    <row r="14757" spans="25:25" hidden="1" x14ac:dyDescent="0.25">
      <c r="Y14757" s="501"/>
    </row>
    <row r="14758" spans="25:25" hidden="1" x14ac:dyDescent="0.25">
      <c r="Y14758" s="501"/>
    </row>
    <row r="14759" spans="25:25" hidden="1" x14ac:dyDescent="0.25">
      <c r="Y14759" s="501"/>
    </row>
    <row r="14760" spans="25:25" hidden="1" x14ac:dyDescent="0.25">
      <c r="Y14760" s="501"/>
    </row>
    <row r="14761" spans="25:25" hidden="1" x14ac:dyDescent="0.25">
      <c r="Y14761" s="501"/>
    </row>
    <row r="14762" spans="25:25" hidden="1" x14ac:dyDescent="0.25">
      <c r="Y14762" s="501"/>
    </row>
    <row r="14763" spans="25:25" hidden="1" x14ac:dyDescent="0.25">
      <c r="Y14763" s="501"/>
    </row>
    <row r="14764" spans="25:25" hidden="1" x14ac:dyDescent="0.25">
      <c r="Y14764" s="501"/>
    </row>
    <row r="14765" spans="25:25" hidden="1" x14ac:dyDescent="0.25">
      <c r="Y14765" s="501"/>
    </row>
    <row r="14766" spans="25:25" hidden="1" x14ac:dyDescent="0.25">
      <c r="Y14766" s="501"/>
    </row>
    <row r="14767" spans="25:25" hidden="1" x14ac:dyDescent="0.25">
      <c r="Y14767" s="501"/>
    </row>
    <row r="14768" spans="25:25" hidden="1" x14ac:dyDescent="0.25">
      <c r="Y14768" s="501"/>
    </row>
    <row r="14769" spans="25:25" hidden="1" x14ac:dyDescent="0.25">
      <c r="Y14769" s="501"/>
    </row>
    <row r="14770" spans="25:25" hidden="1" x14ac:dyDescent="0.25">
      <c r="Y14770" s="501"/>
    </row>
    <row r="14771" spans="25:25" hidden="1" x14ac:dyDescent="0.25">
      <c r="Y14771" s="501"/>
    </row>
    <row r="14772" spans="25:25" hidden="1" x14ac:dyDescent="0.25">
      <c r="Y14772" s="501"/>
    </row>
    <row r="14773" spans="25:25" hidden="1" x14ac:dyDescent="0.25">
      <c r="Y14773" s="501"/>
    </row>
    <row r="14774" spans="25:25" hidden="1" x14ac:dyDescent="0.25">
      <c r="Y14774" s="501"/>
    </row>
    <row r="14775" spans="25:25" hidden="1" x14ac:dyDescent="0.25">
      <c r="Y14775" s="501"/>
    </row>
    <row r="14776" spans="25:25" hidden="1" x14ac:dyDescent="0.25">
      <c r="Y14776" s="501"/>
    </row>
    <row r="14777" spans="25:25" hidden="1" x14ac:dyDescent="0.25">
      <c r="Y14777" s="501"/>
    </row>
    <row r="14778" spans="25:25" hidden="1" x14ac:dyDescent="0.25">
      <c r="Y14778" s="501"/>
    </row>
    <row r="14779" spans="25:25" hidden="1" x14ac:dyDescent="0.25">
      <c r="Y14779" s="501"/>
    </row>
    <row r="14780" spans="25:25" hidden="1" x14ac:dyDescent="0.25">
      <c r="Y14780" s="501"/>
    </row>
    <row r="14781" spans="25:25" hidden="1" x14ac:dyDescent="0.25">
      <c r="Y14781" s="501"/>
    </row>
    <row r="14782" spans="25:25" hidden="1" x14ac:dyDescent="0.25">
      <c r="Y14782" s="501"/>
    </row>
    <row r="14783" spans="25:25" hidden="1" x14ac:dyDescent="0.25">
      <c r="Y14783" s="501"/>
    </row>
    <row r="14784" spans="25:25" hidden="1" x14ac:dyDescent="0.25">
      <c r="Y14784" s="501"/>
    </row>
    <row r="14785" spans="25:25" hidden="1" x14ac:dyDescent="0.25">
      <c r="Y14785" s="501"/>
    </row>
    <row r="14786" spans="25:25" hidden="1" x14ac:dyDescent="0.25">
      <c r="Y14786" s="501"/>
    </row>
    <row r="14787" spans="25:25" hidden="1" x14ac:dyDescent="0.25">
      <c r="Y14787" s="501"/>
    </row>
    <row r="14788" spans="25:25" hidden="1" x14ac:dyDescent="0.25">
      <c r="Y14788" s="501"/>
    </row>
    <row r="14789" spans="25:25" hidden="1" x14ac:dyDescent="0.25">
      <c r="Y14789" s="501"/>
    </row>
    <row r="14790" spans="25:25" hidden="1" x14ac:dyDescent="0.25">
      <c r="Y14790" s="501"/>
    </row>
    <row r="14791" spans="25:25" hidden="1" x14ac:dyDescent="0.25">
      <c r="Y14791" s="501"/>
    </row>
    <row r="14792" spans="25:25" hidden="1" x14ac:dyDescent="0.25">
      <c r="Y14792" s="501"/>
    </row>
    <row r="14793" spans="25:25" hidden="1" x14ac:dyDescent="0.25">
      <c r="Y14793" s="501"/>
    </row>
    <row r="14794" spans="25:25" hidden="1" x14ac:dyDescent="0.25">
      <c r="Y14794" s="501"/>
    </row>
    <row r="14795" spans="25:25" hidden="1" x14ac:dyDescent="0.25">
      <c r="Y14795" s="501"/>
    </row>
    <row r="14796" spans="25:25" hidden="1" x14ac:dyDescent="0.25">
      <c r="Y14796" s="501"/>
    </row>
    <row r="14797" spans="25:25" hidden="1" x14ac:dyDescent="0.25">
      <c r="Y14797" s="501"/>
    </row>
    <row r="14798" spans="25:25" hidden="1" x14ac:dyDescent="0.25">
      <c r="Y14798" s="501"/>
    </row>
    <row r="14799" spans="25:25" hidden="1" x14ac:dyDescent="0.25">
      <c r="Y14799" s="501"/>
    </row>
    <row r="14800" spans="25:25" hidden="1" x14ac:dyDescent="0.25">
      <c r="Y14800" s="501"/>
    </row>
    <row r="14801" spans="25:25" hidden="1" x14ac:dyDescent="0.25">
      <c r="Y14801" s="501"/>
    </row>
    <row r="14802" spans="25:25" hidden="1" x14ac:dyDescent="0.25">
      <c r="Y14802" s="501"/>
    </row>
    <row r="14803" spans="25:25" hidden="1" x14ac:dyDescent="0.25">
      <c r="Y14803" s="501"/>
    </row>
    <row r="14804" spans="25:25" hidden="1" x14ac:dyDescent="0.25">
      <c r="Y14804" s="501"/>
    </row>
    <row r="14805" spans="25:25" hidden="1" x14ac:dyDescent="0.25">
      <c r="Y14805" s="501"/>
    </row>
    <row r="14806" spans="25:25" hidden="1" x14ac:dyDescent="0.25">
      <c r="Y14806" s="501"/>
    </row>
    <row r="14807" spans="25:25" hidden="1" x14ac:dyDescent="0.25">
      <c r="Y14807" s="501"/>
    </row>
    <row r="14808" spans="25:25" hidden="1" x14ac:dyDescent="0.25">
      <c r="Y14808" s="501"/>
    </row>
    <row r="14809" spans="25:25" hidden="1" x14ac:dyDescent="0.25">
      <c r="Y14809" s="501"/>
    </row>
    <row r="14810" spans="25:25" hidden="1" x14ac:dyDescent="0.25">
      <c r="Y14810" s="501"/>
    </row>
    <row r="14811" spans="25:25" hidden="1" x14ac:dyDescent="0.25">
      <c r="Y14811" s="501"/>
    </row>
    <row r="14812" spans="25:25" hidden="1" x14ac:dyDescent="0.25">
      <c r="Y14812" s="501"/>
    </row>
    <row r="14813" spans="25:25" hidden="1" x14ac:dyDescent="0.25">
      <c r="Y14813" s="501"/>
    </row>
    <row r="14814" spans="25:25" hidden="1" x14ac:dyDescent="0.25">
      <c r="Y14814" s="501"/>
    </row>
    <row r="14815" spans="25:25" hidden="1" x14ac:dyDescent="0.25">
      <c r="Y14815" s="501"/>
    </row>
    <row r="14816" spans="25:25" hidden="1" x14ac:dyDescent="0.25">
      <c r="Y14816" s="501"/>
    </row>
    <row r="14817" spans="25:25" hidden="1" x14ac:dyDescent="0.25">
      <c r="Y14817" s="501"/>
    </row>
    <row r="14818" spans="25:25" hidden="1" x14ac:dyDescent="0.25">
      <c r="Y14818" s="501"/>
    </row>
    <row r="14819" spans="25:25" hidden="1" x14ac:dyDescent="0.25">
      <c r="Y14819" s="501"/>
    </row>
    <row r="14820" spans="25:25" hidden="1" x14ac:dyDescent="0.25">
      <c r="Y14820" s="501"/>
    </row>
    <row r="14821" spans="25:25" hidden="1" x14ac:dyDescent="0.25">
      <c r="Y14821" s="501"/>
    </row>
    <row r="14822" spans="25:25" hidden="1" x14ac:dyDescent="0.25">
      <c r="Y14822" s="501"/>
    </row>
    <row r="14823" spans="25:25" hidden="1" x14ac:dyDescent="0.25">
      <c r="Y14823" s="501"/>
    </row>
    <row r="14824" spans="25:25" hidden="1" x14ac:dyDescent="0.25">
      <c r="Y14824" s="501"/>
    </row>
    <row r="14825" spans="25:25" hidden="1" x14ac:dyDescent="0.25">
      <c r="Y14825" s="501"/>
    </row>
    <row r="14826" spans="25:25" hidden="1" x14ac:dyDescent="0.25">
      <c r="Y14826" s="501"/>
    </row>
    <row r="14827" spans="25:25" hidden="1" x14ac:dyDescent="0.25">
      <c r="Y14827" s="501"/>
    </row>
    <row r="14828" spans="25:25" hidden="1" x14ac:dyDescent="0.25">
      <c r="Y14828" s="501"/>
    </row>
    <row r="14829" spans="25:25" hidden="1" x14ac:dyDescent="0.25">
      <c r="Y14829" s="501"/>
    </row>
    <row r="14830" spans="25:25" hidden="1" x14ac:dyDescent="0.25">
      <c r="Y14830" s="501"/>
    </row>
    <row r="14831" spans="25:25" hidden="1" x14ac:dyDescent="0.25">
      <c r="Y14831" s="501"/>
    </row>
    <row r="14832" spans="25:25" hidden="1" x14ac:dyDescent="0.25">
      <c r="Y14832" s="501"/>
    </row>
    <row r="14833" spans="25:25" hidden="1" x14ac:dyDescent="0.25">
      <c r="Y14833" s="501"/>
    </row>
    <row r="14834" spans="25:25" hidden="1" x14ac:dyDescent="0.25">
      <c r="Y14834" s="501"/>
    </row>
    <row r="14835" spans="25:25" hidden="1" x14ac:dyDescent="0.25">
      <c r="Y14835" s="501"/>
    </row>
    <row r="14836" spans="25:25" hidden="1" x14ac:dyDescent="0.25">
      <c r="Y14836" s="501"/>
    </row>
    <row r="14837" spans="25:25" hidden="1" x14ac:dyDescent="0.25">
      <c r="Y14837" s="501"/>
    </row>
    <row r="14838" spans="25:25" hidden="1" x14ac:dyDescent="0.25">
      <c r="Y14838" s="501"/>
    </row>
    <row r="14839" spans="25:25" hidden="1" x14ac:dyDescent="0.25">
      <c r="Y14839" s="501"/>
    </row>
    <row r="14840" spans="25:25" hidden="1" x14ac:dyDescent="0.25">
      <c r="Y14840" s="501"/>
    </row>
    <row r="14841" spans="25:25" hidden="1" x14ac:dyDescent="0.25">
      <c r="Y14841" s="501"/>
    </row>
    <row r="14842" spans="25:25" hidden="1" x14ac:dyDescent="0.25">
      <c r="Y14842" s="501"/>
    </row>
    <row r="14843" spans="25:25" hidden="1" x14ac:dyDescent="0.25">
      <c r="Y14843" s="501"/>
    </row>
    <row r="14844" spans="25:25" hidden="1" x14ac:dyDescent="0.25">
      <c r="Y14844" s="501"/>
    </row>
    <row r="14845" spans="25:25" hidden="1" x14ac:dyDescent="0.25">
      <c r="Y14845" s="501"/>
    </row>
    <row r="14846" spans="25:25" hidden="1" x14ac:dyDescent="0.25">
      <c r="Y14846" s="501"/>
    </row>
    <row r="14847" spans="25:25" hidden="1" x14ac:dyDescent="0.25">
      <c r="Y14847" s="501"/>
    </row>
    <row r="14848" spans="25:25" hidden="1" x14ac:dyDescent="0.25">
      <c r="Y14848" s="501"/>
    </row>
    <row r="14849" spans="25:25" hidden="1" x14ac:dyDescent="0.25">
      <c r="Y14849" s="501"/>
    </row>
    <row r="14850" spans="25:25" hidden="1" x14ac:dyDescent="0.25">
      <c r="Y14850" s="501"/>
    </row>
    <row r="14851" spans="25:25" hidden="1" x14ac:dyDescent="0.25">
      <c r="Y14851" s="501"/>
    </row>
    <row r="14852" spans="25:25" hidden="1" x14ac:dyDescent="0.25">
      <c r="Y14852" s="501"/>
    </row>
    <row r="14853" spans="25:25" hidden="1" x14ac:dyDescent="0.25">
      <c r="Y14853" s="501"/>
    </row>
    <row r="14854" spans="25:25" hidden="1" x14ac:dyDescent="0.25">
      <c r="Y14854" s="501"/>
    </row>
    <row r="14855" spans="25:25" hidden="1" x14ac:dyDescent="0.25">
      <c r="Y14855" s="501"/>
    </row>
    <row r="14856" spans="25:25" hidden="1" x14ac:dyDescent="0.25">
      <c r="Y14856" s="501"/>
    </row>
    <row r="14857" spans="25:25" hidden="1" x14ac:dyDescent="0.25">
      <c r="Y14857" s="501"/>
    </row>
    <row r="14858" spans="25:25" hidden="1" x14ac:dyDescent="0.25">
      <c r="Y14858" s="501"/>
    </row>
    <row r="14859" spans="25:25" hidden="1" x14ac:dyDescent="0.25">
      <c r="Y14859" s="501"/>
    </row>
    <row r="14860" spans="25:25" hidden="1" x14ac:dyDescent="0.25">
      <c r="Y14860" s="501"/>
    </row>
    <row r="14861" spans="25:25" hidden="1" x14ac:dyDescent="0.25">
      <c r="Y14861" s="501"/>
    </row>
    <row r="14862" spans="25:25" hidden="1" x14ac:dyDescent="0.25">
      <c r="Y14862" s="501"/>
    </row>
    <row r="14863" spans="25:25" hidden="1" x14ac:dyDescent="0.25">
      <c r="Y14863" s="501"/>
    </row>
    <row r="14864" spans="25:25" hidden="1" x14ac:dyDescent="0.25">
      <c r="Y14864" s="501"/>
    </row>
    <row r="14865" spans="25:25" hidden="1" x14ac:dyDescent="0.25">
      <c r="Y14865" s="501"/>
    </row>
    <row r="14866" spans="25:25" hidden="1" x14ac:dyDescent="0.25">
      <c r="Y14866" s="501"/>
    </row>
    <row r="14867" spans="25:25" hidden="1" x14ac:dyDescent="0.25">
      <c r="Y14867" s="501"/>
    </row>
    <row r="14868" spans="25:25" hidden="1" x14ac:dyDescent="0.25">
      <c r="Y14868" s="501"/>
    </row>
    <row r="14869" spans="25:25" hidden="1" x14ac:dyDescent="0.25">
      <c r="Y14869" s="501"/>
    </row>
    <row r="14870" spans="25:25" hidden="1" x14ac:dyDescent="0.25">
      <c r="Y14870" s="501"/>
    </row>
    <row r="14871" spans="25:25" hidden="1" x14ac:dyDescent="0.25">
      <c r="Y14871" s="501"/>
    </row>
    <row r="14872" spans="25:25" hidden="1" x14ac:dyDescent="0.25">
      <c r="Y14872" s="501"/>
    </row>
    <row r="14873" spans="25:25" hidden="1" x14ac:dyDescent="0.25">
      <c r="Y14873" s="501"/>
    </row>
    <row r="14874" spans="25:25" hidden="1" x14ac:dyDescent="0.25">
      <c r="Y14874" s="501"/>
    </row>
    <row r="14875" spans="25:25" hidden="1" x14ac:dyDescent="0.25">
      <c r="Y14875" s="501"/>
    </row>
    <row r="14876" spans="25:25" hidden="1" x14ac:dyDescent="0.25">
      <c r="Y14876" s="501"/>
    </row>
    <row r="14877" spans="25:25" hidden="1" x14ac:dyDescent="0.25">
      <c r="Y14877" s="501"/>
    </row>
    <row r="14878" spans="25:25" hidden="1" x14ac:dyDescent="0.25">
      <c r="Y14878" s="501"/>
    </row>
    <row r="14879" spans="25:25" hidden="1" x14ac:dyDescent="0.25">
      <c r="Y14879" s="501"/>
    </row>
    <row r="14880" spans="25:25" hidden="1" x14ac:dyDescent="0.25">
      <c r="Y14880" s="501"/>
    </row>
    <row r="14881" spans="25:25" hidden="1" x14ac:dyDescent="0.25">
      <c r="Y14881" s="501"/>
    </row>
    <row r="14882" spans="25:25" hidden="1" x14ac:dyDescent="0.25">
      <c r="Y14882" s="501"/>
    </row>
    <row r="14883" spans="25:25" hidden="1" x14ac:dyDescent="0.25">
      <c r="Y14883" s="501"/>
    </row>
    <row r="14884" spans="25:25" hidden="1" x14ac:dyDescent="0.25">
      <c r="Y14884" s="501"/>
    </row>
    <row r="14885" spans="25:25" hidden="1" x14ac:dyDescent="0.25">
      <c r="Y14885" s="501"/>
    </row>
    <row r="14886" spans="25:25" hidden="1" x14ac:dyDescent="0.25">
      <c r="Y14886" s="501"/>
    </row>
    <row r="14887" spans="25:25" hidden="1" x14ac:dyDescent="0.25">
      <c r="Y14887" s="501"/>
    </row>
    <row r="14888" spans="25:25" hidden="1" x14ac:dyDescent="0.25">
      <c r="Y14888" s="501"/>
    </row>
    <row r="14889" spans="25:25" hidden="1" x14ac:dyDescent="0.25">
      <c r="Y14889" s="501"/>
    </row>
    <row r="14890" spans="25:25" hidden="1" x14ac:dyDescent="0.25">
      <c r="Y14890" s="501"/>
    </row>
    <row r="14891" spans="25:25" hidden="1" x14ac:dyDescent="0.25">
      <c r="Y14891" s="501"/>
    </row>
    <row r="14892" spans="25:25" hidden="1" x14ac:dyDescent="0.25">
      <c r="Y14892" s="501"/>
    </row>
    <row r="14893" spans="25:25" hidden="1" x14ac:dyDescent="0.25">
      <c r="Y14893" s="501"/>
    </row>
    <row r="14894" spans="25:25" hidden="1" x14ac:dyDescent="0.25">
      <c r="Y14894" s="501"/>
    </row>
    <row r="14895" spans="25:25" hidden="1" x14ac:dyDescent="0.25">
      <c r="Y14895" s="501"/>
    </row>
    <row r="14896" spans="25:25" hidden="1" x14ac:dyDescent="0.25">
      <c r="Y14896" s="501"/>
    </row>
    <row r="14897" spans="25:25" hidden="1" x14ac:dyDescent="0.25">
      <c r="Y14897" s="501"/>
    </row>
    <row r="14898" spans="25:25" hidden="1" x14ac:dyDescent="0.25">
      <c r="Y14898" s="501"/>
    </row>
    <row r="14899" spans="25:25" hidden="1" x14ac:dyDescent="0.25">
      <c r="Y14899" s="501"/>
    </row>
    <row r="14900" spans="25:25" hidden="1" x14ac:dyDescent="0.25">
      <c r="Y14900" s="501"/>
    </row>
    <row r="14901" spans="25:25" hidden="1" x14ac:dyDescent="0.25">
      <c r="Y14901" s="501"/>
    </row>
    <row r="14902" spans="25:25" hidden="1" x14ac:dyDescent="0.25">
      <c r="Y14902" s="501"/>
    </row>
    <row r="14903" spans="25:25" hidden="1" x14ac:dyDescent="0.25">
      <c r="Y14903" s="501"/>
    </row>
    <row r="14904" spans="25:25" hidden="1" x14ac:dyDescent="0.25">
      <c r="Y14904" s="501"/>
    </row>
    <row r="14905" spans="25:25" hidden="1" x14ac:dyDescent="0.25">
      <c r="Y14905" s="501"/>
    </row>
    <row r="14906" spans="25:25" hidden="1" x14ac:dyDescent="0.25">
      <c r="Y14906" s="501"/>
    </row>
    <row r="14907" spans="25:25" hidden="1" x14ac:dyDescent="0.25">
      <c r="Y14907" s="501"/>
    </row>
    <row r="14908" spans="25:25" hidden="1" x14ac:dyDescent="0.25">
      <c r="Y14908" s="501"/>
    </row>
    <row r="14909" spans="25:25" hidden="1" x14ac:dyDescent="0.25">
      <c r="Y14909" s="501"/>
    </row>
    <row r="14910" spans="25:25" hidden="1" x14ac:dyDescent="0.25">
      <c r="Y14910" s="501"/>
    </row>
    <row r="14911" spans="25:25" hidden="1" x14ac:dyDescent="0.25">
      <c r="Y14911" s="501"/>
    </row>
    <row r="14912" spans="25:25" hidden="1" x14ac:dyDescent="0.25">
      <c r="Y14912" s="501"/>
    </row>
    <row r="14913" spans="25:25" hidden="1" x14ac:dyDescent="0.25">
      <c r="Y14913" s="501"/>
    </row>
    <row r="14914" spans="25:25" hidden="1" x14ac:dyDescent="0.25">
      <c r="Y14914" s="501"/>
    </row>
    <row r="14915" spans="25:25" hidden="1" x14ac:dyDescent="0.25">
      <c r="Y14915" s="501"/>
    </row>
    <row r="14916" spans="25:25" hidden="1" x14ac:dyDescent="0.25">
      <c r="Y14916" s="501"/>
    </row>
    <row r="14917" spans="25:25" hidden="1" x14ac:dyDescent="0.25">
      <c r="Y14917" s="501"/>
    </row>
    <row r="14918" spans="25:25" hidden="1" x14ac:dyDescent="0.25">
      <c r="Y14918" s="501"/>
    </row>
    <row r="14919" spans="25:25" hidden="1" x14ac:dyDescent="0.25">
      <c r="Y14919" s="501"/>
    </row>
    <row r="14920" spans="25:25" hidden="1" x14ac:dyDescent="0.25">
      <c r="Y14920" s="501"/>
    </row>
    <row r="14921" spans="25:25" hidden="1" x14ac:dyDescent="0.25">
      <c r="Y14921" s="501"/>
    </row>
    <row r="14922" spans="25:25" hidden="1" x14ac:dyDescent="0.25">
      <c r="Y14922" s="501"/>
    </row>
    <row r="14923" spans="25:25" hidden="1" x14ac:dyDescent="0.25">
      <c r="Y14923" s="501"/>
    </row>
    <row r="14924" spans="25:25" hidden="1" x14ac:dyDescent="0.25">
      <c r="Y14924" s="501"/>
    </row>
    <row r="14925" spans="25:25" hidden="1" x14ac:dyDescent="0.25">
      <c r="Y14925" s="501"/>
    </row>
    <row r="14926" spans="25:25" hidden="1" x14ac:dyDescent="0.25">
      <c r="Y14926" s="501"/>
    </row>
    <row r="14927" spans="25:25" hidden="1" x14ac:dyDescent="0.25">
      <c r="Y14927" s="501"/>
    </row>
    <row r="14928" spans="25:25" hidden="1" x14ac:dyDescent="0.25">
      <c r="Y14928" s="501"/>
    </row>
    <row r="14929" spans="25:25" hidden="1" x14ac:dyDescent="0.25">
      <c r="Y14929" s="501"/>
    </row>
    <row r="14930" spans="25:25" hidden="1" x14ac:dyDescent="0.25">
      <c r="Y14930" s="501"/>
    </row>
    <row r="14931" spans="25:25" hidden="1" x14ac:dyDescent="0.25">
      <c r="Y14931" s="501"/>
    </row>
    <row r="14932" spans="25:25" hidden="1" x14ac:dyDescent="0.25">
      <c r="Y14932" s="501"/>
    </row>
    <row r="14933" spans="25:25" hidden="1" x14ac:dyDescent="0.25">
      <c r="Y14933" s="501"/>
    </row>
    <row r="14934" spans="25:25" hidden="1" x14ac:dyDescent="0.25">
      <c r="Y14934" s="501"/>
    </row>
    <row r="14935" spans="25:25" hidden="1" x14ac:dyDescent="0.25">
      <c r="Y14935" s="501"/>
    </row>
    <row r="14936" spans="25:25" hidden="1" x14ac:dyDescent="0.25">
      <c r="Y14936" s="501"/>
    </row>
    <row r="14937" spans="25:25" hidden="1" x14ac:dyDescent="0.25">
      <c r="Y14937" s="501"/>
    </row>
    <row r="14938" spans="25:25" hidden="1" x14ac:dyDescent="0.25">
      <c r="Y14938" s="501"/>
    </row>
    <row r="14939" spans="25:25" hidden="1" x14ac:dyDescent="0.25">
      <c r="Y14939" s="501"/>
    </row>
    <row r="14940" spans="25:25" hidden="1" x14ac:dyDescent="0.25">
      <c r="Y14940" s="501"/>
    </row>
    <row r="14941" spans="25:25" hidden="1" x14ac:dyDescent="0.25">
      <c r="Y14941" s="501"/>
    </row>
    <row r="14942" spans="25:25" hidden="1" x14ac:dyDescent="0.25">
      <c r="Y14942" s="501"/>
    </row>
    <row r="14943" spans="25:25" hidden="1" x14ac:dyDescent="0.25">
      <c r="Y14943" s="501"/>
    </row>
    <row r="14944" spans="25:25" hidden="1" x14ac:dyDescent="0.25">
      <c r="Y14944" s="501"/>
    </row>
    <row r="14945" spans="25:25" hidden="1" x14ac:dyDescent="0.25">
      <c r="Y14945" s="501"/>
    </row>
    <row r="14946" spans="25:25" hidden="1" x14ac:dyDescent="0.25">
      <c r="Y14946" s="501"/>
    </row>
    <row r="14947" spans="25:25" hidden="1" x14ac:dyDescent="0.25">
      <c r="Y14947" s="501"/>
    </row>
    <row r="14948" spans="25:25" hidden="1" x14ac:dyDescent="0.25">
      <c r="Y14948" s="501"/>
    </row>
    <row r="14949" spans="25:25" hidden="1" x14ac:dyDescent="0.25">
      <c r="Y14949" s="501"/>
    </row>
    <row r="14950" spans="25:25" hidden="1" x14ac:dyDescent="0.25">
      <c r="Y14950" s="501"/>
    </row>
    <row r="14951" spans="25:25" hidden="1" x14ac:dyDescent="0.25">
      <c r="Y14951" s="501"/>
    </row>
    <row r="14952" spans="25:25" hidden="1" x14ac:dyDescent="0.25">
      <c r="Y14952" s="501"/>
    </row>
    <row r="14953" spans="25:25" hidden="1" x14ac:dyDescent="0.25">
      <c r="Y14953" s="501"/>
    </row>
    <row r="14954" spans="25:25" hidden="1" x14ac:dyDescent="0.25">
      <c r="Y14954" s="501"/>
    </row>
    <row r="14955" spans="25:25" hidden="1" x14ac:dyDescent="0.25">
      <c r="Y14955" s="501"/>
    </row>
    <row r="14956" spans="25:25" hidden="1" x14ac:dyDescent="0.25">
      <c r="Y14956" s="501"/>
    </row>
    <row r="14957" spans="25:25" hidden="1" x14ac:dyDescent="0.25">
      <c r="Y14957" s="501"/>
    </row>
    <row r="14958" spans="25:25" hidden="1" x14ac:dyDescent="0.25">
      <c r="Y14958" s="501"/>
    </row>
    <row r="14959" spans="25:25" hidden="1" x14ac:dyDescent="0.25">
      <c r="Y14959" s="501"/>
    </row>
    <row r="14960" spans="25:25" hidden="1" x14ac:dyDescent="0.25">
      <c r="Y14960" s="501"/>
    </row>
    <row r="14961" spans="25:25" hidden="1" x14ac:dyDescent="0.25">
      <c r="Y14961" s="501"/>
    </row>
    <row r="14962" spans="25:25" hidden="1" x14ac:dyDescent="0.25">
      <c r="Y14962" s="501"/>
    </row>
    <row r="14963" spans="25:25" hidden="1" x14ac:dyDescent="0.25">
      <c r="Y14963" s="501"/>
    </row>
    <row r="14964" spans="25:25" hidden="1" x14ac:dyDescent="0.25">
      <c r="Y14964" s="501"/>
    </row>
    <row r="14965" spans="25:25" hidden="1" x14ac:dyDescent="0.25">
      <c r="Y14965" s="501"/>
    </row>
    <row r="14966" spans="25:25" hidden="1" x14ac:dyDescent="0.25">
      <c r="Y14966" s="501"/>
    </row>
    <row r="14967" spans="25:25" hidden="1" x14ac:dyDescent="0.25">
      <c r="Y14967" s="501"/>
    </row>
    <row r="14968" spans="25:25" hidden="1" x14ac:dyDescent="0.25">
      <c r="Y14968" s="501"/>
    </row>
    <row r="14969" spans="25:25" hidden="1" x14ac:dyDescent="0.25">
      <c r="Y14969" s="501"/>
    </row>
    <row r="14970" spans="25:25" hidden="1" x14ac:dyDescent="0.25">
      <c r="Y14970" s="501"/>
    </row>
    <row r="14971" spans="25:25" hidden="1" x14ac:dyDescent="0.25">
      <c r="Y14971" s="501"/>
    </row>
    <row r="14972" spans="25:25" hidden="1" x14ac:dyDescent="0.25">
      <c r="Y14972" s="501"/>
    </row>
    <row r="14973" spans="25:25" hidden="1" x14ac:dyDescent="0.25">
      <c r="Y14973" s="501"/>
    </row>
    <row r="14974" spans="25:25" hidden="1" x14ac:dyDescent="0.25">
      <c r="Y14974" s="501"/>
    </row>
    <row r="14975" spans="25:25" hidden="1" x14ac:dyDescent="0.25">
      <c r="Y14975" s="501"/>
    </row>
    <row r="14976" spans="25:25" hidden="1" x14ac:dyDescent="0.25">
      <c r="Y14976" s="501"/>
    </row>
    <row r="14977" spans="25:25" hidden="1" x14ac:dyDescent="0.25">
      <c r="Y14977" s="501"/>
    </row>
    <row r="14978" spans="25:25" hidden="1" x14ac:dyDescent="0.25">
      <c r="Y14978" s="501"/>
    </row>
    <row r="14979" spans="25:25" hidden="1" x14ac:dyDescent="0.25">
      <c r="Y14979" s="501"/>
    </row>
    <row r="14980" spans="25:25" hidden="1" x14ac:dyDescent="0.25">
      <c r="Y14980" s="501"/>
    </row>
    <row r="14981" spans="25:25" hidden="1" x14ac:dyDescent="0.25">
      <c r="Y14981" s="501"/>
    </row>
    <row r="14982" spans="25:25" hidden="1" x14ac:dyDescent="0.25">
      <c r="Y14982" s="501"/>
    </row>
    <row r="14983" spans="25:25" hidden="1" x14ac:dyDescent="0.25">
      <c r="Y14983" s="501"/>
    </row>
    <row r="14984" spans="25:25" hidden="1" x14ac:dyDescent="0.25">
      <c r="Y14984" s="501"/>
    </row>
    <row r="14985" spans="25:25" hidden="1" x14ac:dyDescent="0.25">
      <c r="Y14985" s="501"/>
    </row>
    <row r="14986" spans="25:25" hidden="1" x14ac:dyDescent="0.25">
      <c r="Y14986" s="501"/>
    </row>
    <row r="14987" spans="25:25" hidden="1" x14ac:dyDescent="0.25">
      <c r="Y14987" s="501"/>
    </row>
    <row r="14988" spans="25:25" hidden="1" x14ac:dyDescent="0.25">
      <c r="Y14988" s="501"/>
    </row>
    <row r="14989" spans="25:25" hidden="1" x14ac:dyDescent="0.25">
      <c r="Y14989" s="501"/>
    </row>
    <row r="14990" spans="25:25" hidden="1" x14ac:dyDescent="0.25">
      <c r="Y14990" s="501"/>
    </row>
    <row r="14991" spans="25:25" hidden="1" x14ac:dyDescent="0.25">
      <c r="Y14991" s="501"/>
    </row>
    <row r="14992" spans="25:25" hidden="1" x14ac:dyDescent="0.25">
      <c r="Y14992" s="501"/>
    </row>
    <row r="14993" spans="25:25" hidden="1" x14ac:dyDescent="0.25">
      <c r="Y14993" s="501"/>
    </row>
    <row r="14994" spans="25:25" hidden="1" x14ac:dyDescent="0.25">
      <c r="Y14994" s="501"/>
    </row>
    <row r="14995" spans="25:25" hidden="1" x14ac:dyDescent="0.25">
      <c r="Y14995" s="501"/>
    </row>
    <row r="14996" spans="25:25" hidden="1" x14ac:dyDescent="0.25">
      <c r="Y14996" s="501"/>
    </row>
    <row r="14997" spans="25:25" hidden="1" x14ac:dyDescent="0.25">
      <c r="Y14997" s="501"/>
    </row>
    <row r="14998" spans="25:25" hidden="1" x14ac:dyDescent="0.25">
      <c r="Y14998" s="501"/>
    </row>
    <row r="14999" spans="25:25" hidden="1" x14ac:dyDescent="0.25">
      <c r="Y14999" s="501"/>
    </row>
    <row r="15000" spans="25:25" hidden="1" x14ac:dyDescent="0.25">
      <c r="Y15000" s="501"/>
    </row>
    <row r="15001" spans="25:25" hidden="1" x14ac:dyDescent="0.25">
      <c r="Y15001" s="501"/>
    </row>
    <row r="15002" spans="25:25" hidden="1" x14ac:dyDescent="0.25">
      <c r="Y15002" s="501"/>
    </row>
    <row r="15003" spans="25:25" hidden="1" x14ac:dyDescent="0.25">
      <c r="Y15003" s="501"/>
    </row>
    <row r="15004" spans="25:25" hidden="1" x14ac:dyDescent="0.25">
      <c r="Y15004" s="501"/>
    </row>
    <row r="15005" spans="25:25" hidden="1" x14ac:dyDescent="0.25">
      <c r="Y15005" s="501"/>
    </row>
    <row r="15006" spans="25:25" hidden="1" x14ac:dyDescent="0.25">
      <c r="Y15006" s="501"/>
    </row>
    <row r="15007" spans="25:25" hidden="1" x14ac:dyDescent="0.25">
      <c r="Y15007" s="501"/>
    </row>
    <row r="15008" spans="25:25" hidden="1" x14ac:dyDescent="0.25">
      <c r="Y15008" s="501"/>
    </row>
    <row r="15009" spans="25:25" hidden="1" x14ac:dyDescent="0.25">
      <c r="Y15009" s="501"/>
    </row>
    <row r="15010" spans="25:25" hidden="1" x14ac:dyDescent="0.25">
      <c r="Y15010" s="501"/>
    </row>
    <row r="15011" spans="25:25" hidden="1" x14ac:dyDescent="0.25">
      <c r="Y15011" s="501"/>
    </row>
    <row r="15012" spans="25:25" hidden="1" x14ac:dyDescent="0.25">
      <c r="Y15012" s="501"/>
    </row>
    <row r="15013" spans="25:25" hidden="1" x14ac:dyDescent="0.25">
      <c r="Y15013" s="501"/>
    </row>
    <row r="15014" spans="25:25" hidden="1" x14ac:dyDescent="0.25">
      <c r="Y15014" s="501"/>
    </row>
    <row r="15015" spans="25:25" hidden="1" x14ac:dyDescent="0.25">
      <c r="Y15015" s="501"/>
    </row>
    <row r="15016" spans="25:25" hidden="1" x14ac:dyDescent="0.25">
      <c r="Y15016" s="501"/>
    </row>
    <row r="15017" spans="25:25" hidden="1" x14ac:dyDescent="0.25">
      <c r="Y15017" s="501"/>
    </row>
    <row r="15018" spans="25:25" hidden="1" x14ac:dyDescent="0.25">
      <c r="Y15018" s="501"/>
    </row>
    <row r="15019" spans="25:25" hidden="1" x14ac:dyDescent="0.25">
      <c r="Y15019" s="501"/>
    </row>
    <row r="15020" spans="25:25" hidden="1" x14ac:dyDescent="0.25">
      <c r="Y15020" s="501"/>
    </row>
    <row r="15021" spans="25:25" hidden="1" x14ac:dyDescent="0.25">
      <c r="Y15021" s="501"/>
    </row>
    <row r="15022" spans="25:25" hidden="1" x14ac:dyDescent="0.25">
      <c r="Y15022" s="501"/>
    </row>
    <row r="15023" spans="25:25" hidden="1" x14ac:dyDescent="0.25">
      <c r="Y15023" s="501"/>
    </row>
    <row r="15024" spans="25:25" hidden="1" x14ac:dyDescent="0.25">
      <c r="Y15024" s="501"/>
    </row>
    <row r="15025" spans="25:25" hidden="1" x14ac:dyDescent="0.25">
      <c r="Y15025" s="501"/>
    </row>
    <row r="15026" spans="25:25" hidden="1" x14ac:dyDescent="0.25">
      <c r="Y15026" s="501"/>
    </row>
    <row r="15027" spans="25:25" hidden="1" x14ac:dyDescent="0.25">
      <c r="Y15027" s="501"/>
    </row>
    <row r="15028" spans="25:25" hidden="1" x14ac:dyDescent="0.25">
      <c r="Y15028" s="501"/>
    </row>
    <row r="15029" spans="25:25" hidden="1" x14ac:dyDescent="0.25">
      <c r="Y15029" s="501"/>
    </row>
    <row r="15030" spans="25:25" hidden="1" x14ac:dyDescent="0.25">
      <c r="Y15030" s="501"/>
    </row>
    <row r="15031" spans="25:25" hidden="1" x14ac:dyDescent="0.25">
      <c r="Y15031" s="501"/>
    </row>
    <row r="15032" spans="25:25" hidden="1" x14ac:dyDescent="0.25">
      <c r="Y15032" s="501"/>
    </row>
    <row r="15033" spans="25:25" hidden="1" x14ac:dyDescent="0.25">
      <c r="Y15033" s="501"/>
    </row>
    <row r="15034" spans="25:25" hidden="1" x14ac:dyDescent="0.25">
      <c r="Y15034" s="501"/>
    </row>
    <row r="15035" spans="25:25" hidden="1" x14ac:dyDescent="0.25">
      <c r="Y15035" s="501"/>
    </row>
    <row r="15036" spans="25:25" hidden="1" x14ac:dyDescent="0.25">
      <c r="Y15036" s="501"/>
    </row>
    <row r="15037" spans="25:25" hidden="1" x14ac:dyDescent="0.25">
      <c r="Y15037" s="501"/>
    </row>
    <row r="15038" spans="25:25" hidden="1" x14ac:dyDescent="0.25">
      <c r="Y15038" s="501"/>
    </row>
    <row r="15039" spans="25:25" hidden="1" x14ac:dyDescent="0.25">
      <c r="Y15039" s="501"/>
    </row>
    <row r="15040" spans="25:25" hidden="1" x14ac:dyDescent="0.25">
      <c r="Y15040" s="501"/>
    </row>
    <row r="15041" spans="25:25" hidden="1" x14ac:dyDescent="0.25">
      <c r="Y15041" s="501"/>
    </row>
    <row r="15042" spans="25:25" hidden="1" x14ac:dyDescent="0.25">
      <c r="Y15042" s="501"/>
    </row>
    <row r="15043" spans="25:25" hidden="1" x14ac:dyDescent="0.25">
      <c r="Y15043" s="501"/>
    </row>
    <row r="15044" spans="25:25" hidden="1" x14ac:dyDescent="0.25">
      <c r="Y15044" s="501"/>
    </row>
    <row r="15045" spans="25:25" hidden="1" x14ac:dyDescent="0.25">
      <c r="Y15045" s="501"/>
    </row>
    <row r="15046" spans="25:25" hidden="1" x14ac:dyDescent="0.25">
      <c r="Y15046" s="501"/>
    </row>
    <row r="15047" spans="25:25" hidden="1" x14ac:dyDescent="0.25">
      <c r="Y15047" s="501"/>
    </row>
    <row r="15048" spans="25:25" hidden="1" x14ac:dyDescent="0.25">
      <c r="Y15048" s="501"/>
    </row>
    <row r="15049" spans="25:25" hidden="1" x14ac:dyDescent="0.25">
      <c r="Y15049" s="501"/>
    </row>
    <row r="15050" spans="25:25" hidden="1" x14ac:dyDescent="0.25">
      <c r="Y15050" s="501"/>
    </row>
    <row r="15051" spans="25:25" hidden="1" x14ac:dyDescent="0.25">
      <c r="Y15051" s="501"/>
    </row>
    <row r="15052" spans="25:25" hidden="1" x14ac:dyDescent="0.25">
      <c r="Y15052" s="501"/>
    </row>
    <row r="15053" spans="25:25" hidden="1" x14ac:dyDescent="0.25">
      <c r="Y15053" s="501"/>
    </row>
    <row r="15054" spans="25:25" hidden="1" x14ac:dyDescent="0.25">
      <c r="Y15054" s="501"/>
    </row>
    <row r="15055" spans="25:25" hidden="1" x14ac:dyDescent="0.25">
      <c r="Y15055" s="501"/>
    </row>
    <row r="15056" spans="25:25" hidden="1" x14ac:dyDescent="0.25">
      <c r="Y15056" s="501"/>
    </row>
    <row r="15057" spans="25:25" hidden="1" x14ac:dyDescent="0.25">
      <c r="Y15057" s="501"/>
    </row>
    <row r="15058" spans="25:25" hidden="1" x14ac:dyDescent="0.25">
      <c r="Y15058" s="501"/>
    </row>
    <row r="15059" spans="25:25" hidden="1" x14ac:dyDescent="0.25">
      <c r="Y15059" s="501"/>
    </row>
    <row r="15060" spans="25:25" hidden="1" x14ac:dyDescent="0.25">
      <c r="Y15060" s="501"/>
    </row>
    <row r="15061" spans="25:25" hidden="1" x14ac:dyDescent="0.25">
      <c r="Y15061" s="501"/>
    </row>
    <row r="15062" spans="25:25" hidden="1" x14ac:dyDescent="0.25">
      <c r="Y15062" s="501"/>
    </row>
    <row r="15063" spans="25:25" hidden="1" x14ac:dyDescent="0.25">
      <c r="Y15063" s="501"/>
    </row>
    <row r="15064" spans="25:25" hidden="1" x14ac:dyDescent="0.25">
      <c r="Y15064" s="501"/>
    </row>
    <row r="15065" spans="25:25" hidden="1" x14ac:dyDescent="0.25">
      <c r="Y15065" s="501"/>
    </row>
    <row r="15066" spans="25:25" hidden="1" x14ac:dyDescent="0.25">
      <c r="Y15066" s="501"/>
    </row>
    <row r="15067" spans="25:25" hidden="1" x14ac:dyDescent="0.25">
      <c r="Y15067" s="501"/>
    </row>
    <row r="15068" spans="25:25" hidden="1" x14ac:dyDescent="0.25">
      <c r="Y15068" s="501"/>
    </row>
    <row r="15069" spans="25:25" hidden="1" x14ac:dyDescent="0.25">
      <c r="Y15069" s="501"/>
    </row>
    <row r="15070" spans="25:25" hidden="1" x14ac:dyDescent="0.25">
      <c r="Y15070" s="501"/>
    </row>
    <row r="15071" spans="25:25" hidden="1" x14ac:dyDescent="0.25">
      <c r="Y15071" s="501"/>
    </row>
    <row r="15072" spans="25:25" hidden="1" x14ac:dyDescent="0.25">
      <c r="Y15072" s="501"/>
    </row>
    <row r="15073" spans="25:25" hidden="1" x14ac:dyDescent="0.25">
      <c r="Y15073" s="501"/>
    </row>
    <row r="15074" spans="25:25" hidden="1" x14ac:dyDescent="0.25">
      <c r="Y15074" s="501"/>
    </row>
    <row r="15075" spans="25:25" hidden="1" x14ac:dyDescent="0.25">
      <c r="Y15075" s="501"/>
    </row>
    <row r="15076" spans="25:25" hidden="1" x14ac:dyDescent="0.25">
      <c r="Y15076" s="501"/>
    </row>
    <row r="15077" spans="25:25" hidden="1" x14ac:dyDescent="0.25">
      <c r="Y15077" s="501"/>
    </row>
    <row r="15078" spans="25:25" hidden="1" x14ac:dyDescent="0.25">
      <c r="Y15078" s="501"/>
    </row>
    <row r="15079" spans="25:25" hidden="1" x14ac:dyDescent="0.25">
      <c r="Y15079" s="501"/>
    </row>
    <row r="15080" spans="25:25" hidden="1" x14ac:dyDescent="0.25">
      <c r="Y15080" s="501"/>
    </row>
    <row r="15081" spans="25:25" hidden="1" x14ac:dyDescent="0.25">
      <c r="Y15081" s="501"/>
    </row>
    <row r="15082" spans="25:25" hidden="1" x14ac:dyDescent="0.25">
      <c r="Y15082" s="501"/>
    </row>
    <row r="15083" spans="25:25" hidden="1" x14ac:dyDescent="0.25">
      <c r="Y15083" s="501"/>
    </row>
    <row r="15084" spans="25:25" hidden="1" x14ac:dyDescent="0.25">
      <c r="Y15084" s="501"/>
    </row>
    <row r="15085" spans="25:25" hidden="1" x14ac:dyDescent="0.25">
      <c r="Y15085" s="501"/>
    </row>
    <row r="15086" spans="25:25" hidden="1" x14ac:dyDescent="0.25">
      <c r="Y15086" s="501"/>
    </row>
    <row r="15087" spans="25:25" hidden="1" x14ac:dyDescent="0.25">
      <c r="Y15087" s="501"/>
    </row>
    <row r="15088" spans="25:25" hidden="1" x14ac:dyDescent="0.25">
      <c r="Y15088" s="501"/>
    </row>
    <row r="15089" spans="25:25" hidden="1" x14ac:dyDescent="0.25">
      <c r="Y15089" s="501"/>
    </row>
    <row r="15090" spans="25:25" hidden="1" x14ac:dyDescent="0.25">
      <c r="Y15090" s="501"/>
    </row>
    <row r="15091" spans="25:25" hidden="1" x14ac:dyDescent="0.25">
      <c r="Y15091" s="501"/>
    </row>
    <row r="15092" spans="25:25" hidden="1" x14ac:dyDescent="0.25">
      <c r="Y15092" s="501"/>
    </row>
    <row r="15093" spans="25:25" hidden="1" x14ac:dyDescent="0.25">
      <c r="Y15093" s="501"/>
    </row>
    <row r="15094" spans="25:25" hidden="1" x14ac:dyDescent="0.25">
      <c r="Y15094" s="501"/>
    </row>
    <row r="15095" spans="25:25" hidden="1" x14ac:dyDescent="0.25">
      <c r="Y15095" s="501"/>
    </row>
    <row r="15096" spans="25:25" hidden="1" x14ac:dyDescent="0.25">
      <c r="Y15096" s="501"/>
    </row>
    <row r="15097" spans="25:25" hidden="1" x14ac:dyDescent="0.25">
      <c r="Y15097" s="501"/>
    </row>
    <row r="15098" spans="25:25" hidden="1" x14ac:dyDescent="0.25">
      <c r="Y15098" s="501"/>
    </row>
    <row r="15099" spans="25:25" hidden="1" x14ac:dyDescent="0.25">
      <c r="Y15099" s="501"/>
    </row>
    <row r="15100" spans="25:25" hidden="1" x14ac:dyDescent="0.25">
      <c r="Y15100" s="501"/>
    </row>
    <row r="15101" spans="25:25" hidden="1" x14ac:dyDescent="0.25">
      <c r="Y15101" s="501"/>
    </row>
    <row r="15102" spans="25:25" hidden="1" x14ac:dyDescent="0.25">
      <c r="Y15102" s="501"/>
    </row>
    <row r="15103" spans="25:25" hidden="1" x14ac:dyDescent="0.25">
      <c r="Y15103" s="501"/>
    </row>
    <row r="15104" spans="25:25" hidden="1" x14ac:dyDescent="0.25">
      <c r="Y15104" s="501"/>
    </row>
    <row r="15105" spans="25:25" hidden="1" x14ac:dyDescent="0.25">
      <c r="Y15105" s="501"/>
    </row>
    <row r="15106" spans="25:25" hidden="1" x14ac:dyDescent="0.25">
      <c r="Y15106" s="501"/>
    </row>
    <row r="15107" spans="25:25" hidden="1" x14ac:dyDescent="0.25">
      <c r="Y15107" s="501"/>
    </row>
    <row r="15108" spans="25:25" hidden="1" x14ac:dyDescent="0.25">
      <c r="Y15108" s="501"/>
    </row>
    <row r="15109" spans="25:25" hidden="1" x14ac:dyDescent="0.25">
      <c r="Y15109" s="501"/>
    </row>
    <row r="15110" spans="25:25" hidden="1" x14ac:dyDescent="0.25">
      <c r="Y15110" s="501"/>
    </row>
    <row r="15111" spans="25:25" hidden="1" x14ac:dyDescent="0.25">
      <c r="Y15111" s="501"/>
    </row>
    <row r="15112" spans="25:25" hidden="1" x14ac:dyDescent="0.25">
      <c r="Y15112" s="501"/>
    </row>
    <row r="15113" spans="25:25" hidden="1" x14ac:dyDescent="0.25">
      <c r="Y15113" s="501"/>
    </row>
    <row r="15114" spans="25:25" hidden="1" x14ac:dyDescent="0.25">
      <c r="Y15114" s="501"/>
    </row>
    <row r="15115" spans="25:25" hidden="1" x14ac:dyDescent="0.25">
      <c r="Y15115" s="501"/>
    </row>
    <row r="15116" spans="25:25" hidden="1" x14ac:dyDescent="0.25">
      <c r="Y15116" s="501"/>
    </row>
    <row r="15117" spans="25:25" hidden="1" x14ac:dyDescent="0.25">
      <c r="Y15117" s="501"/>
    </row>
    <row r="15118" spans="25:25" hidden="1" x14ac:dyDescent="0.25">
      <c r="Y15118" s="501"/>
    </row>
    <row r="15119" spans="25:25" hidden="1" x14ac:dyDescent="0.25">
      <c r="Y15119" s="501"/>
    </row>
    <row r="15120" spans="25:25" hidden="1" x14ac:dyDescent="0.25">
      <c r="Y15120" s="501"/>
    </row>
    <row r="15121" spans="25:25" hidden="1" x14ac:dyDescent="0.25">
      <c r="Y15121" s="501"/>
    </row>
    <row r="15122" spans="25:25" hidden="1" x14ac:dyDescent="0.25">
      <c r="Y15122" s="501"/>
    </row>
    <row r="15123" spans="25:25" hidden="1" x14ac:dyDescent="0.25">
      <c r="Y15123" s="501"/>
    </row>
    <row r="15124" spans="25:25" hidden="1" x14ac:dyDescent="0.25">
      <c r="Y15124" s="501"/>
    </row>
    <row r="15125" spans="25:25" hidden="1" x14ac:dyDescent="0.25">
      <c r="Y15125" s="501"/>
    </row>
    <row r="15126" spans="25:25" hidden="1" x14ac:dyDescent="0.25">
      <c r="Y15126" s="501"/>
    </row>
    <row r="15127" spans="25:25" hidden="1" x14ac:dyDescent="0.25">
      <c r="Y15127" s="501"/>
    </row>
    <row r="15128" spans="25:25" hidden="1" x14ac:dyDescent="0.25">
      <c r="Y15128" s="501"/>
    </row>
    <row r="15129" spans="25:25" hidden="1" x14ac:dyDescent="0.25">
      <c r="Y15129" s="501"/>
    </row>
    <row r="15130" spans="25:25" hidden="1" x14ac:dyDescent="0.25">
      <c r="Y15130" s="501"/>
    </row>
    <row r="15131" spans="25:25" hidden="1" x14ac:dyDescent="0.25">
      <c r="Y15131" s="501"/>
    </row>
    <row r="15132" spans="25:25" hidden="1" x14ac:dyDescent="0.25">
      <c r="Y15132" s="501"/>
    </row>
    <row r="15133" spans="25:25" hidden="1" x14ac:dyDescent="0.25">
      <c r="Y15133" s="501"/>
    </row>
    <row r="15134" spans="25:25" hidden="1" x14ac:dyDescent="0.25">
      <c r="Y15134" s="501"/>
    </row>
    <row r="15135" spans="25:25" hidden="1" x14ac:dyDescent="0.25">
      <c r="Y15135" s="501"/>
    </row>
    <row r="15136" spans="25:25" hidden="1" x14ac:dyDescent="0.25">
      <c r="Y15136" s="501"/>
    </row>
    <row r="15137" spans="25:25" hidden="1" x14ac:dyDescent="0.25">
      <c r="Y15137" s="501"/>
    </row>
    <row r="15138" spans="25:25" hidden="1" x14ac:dyDescent="0.25">
      <c r="Y15138" s="501"/>
    </row>
    <row r="15139" spans="25:25" hidden="1" x14ac:dyDescent="0.25">
      <c r="Y15139" s="501"/>
    </row>
    <row r="15140" spans="25:25" hidden="1" x14ac:dyDescent="0.25">
      <c r="Y15140" s="501"/>
    </row>
    <row r="15141" spans="25:25" hidden="1" x14ac:dyDescent="0.25">
      <c r="Y15141" s="501"/>
    </row>
    <row r="15142" spans="25:25" hidden="1" x14ac:dyDescent="0.25">
      <c r="Y15142" s="501"/>
    </row>
    <row r="15143" spans="25:25" hidden="1" x14ac:dyDescent="0.25">
      <c r="Y15143" s="501"/>
    </row>
    <row r="15144" spans="25:25" hidden="1" x14ac:dyDescent="0.25">
      <c r="Y15144" s="501"/>
    </row>
    <row r="15145" spans="25:25" hidden="1" x14ac:dyDescent="0.25">
      <c r="Y15145" s="501"/>
    </row>
    <row r="15146" spans="25:25" hidden="1" x14ac:dyDescent="0.25">
      <c r="Y15146" s="501"/>
    </row>
    <row r="15147" spans="25:25" hidden="1" x14ac:dyDescent="0.25">
      <c r="Y15147" s="501"/>
    </row>
    <row r="15148" spans="25:25" hidden="1" x14ac:dyDescent="0.25">
      <c r="Y15148" s="501"/>
    </row>
    <row r="15149" spans="25:25" hidden="1" x14ac:dyDescent="0.25">
      <c r="Y15149" s="501"/>
    </row>
    <row r="15150" spans="25:25" hidden="1" x14ac:dyDescent="0.25">
      <c r="Y15150" s="501"/>
    </row>
    <row r="15151" spans="25:25" hidden="1" x14ac:dyDescent="0.25">
      <c r="Y15151" s="501"/>
    </row>
    <row r="15152" spans="25:25" hidden="1" x14ac:dyDescent="0.25">
      <c r="Y15152" s="501"/>
    </row>
    <row r="15153" spans="25:25" hidden="1" x14ac:dyDescent="0.25">
      <c r="Y15153" s="501"/>
    </row>
    <row r="15154" spans="25:25" hidden="1" x14ac:dyDescent="0.25">
      <c r="Y15154" s="501"/>
    </row>
    <row r="15155" spans="25:25" hidden="1" x14ac:dyDescent="0.25">
      <c r="Y15155" s="501"/>
    </row>
    <row r="15156" spans="25:25" hidden="1" x14ac:dyDescent="0.25">
      <c r="Y15156" s="501"/>
    </row>
    <row r="15157" spans="25:25" hidden="1" x14ac:dyDescent="0.25">
      <c r="Y15157" s="501"/>
    </row>
    <row r="15158" spans="25:25" hidden="1" x14ac:dyDescent="0.25">
      <c r="Y15158" s="501"/>
    </row>
    <row r="15159" spans="25:25" hidden="1" x14ac:dyDescent="0.25">
      <c r="Y15159" s="501"/>
    </row>
    <row r="15160" spans="25:25" hidden="1" x14ac:dyDescent="0.25">
      <c r="Y15160" s="501"/>
    </row>
    <row r="15161" spans="25:25" hidden="1" x14ac:dyDescent="0.25">
      <c r="Y15161" s="501"/>
    </row>
    <row r="15162" spans="25:25" hidden="1" x14ac:dyDescent="0.25">
      <c r="Y15162" s="501"/>
    </row>
    <row r="15163" spans="25:25" hidden="1" x14ac:dyDescent="0.25">
      <c r="Y15163" s="501"/>
    </row>
    <row r="15164" spans="25:25" hidden="1" x14ac:dyDescent="0.25">
      <c r="Y15164" s="501"/>
    </row>
    <row r="15165" spans="25:25" hidden="1" x14ac:dyDescent="0.25">
      <c r="Y15165" s="501"/>
    </row>
    <row r="15166" spans="25:25" hidden="1" x14ac:dyDescent="0.25">
      <c r="Y15166" s="501"/>
    </row>
    <row r="15167" spans="25:25" hidden="1" x14ac:dyDescent="0.25">
      <c r="Y15167" s="501"/>
    </row>
    <row r="15168" spans="25:25" hidden="1" x14ac:dyDescent="0.25">
      <c r="Y15168" s="501"/>
    </row>
    <row r="15169" spans="25:25" hidden="1" x14ac:dyDescent="0.25">
      <c r="Y15169" s="501"/>
    </row>
    <row r="15170" spans="25:25" hidden="1" x14ac:dyDescent="0.25">
      <c r="Y15170" s="501"/>
    </row>
    <row r="15171" spans="25:25" hidden="1" x14ac:dyDescent="0.25">
      <c r="Y15171" s="501"/>
    </row>
    <row r="15172" spans="25:25" hidden="1" x14ac:dyDescent="0.25">
      <c r="Y15172" s="501"/>
    </row>
    <row r="15173" spans="25:25" hidden="1" x14ac:dyDescent="0.25">
      <c r="Y15173" s="501"/>
    </row>
    <row r="15174" spans="25:25" hidden="1" x14ac:dyDescent="0.25">
      <c r="Y15174" s="501"/>
    </row>
    <row r="15175" spans="25:25" hidden="1" x14ac:dyDescent="0.25">
      <c r="Y15175" s="501"/>
    </row>
    <row r="15176" spans="25:25" hidden="1" x14ac:dyDescent="0.25">
      <c r="Y15176" s="501"/>
    </row>
    <row r="15177" spans="25:25" hidden="1" x14ac:dyDescent="0.25">
      <c r="Y15177" s="501"/>
    </row>
    <row r="15178" spans="25:25" hidden="1" x14ac:dyDescent="0.25">
      <c r="Y15178" s="501"/>
    </row>
    <row r="15179" spans="25:25" hidden="1" x14ac:dyDescent="0.25">
      <c r="Y15179" s="501"/>
    </row>
    <row r="15180" spans="25:25" hidden="1" x14ac:dyDescent="0.25">
      <c r="Y15180" s="501"/>
    </row>
    <row r="15181" spans="25:25" hidden="1" x14ac:dyDescent="0.25">
      <c r="Y15181" s="501"/>
    </row>
    <row r="15182" spans="25:25" hidden="1" x14ac:dyDescent="0.25">
      <c r="Y15182" s="501"/>
    </row>
    <row r="15183" spans="25:25" hidden="1" x14ac:dyDescent="0.25">
      <c r="Y15183" s="501"/>
    </row>
    <row r="15184" spans="25:25" hidden="1" x14ac:dyDescent="0.25">
      <c r="Y15184" s="501"/>
    </row>
    <row r="15185" spans="25:25" hidden="1" x14ac:dyDescent="0.25">
      <c r="Y15185" s="501"/>
    </row>
    <row r="15186" spans="25:25" hidden="1" x14ac:dyDescent="0.25">
      <c r="Y15186" s="501"/>
    </row>
    <row r="15187" spans="25:25" hidden="1" x14ac:dyDescent="0.25">
      <c r="Y15187" s="501"/>
    </row>
    <row r="15188" spans="25:25" hidden="1" x14ac:dyDescent="0.25">
      <c r="Y15188" s="501"/>
    </row>
    <row r="15189" spans="25:25" hidden="1" x14ac:dyDescent="0.25">
      <c r="Y15189" s="501"/>
    </row>
    <row r="15190" spans="25:25" hidden="1" x14ac:dyDescent="0.25">
      <c r="Y15190" s="501"/>
    </row>
    <row r="15191" spans="25:25" hidden="1" x14ac:dyDescent="0.25">
      <c r="Y15191" s="501"/>
    </row>
    <row r="15192" spans="25:25" hidden="1" x14ac:dyDescent="0.25">
      <c r="Y15192" s="501"/>
    </row>
    <row r="15193" spans="25:25" hidden="1" x14ac:dyDescent="0.25">
      <c r="Y15193" s="501"/>
    </row>
    <row r="15194" spans="25:25" hidden="1" x14ac:dyDescent="0.25">
      <c r="Y15194" s="501"/>
    </row>
    <row r="15195" spans="25:25" hidden="1" x14ac:dyDescent="0.25">
      <c r="Y15195" s="501"/>
    </row>
    <row r="15196" spans="25:25" hidden="1" x14ac:dyDescent="0.25">
      <c r="Y15196" s="501"/>
    </row>
    <row r="15197" spans="25:25" hidden="1" x14ac:dyDescent="0.25">
      <c r="Y15197" s="501"/>
    </row>
    <row r="15198" spans="25:25" hidden="1" x14ac:dyDescent="0.25">
      <c r="Y15198" s="501"/>
    </row>
    <row r="15199" spans="25:25" hidden="1" x14ac:dyDescent="0.25">
      <c r="Y15199" s="501"/>
    </row>
    <row r="15200" spans="25:25" hidden="1" x14ac:dyDescent="0.25">
      <c r="Y15200" s="501"/>
    </row>
    <row r="15201" spans="25:25" hidden="1" x14ac:dyDescent="0.25">
      <c r="Y15201" s="501"/>
    </row>
    <row r="15202" spans="25:25" hidden="1" x14ac:dyDescent="0.25">
      <c r="Y15202" s="501"/>
    </row>
    <row r="15203" spans="25:25" hidden="1" x14ac:dyDescent="0.25">
      <c r="Y15203" s="501"/>
    </row>
    <row r="15204" spans="25:25" hidden="1" x14ac:dyDescent="0.25">
      <c r="Y15204" s="501"/>
    </row>
    <row r="15205" spans="25:25" hidden="1" x14ac:dyDescent="0.25">
      <c r="Y15205" s="501"/>
    </row>
    <row r="15206" spans="25:25" hidden="1" x14ac:dyDescent="0.25">
      <c r="Y15206" s="501"/>
    </row>
    <row r="15207" spans="25:25" hidden="1" x14ac:dyDescent="0.25">
      <c r="Y15207" s="501"/>
    </row>
    <row r="15208" spans="25:25" hidden="1" x14ac:dyDescent="0.25">
      <c r="Y15208" s="501"/>
    </row>
    <row r="15209" spans="25:25" hidden="1" x14ac:dyDescent="0.25">
      <c r="Y15209" s="501"/>
    </row>
    <row r="15210" spans="25:25" hidden="1" x14ac:dyDescent="0.25">
      <c r="Y15210" s="501"/>
    </row>
    <row r="15211" spans="25:25" hidden="1" x14ac:dyDescent="0.25">
      <c r="Y15211" s="501"/>
    </row>
    <row r="15212" spans="25:25" hidden="1" x14ac:dyDescent="0.25">
      <c r="Y15212" s="501"/>
    </row>
    <row r="15213" spans="25:25" hidden="1" x14ac:dyDescent="0.25">
      <c r="Y15213" s="501"/>
    </row>
    <row r="15214" spans="25:25" hidden="1" x14ac:dyDescent="0.25">
      <c r="Y15214" s="501"/>
    </row>
    <row r="15215" spans="25:25" hidden="1" x14ac:dyDescent="0.25">
      <c r="Y15215" s="501"/>
    </row>
    <row r="15216" spans="25:25" hidden="1" x14ac:dyDescent="0.25">
      <c r="Y15216" s="501"/>
    </row>
    <row r="15217" spans="25:25" hidden="1" x14ac:dyDescent="0.25">
      <c r="Y15217" s="501"/>
    </row>
    <row r="15218" spans="25:25" hidden="1" x14ac:dyDescent="0.25">
      <c r="Y15218" s="501"/>
    </row>
    <row r="15219" spans="25:25" hidden="1" x14ac:dyDescent="0.25">
      <c r="Y15219" s="501"/>
    </row>
    <row r="15220" spans="25:25" hidden="1" x14ac:dyDescent="0.25">
      <c r="Y15220" s="501"/>
    </row>
    <row r="15221" spans="25:25" hidden="1" x14ac:dyDescent="0.25">
      <c r="Y15221" s="501"/>
    </row>
    <row r="15222" spans="25:25" hidden="1" x14ac:dyDescent="0.25">
      <c r="Y15222" s="501"/>
    </row>
    <row r="15223" spans="25:25" hidden="1" x14ac:dyDescent="0.25">
      <c r="Y15223" s="501"/>
    </row>
    <row r="15224" spans="25:25" hidden="1" x14ac:dyDescent="0.25">
      <c r="Y15224" s="501"/>
    </row>
    <row r="15225" spans="25:25" hidden="1" x14ac:dyDescent="0.25">
      <c r="Y15225" s="501"/>
    </row>
    <row r="15226" spans="25:25" hidden="1" x14ac:dyDescent="0.25">
      <c r="Y15226" s="501"/>
    </row>
    <row r="15227" spans="25:25" hidden="1" x14ac:dyDescent="0.25">
      <c r="Y15227" s="501"/>
    </row>
    <row r="15228" spans="25:25" hidden="1" x14ac:dyDescent="0.25">
      <c r="Y15228" s="501"/>
    </row>
    <row r="15229" spans="25:25" hidden="1" x14ac:dyDescent="0.25">
      <c r="Y15229" s="501"/>
    </row>
    <row r="15230" spans="25:25" hidden="1" x14ac:dyDescent="0.25">
      <c r="Y15230" s="501"/>
    </row>
    <row r="15231" spans="25:25" hidden="1" x14ac:dyDescent="0.25">
      <c r="Y15231" s="501"/>
    </row>
    <row r="15232" spans="25:25" hidden="1" x14ac:dyDescent="0.25">
      <c r="Y15232" s="501"/>
    </row>
    <row r="15233" spans="25:25" hidden="1" x14ac:dyDescent="0.25">
      <c r="Y15233" s="501"/>
    </row>
    <row r="15234" spans="25:25" hidden="1" x14ac:dyDescent="0.25">
      <c r="Y15234" s="501"/>
    </row>
    <row r="15235" spans="25:25" hidden="1" x14ac:dyDescent="0.25">
      <c r="Y15235" s="501"/>
    </row>
    <row r="15236" spans="25:25" hidden="1" x14ac:dyDescent="0.25">
      <c r="Y15236" s="501"/>
    </row>
    <row r="15237" spans="25:25" hidden="1" x14ac:dyDescent="0.25">
      <c r="Y15237" s="501"/>
    </row>
    <row r="15238" spans="25:25" hidden="1" x14ac:dyDescent="0.25">
      <c r="Y15238" s="501"/>
    </row>
    <row r="15239" spans="25:25" hidden="1" x14ac:dyDescent="0.25">
      <c r="Y15239" s="501"/>
    </row>
    <row r="15240" spans="25:25" hidden="1" x14ac:dyDescent="0.25">
      <c r="Y15240" s="501"/>
    </row>
    <row r="15241" spans="25:25" hidden="1" x14ac:dyDescent="0.25">
      <c r="Y15241" s="501"/>
    </row>
    <row r="15242" spans="25:25" hidden="1" x14ac:dyDescent="0.25">
      <c r="Y15242" s="501"/>
    </row>
    <row r="15243" spans="25:25" hidden="1" x14ac:dyDescent="0.25">
      <c r="Y15243" s="501"/>
    </row>
    <row r="15244" spans="25:25" hidden="1" x14ac:dyDescent="0.25">
      <c r="Y15244" s="501"/>
    </row>
    <row r="15245" spans="25:25" hidden="1" x14ac:dyDescent="0.25">
      <c r="Y15245" s="501"/>
    </row>
    <row r="15246" spans="25:25" hidden="1" x14ac:dyDescent="0.25">
      <c r="Y15246" s="501"/>
    </row>
    <row r="15247" spans="25:25" hidden="1" x14ac:dyDescent="0.25">
      <c r="Y15247" s="501"/>
    </row>
    <row r="15248" spans="25:25" hidden="1" x14ac:dyDescent="0.25">
      <c r="Y15248" s="501"/>
    </row>
    <row r="15249" spans="25:25" hidden="1" x14ac:dyDescent="0.25">
      <c r="Y15249" s="501"/>
    </row>
    <row r="15250" spans="25:25" hidden="1" x14ac:dyDescent="0.25">
      <c r="Y15250" s="501"/>
    </row>
    <row r="15251" spans="25:25" hidden="1" x14ac:dyDescent="0.25">
      <c r="Y15251" s="501"/>
    </row>
    <row r="15252" spans="25:25" hidden="1" x14ac:dyDescent="0.25">
      <c r="Y15252" s="501"/>
    </row>
    <row r="15253" spans="25:25" hidden="1" x14ac:dyDescent="0.25">
      <c r="Y15253" s="501"/>
    </row>
    <row r="15254" spans="25:25" hidden="1" x14ac:dyDescent="0.25">
      <c r="Y15254" s="501"/>
    </row>
    <row r="15255" spans="25:25" hidden="1" x14ac:dyDescent="0.25">
      <c r="Y15255" s="501"/>
    </row>
    <row r="15256" spans="25:25" hidden="1" x14ac:dyDescent="0.25">
      <c r="Y15256" s="501"/>
    </row>
    <row r="15257" spans="25:25" hidden="1" x14ac:dyDescent="0.25">
      <c r="Y15257" s="501"/>
    </row>
    <row r="15258" spans="25:25" hidden="1" x14ac:dyDescent="0.25">
      <c r="Y15258" s="501"/>
    </row>
    <row r="15259" spans="25:25" hidden="1" x14ac:dyDescent="0.25">
      <c r="Y15259" s="501"/>
    </row>
    <row r="15260" spans="25:25" hidden="1" x14ac:dyDescent="0.25">
      <c r="Y15260" s="501"/>
    </row>
    <row r="15261" spans="25:25" hidden="1" x14ac:dyDescent="0.25">
      <c r="Y15261" s="501"/>
    </row>
    <row r="15262" spans="25:25" hidden="1" x14ac:dyDescent="0.25">
      <c r="Y15262" s="501"/>
    </row>
    <row r="15263" spans="25:25" hidden="1" x14ac:dyDescent="0.25">
      <c r="Y15263" s="501"/>
    </row>
    <row r="15264" spans="25:25" hidden="1" x14ac:dyDescent="0.25">
      <c r="Y15264" s="501"/>
    </row>
    <row r="15265" spans="25:25" hidden="1" x14ac:dyDescent="0.25">
      <c r="Y15265" s="501"/>
    </row>
    <row r="15266" spans="25:25" hidden="1" x14ac:dyDescent="0.25">
      <c r="Y15266" s="501"/>
    </row>
    <row r="15267" spans="25:25" hidden="1" x14ac:dyDescent="0.25">
      <c r="Y15267" s="501"/>
    </row>
    <row r="15268" spans="25:25" hidden="1" x14ac:dyDescent="0.25">
      <c r="Y15268" s="501"/>
    </row>
    <row r="15269" spans="25:25" hidden="1" x14ac:dyDescent="0.25">
      <c r="Y15269" s="501"/>
    </row>
    <row r="15270" spans="25:25" hidden="1" x14ac:dyDescent="0.25">
      <c r="Y15270" s="501"/>
    </row>
    <row r="15271" spans="25:25" hidden="1" x14ac:dyDescent="0.25">
      <c r="Y15271" s="501"/>
    </row>
    <row r="15272" spans="25:25" hidden="1" x14ac:dyDescent="0.25">
      <c r="Y15272" s="501"/>
    </row>
    <row r="15273" spans="25:25" hidden="1" x14ac:dyDescent="0.25">
      <c r="Y15273" s="501"/>
    </row>
    <row r="15274" spans="25:25" hidden="1" x14ac:dyDescent="0.25">
      <c r="Y15274" s="501"/>
    </row>
    <row r="15275" spans="25:25" hidden="1" x14ac:dyDescent="0.25">
      <c r="Y15275" s="501"/>
    </row>
    <row r="15276" spans="25:25" hidden="1" x14ac:dyDescent="0.25">
      <c r="Y15276" s="501"/>
    </row>
    <row r="15277" spans="25:25" hidden="1" x14ac:dyDescent="0.25">
      <c r="Y15277" s="501"/>
    </row>
    <row r="15278" spans="25:25" hidden="1" x14ac:dyDescent="0.25">
      <c r="Y15278" s="501"/>
    </row>
    <row r="15279" spans="25:25" hidden="1" x14ac:dyDescent="0.25">
      <c r="Y15279" s="501"/>
    </row>
    <row r="15280" spans="25:25" hidden="1" x14ac:dyDescent="0.25">
      <c r="Y15280" s="501"/>
    </row>
    <row r="15281" spans="25:25" hidden="1" x14ac:dyDescent="0.25">
      <c r="Y15281" s="501"/>
    </row>
    <row r="15282" spans="25:25" hidden="1" x14ac:dyDescent="0.25">
      <c r="Y15282" s="501"/>
    </row>
    <row r="15283" spans="25:25" hidden="1" x14ac:dyDescent="0.25">
      <c r="Y15283" s="501"/>
    </row>
    <row r="15284" spans="25:25" hidden="1" x14ac:dyDescent="0.25">
      <c r="Y15284" s="501"/>
    </row>
    <row r="15285" spans="25:25" hidden="1" x14ac:dyDescent="0.25">
      <c r="Y15285" s="501"/>
    </row>
    <row r="15286" spans="25:25" hidden="1" x14ac:dyDescent="0.25">
      <c r="Y15286" s="501"/>
    </row>
    <row r="15287" spans="25:25" hidden="1" x14ac:dyDescent="0.25">
      <c r="Y15287" s="501"/>
    </row>
    <row r="15288" spans="25:25" hidden="1" x14ac:dyDescent="0.25">
      <c r="Y15288" s="501"/>
    </row>
    <row r="15289" spans="25:25" hidden="1" x14ac:dyDescent="0.25">
      <c r="Y15289" s="501"/>
    </row>
    <row r="15290" spans="25:25" hidden="1" x14ac:dyDescent="0.25">
      <c r="Y15290" s="501"/>
    </row>
    <row r="15291" spans="25:25" hidden="1" x14ac:dyDescent="0.25">
      <c r="Y15291" s="501"/>
    </row>
    <row r="15292" spans="25:25" hidden="1" x14ac:dyDescent="0.25">
      <c r="Y15292" s="501"/>
    </row>
    <row r="15293" spans="25:25" hidden="1" x14ac:dyDescent="0.25">
      <c r="Y15293" s="501"/>
    </row>
    <row r="15294" spans="25:25" hidden="1" x14ac:dyDescent="0.25">
      <c r="Y15294" s="501"/>
    </row>
    <row r="15295" spans="25:25" hidden="1" x14ac:dyDescent="0.25">
      <c r="Y15295" s="501"/>
    </row>
    <row r="15296" spans="25:25" hidden="1" x14ac:dyDescent="0.25">
      <c r="Y15296" s="501"/>
    </row>
    <row r="15297" spans="25:25" hidden="1" x14ac:dyDescent="0.25">
      <c r="Y15297" s="501"/>
    </row>
    <row r="15298" spans="25:25" hidden="1" x14ac:dyDescent="0.25">
      <c r="Y15298" s="501"/>
    </row>
    <row r="15299" spans="25:25" hidden="1" x14ac:dyDescent="0.25">
      <c r="Y15299" s="501"/>
    </row>
    <row r="15300" spans="25:25" hidden="1" x14ac:dyDescent="0.25">
      <c r="Y15300" s="501"/>
    </row>
    <row r="15301" spans="25:25" hidden="1" x14ac:dyDescent="0.25">
      <c r="Y15301" s="501"/>
    </row>
    <row r="15302" spans="25:25" hidden="1" x14ac:dyDescent="0.25">
      <c r="Y15302" s="501"/>
    </row>
    <row r="15303" spans="25:25" hidden="1" x14ac:dyDescent="0.25">
      <c r="Y15303" s="501"/>
    </row>
    <row r="15304" spans="25:25" hidden="1" x14ac:dyDescent="0.25">
      <c r="Y15304" s="501"/>
    </row>
    <row r="15305" spans="25:25" hidden="1" x14ac:dyDescent="0.25">
      <c r="Y15305" s="501"/>
    </row>
    <row r="15306" spans="25:25" hidden="1" x14ac:dyDescent="0.25">
      <c r="Y15306" s="501"/>
    </row>
    <row r="15307" spans="25:25" hidden="1" x14ac:dyDescent="0.25">
      <c r="Y15307" s="501"/>
    </row>
    <row r="15308" spans="25:25" hidden="1" x14ac:dyDescent="0.25">
      <c r="Y15308" s="501"/>
    </row>
    <row r="15309" spans="25:25" hidden="1" x14ac:dyDescent="0.25">
      <c r="Y15309" s="501"/>
    </row>
    <row r="15310" spans="25:25" hidden="1" x14ac:dyDescent="0.25">
      <c r="Y15310" s="501"/>
    </row>
    <row r="15311" spans="25:25" hidden="1" x14ac:dyDescent="0.25">
      <c r="Y15311" s="501"/>
    </row>
    <row r="15312" spans="25:25" hidden="1" x14ac:dyDescent="0.25">
      <c r="Y15312" s="501"/>
    </row>
    <row r="15313" spans="25:25" hidden="1" x14ac:dyDescent="0.25">
      <c r="Y15313" s="501"/>
    </row>
    <row r="15314" spans="25:25" hidden="1" x14ac:dyDescent="0.25">
      <c r="Y15314" s="501"/>
    </row>
    <row r="15315" spans="25:25" hidden="1" x14ac:dyDescent="0.25">
      <c r="Y15315" s="501"/>
    </row>
    <row r="15316" spans="25:25" hidden="1" x14ac:dyDescent="0.25">
      <c r="Y15316" s="501"/>
    </row>
    <row r="15317" spans="25:25" hidden="1" x14ac:dyDescent="0.25">
      <c r="Y15317" s="501"/>
    </row>
    <row r="15318" spans="25:25" hidden="1" x14ac:dyDescent="0.25">
      <c r="Y15318" s="501"/>
    </row>
    <row r="15319" spans="25:25" hidden="1" x14ac:dyDescent="0.25">
      <c r="Y15319" s="501"/>
    </row>
    <row r="15320" spans="25:25" hidden="1" x14ac:dyDescent="0.25">
      <c r="Y15320" s="501"/>
    </row>
    <row r="15321" spans="25:25" hidden="1" x14ac:dyDescent="0.25">
      <c r="Y15321" s="501"/>
    </row>
    <row r="15322" spans="25:25" hidden="1" x14ac:dyDescent="0.25">
      <c r="Y15322" s="501"/>
    </row>
    <row r="15323" spans="25:25" hidden="1" x14ac:dyDescent="0.25">
      <c r="Y15323" s="501"/>
    </row>
    <row r="15324" spans="25:25" hidden="1" x14ac:dyDescent="0.25">
      <c r="Y15324" s="501"/>
    </row>
    <row r="15325" spans="25:25" hidden="1" x14ac:dyDescent="0.25">
      <c r="Y15325" s="501"/>
    </row>
    <row r="15326" spans="25:25" hidden="1" x14ac:dyDescent="0.25">
      <c r="Y15326" s="501"/>
    </row>
    <row r="15327" spans="25:25" hidden="1" x14ac:dyDescent="0.25">
      <c r="Y15327" s="501"/>
    </row>
    <row r="15328" spans="25:25" hidden="1" x14ac:dyDescent="0.25">
      <c r="Y15328" s="501"/>
    </row>
    <row r="15329" spans="25:25" hidden="1" x14ac:dyDescent="0.25">
      <c r="Y15329" s="501"/>
    </row>
    <row r="15330" spans="25:25" hidden="1" x14ac:dyDescent="0.25">
      <c r="Y15330" s="501"/>
    </row>
    <row r="15331" spans="25:25" hidden="1" x14ac:dyDescent="0.25">
      <c r="Y15331" s="501"/>
    </row>
    <row r="15332" spans="25:25" hidden="1" x14ac:dyDescent="0.25">
      <c r="Y15332" s="501"/>
    </row>
    <row r="15333" spans="25:25" hidden="1" x14ac:dyDescent="0.25">
      <c r="Y15333" s="501"/>
    </row>
    <row r="15334" spans="25:25" hidden="1" x14ac:dyDescent="0.25">
      <c r="Y15334" s="501"/>
    </row>
    <row r="15335" spans="25:25" hidden="1" x14ac:dyDescent="0.25">
      <c r="Y15335" s="501"/>
    </row>
    <row r="15336" spans="25:25" hidden="1" x14ac:dyDescent="0.25">
      <c r="Y15336" s="501"/>
    </row>
    <row r="15337" spans="25:25" hidden="1" x14ac:dyDescent="0.25">
      <c r="Y15337" s="501"/>
    </row>
    <row r="15338" spans="25:25" hidden="1" x14ac:dyDescent="0.25">
      <c r="Y15338" s="501"/>
    </row>
    <row r="15339" spans="25:25" hidden="1" x14ac:dyDescent="0.25">
      <c r="Y15339" s="501"/>
    </row>
    <row r="15340" spans="25:25" hidden="1" x14ac:dyDescent="0.25">
      <c r="Y15340" s="501"/>
    </row>
    <row r="15341" spans="25:25" hidden="1" x14ac:dyDescent="0.25">
      <c r="Y15341" s="501"/>
    </row>
    <row r="15342" spans="25:25" hidden="1" x14ac:dyDescent="0.25">
      <c r="Y15342" s="501"/>
    </row>
    <row r="15343" spans="25:25" hidden="1" x14ac:dyDescent="0.25">
      <c r="Y15343" s="501"/>
    </row>
    <row r="15344" spans="25:25" hidden="1" x14ac:dyDescent="0.25">
      <c r="Y15344" s="501"/>
    </row>
    <row r="15345" spans="25:25" hidden="1" x14ac:dyDescent="0.25">
      <c r="Y15345" s="501"/>
    </row>
    <row r="15346" spans="25:25" hidden="1" x14ac:dyDescent="0.25">
      <c r="Y15346" s="501"/>
    </row>
    <row r="15347" spans="25:25" hidden="1" x14ac:dyDescent="0.25">
      <c r="Y15347" s="501"/>
    </row>
    <row r="15348" spans="25:25" hidden="1" x14ac:dyDescent="0.25">
      <c r="Y15348" s="501"/>
    </row>
    <row r="15349" spans="25:25" hidden="1" x14ac:dyDescent="0.25">
      <c r="Y15349" s="501"/>
    </row>
    <row r="15350" spans="25:25" hidden="1" x14ac:dyDescent="0.25">
      <c r="Y15350" s="501"/>
    </row>
    <row r="15351" spans="25:25" hidden="1" x14ac:dyDescent="0.25">
      <c r="Y15351" s="501"/>
    </row>
    <row r="15352" spans="25:25" hidden="1" x14ac:dyDescent="0.25">
      <c r="Y15352" s="501"/>
    </row>
    <row r="15353" spans="25:25" hidden="1" x14ac:dyDescent="0.25">
      <c r="Y15353" s="501"/>
    </row>
    <row r="15354" spans="25:25" hidden="1" x14ac:dyDescent="0.25">
      <c r="Y15354" s="501"/>
    </row>
    <row r="15355" spans="25:25" hidden="1" x14ac:dyDescent="0.25">
      <c r="Y15355" s="501"/>
    </row>
    <row r="15356" spans="25:25" hidden="1" x14ac:dyDescent="0.25">
      <c r="Y15356" s="501"/>
    </row>
    <row r="15357" spans="25:25" hidden="1" x14ac:dyDescent="0.25">
      <c r="Y15357" s="501"/>
    </row>
    <row r="15358" spans="25:25" hidden="1" x14ac:dyDescent="0.25">
      <c r="Y15358" s="501"/>
    </row>
    <row r="15359" spans="25:25" hidden="1" x14ac:dyDescent="0.25">
      <c r="Y15359" s="501"/>
    </row>
    <row r="15360" spans="25:25" hidden="1" x14ac:dyDescent="0.25">
      <c r="Y15360" s="501"/>
    </row>
    <row r="15361" spans="25:25" hidden="1" x14ac:dyDescent="0.25">
      <c r="Y15361" s="501"/>
    </row>
    <row r="15362" spans="25:25" hidden="1" x14ac:dyDescent="0.25">
      <c r="Y15362" s="501"/>
    </row>
    <row r="15363" spans="25:25" hidden="1" x14ac:dyDescent="0.25">
      <c r="Y15363" s="501"/>
    </row>
    <row r="15364" spans="25:25" hidden="1" x14ac:dyDescent="0.25">
      <c r="Y15364" s="501"/>
    </row>
    <row r="15365" spans="25:25" hidden="1" x14ac:dyDescent="0.25">
      <c r="Y15365" s="501"/>
    </row>
    <row r="15366" spans="25:25" hidden="1" x14ac:dyDescent="0.25">
      <c r="Y15366" s="501"/>
    </row>
    <row r="15367" spans="25:25" hidden="1" x14ac:dyDescent="0.25">
      <c r="Y15367" s="501"/>
    </row>
    <row r="15368" spans="25:25" hidden="1" x14ac:dyDescent="0.25">
      <c r="Y15368" s="501"/>
    </row>
    <row r="15369" spans="25:25" hidden="1" x14ac:dyDescent="0.25">
      <c r="Y15369" s="501"/>
    </row>
    <row r="15370" spans="25:25" hidden="1" x14ac:dyDescent="0.25">
      <c r="Y15370" s="501"/>
    </row>
    <row r="15371" spans="25:25" hidden="1" x14ac:dyDescent="0.25">
      <c r="Y15371" s="501"/>
    </row>
    <row r="15372" spans="25:25" hidden="1" x14ac:dyDescent="0.25">
      <c r="Y15372" s="501"/>
    </row>
    <row r="15373" spans="25:25" hidden="1" x14ac:dyDescent="0.25">
      <c r="Y15373" s="501"/>
    </row>
    <row r="15374" spans="25:25" hidden="1" x14ac:dyDescent="0.25">
      <c r="Y15374" s="501"/>
    </row>
    <row r="15375" spans="25:25" hidden="1" x14ac:dyDescent="0.25">
      <c r="Y15375" s="501"/>
    </row>
    <row r="15376" spans="25:25" hidden="1" x14ac:dyDescent="0.25">
      <c r="Y15376" s="501"/>
    </row>
    <row r="15377" spans="25:25" hidden="1" x14ac:dyDescent="0.25">
      <c r="Y15377" s="501"/>
    </row>
    <row r="15378" spans="25:25" hidden="1" x14ac:dyDescent="0.25">
      <c r="Y15378" s="501"/>
    </row>
    <row r="15379" spans="25:25" hidden="1" x14ac:dyDescent="0.25">
      <c r="Y15379" s="501"/>
    </row>
    <row r="15380" spans="25:25" hidden="1" x14ac:dyDescent="0.25">
      <c r="Y15380" s="501"/>
    </row>
    <row r="15381" spans="25:25" hidden="1" x14ac:dyDescent="0.25">
      <c r="Y15381" s="501"/>
    </row>
    <row r="15382" spans="25:25" hidden="1" x14ac:dyDescent="0.25">
      <c r="Y15382" s="501"/>
    </row>
    <row r="15383" spans="25:25" hidden="1" x14ac:dyDescent="0.25">
      <c r="Y15383" s="501"/>
    </row>
    <row r="15384" spans="25:25" hidden="1" x14ac:dyDescent="0.25">
      <c r="Y15384" s="501"/>
    </row>
    <row r="15385" spans="25:25" hidden="1" x14ac:dyDescent="0.25">
      <c r="Y15385" s="501"/>
    </row>
    <row r="15386" spans="25:25" hidden="1" x14ac:dyDescent="0.25">
      <c r="Y15386" s="501"/>
    </row>
    <row r="15387" spans="25:25" hidden="1" x14ac:dyDescent="0.25">
      <c r="Y15387" s="501"/>
    </row>
    <row r="15388" spans="25:25" hidden="1" x14ac:dyDescent="0.25">
      <c r="Y15388" s="501"/>
    </row>
    <row r="15389" spans="25:25" hidden="1" x14ac:dyDescent="0.25">
      <c r="Y15389" s="501"/>
    </row>
    <row r="15390" spans="25:25" hidden="1" x14ac:dyDescent="0.25">
      <c r="Y15390" s="501"/>
    </row>
    <row r="15391" spans="25:25" hidden="1" x14ac:dyDescent="0.25">
      <c r="Y15391" s="501"/>
    </row>
    <row r="15392" spans="25:25" hidden="1" x14ac:dyDescent="0.25">
      <c r="Y15392" s="501"/>
    </row>
    <row r="15393" spans="25:25" hidden="1" x14ac:dyDescent="0.25">
      <c r="Y15393" s="501"/>
    </row>
    <row r="15394" spans="25:25" hidden="1" x14ac:dyDescent="0.25">
      <c r="Y15394" s="501"/>
    </row>
    <row r="15395" spans="25:25" hidden="1" x14ac:dyDescent="0.25">
      <c r="Y15395" s="501"/>
    </row>
    <row r="15396" spans="25:25" hidden="1" x14ac:dyDescent="0.25">
      <c r="Y15396" s="501"/>
    </row>
    <row r="15397" spans="25:25" hidden="1" x14ac:dyDescent="0.25">
      <c r="Y15397" s="501"/>
    </row>
    <row r="15398" spans="25:25" hidden="1" x14ac:dyDescent="0.25">
      <c r="Y15398" s="501"/>
    </row>
    <row r="15399" spans="25:25" hidden="1" x14ac:dyDescent="0.25">
      <c r="Y15399" s="501"/>
    </row>
    <row r="15400" spans="25:25" hidden="1" x14ac:dyDescent="0.25">
      <c r="Y15400" s="501"/>
    </row>
    <row r="15401" spans="25:25" hidden="1" x14ac:dyDescent="0.25">
      <c r="Y15401" s="501"/>
    </row>
    <row r="15402" spans="25:25" hidden="1" x14ac:dyDescent="0.25">
      <c r="Y15402" s="501"/>
    </row>
    <row r="15403" spans="25:25" hidden="1" x14ac:dyDescent="0.25">
      <c r="Y15403" s="501"/>
    </row>
    <row r="15404" spans="25:25" hidden="1" x14ac:dyDescent="0.25">
      <c r="Y15404" s="501"/>
    </row>
    <row r="15405" spans="25:25" hidden="1" x14ac:dyDescent="0.25">
      <c r="Y15405" s="501"/>
    </row>
    <row r="15406" spans="25:25" hidden="1" x14ac:dyDescent="0.25">
      <c r="Y15406" s="501"/>
    </row>
    <row r="15407" spans="25:25" hidden="1" x14ac:dyDescent="0.25">
      <c r="Y15407" s="501"/>
    </row>
    <row r="15408" spans="25:25" hidden="1" x14ac:dyDescent="0.25">
      <c r="Y15408" s="501"/>
    </row>
    <row r="15409" spans="25:25" hidden="1" x14ac:dyDescent="0.25">
      <c r="Y15409" s="501"/>
    </row>
    <row r="15410" spans="25:25" hidden="1" x14ac:dyDescent="0.25">
      <c r="Y15410" s="501"/>
    </row>
    <row r="15411" spans="25:25" hidden="1" x14ac:dyDescent="0.25">
      <c r="Y15411" s="501"/>
    </row>
    <row r="15412" spans="25:25" hidden="1" x14ac:dyDescent="0.25">
      <c r="Y15412" s="501"/>
    </row>
    <row r="15413" spans="25:25" hidden="1" x14ac:dyDescent="0.25">
      <c r="Y15413" s="501"/>
    </row>
    <row r="15414" spans="25:25" hidden="1" x14ac:dyDescent="0.25">
      <c r="Y15414" s="501"/>
    </row>
    <row r="15415" spans="25:25" hidden="1" x14ac:dyDescent="0.25">
      <c r="Y15415" s="501"/>
    </row>
    <row r="15416" spans="25:25" hidden="1" x14ac:dyDescent="0.25">
      <c r="Y15416" s="501"/>
    </row>
    <row r="15417" spans="25:25" hidden="1" x14ac:dyDescent="0.25">
      <c r="Y15417" s="501"/>
    </row>
    <row r="15418" spans="25:25" hidden="1" x14ac:dyDescent="0.25">
      <c r="Y15418" s="501"/>
    </row>
    <row r="15419" spans="25:25" hidden="1" x14ac:dyDescent="0.25">
      <c r="Y15419" s="501"/>
    </row>
    <row r="15420" spans="25:25" hidden="1" x14ac:dyDescent="0.25">
      <c r="Y15420" s="501"/>
    </row>
    <row r="15421" spans="25:25" hidden="1" x14ac:dyDescent="0.25">
      <c r="Y15421" s="501"/>
    </row>
    <row r="15422" spans="25:25" hidden="1" x14ac:dyDescent="0.25">
      <c r="Y15422" s="501"/>
    </row>
    <row r="15423" spans="25:25" hidden="1" x14ac:dyDescent="0.25">
      <c r="Y15423" s="501"/>
    </row>
    <row r="15424" spans="25:25" hidden="1" x14ac:dyDescent="0.25">
      <c r="Y15424" s="501"/>
    </row>
    <row r="15425" spans="25:25" hidden="1" x14ac:dyDescent="0.25">
      <c r="Y15425" s="501"/>
    </row>
    <row r="15426" spans="25:25" hidden="1" x14ac:dyDescent="0.25">
      <c r="Y15426" s="501"/>
    </row>
    <row r="15427" spans="25:25" hidden="1" x14ac:dyDescent="0.25">
      <c r="Y15427" s="501"/>
    </row>
    <row r="15428" spans="25:25" hidden="1" x14ac:dyDescent="0.25">
      <c r="Y15428" s="501"/>
    </row>
    <row r="15429" spans="25:25" hidden="1" x14ac:dyDescent="0.25">
      <c r="Y15429" s="501"/>
    </row>
    <row r="15430" spans="25:25" hidden="1" x14ac:dyDescent="0.25">
      <c r="Y15430" s="501"/>
    </row>
    <row r="15431" spans="25:25" hidden="1" x14ac:dyDescent="0.25">
      <c r="Y15431" s="501"/>
    </row>
    <row r="15432" spans="25:25" hidden="1" x14ac:dyDescent="0.25">
      <c r="Y15432" s="501"/>
    </row>
    <row r="15433" spans="25:25" hidden="1" x14ac:dyDescent="0.25">
      <c r="Y15433" s="501"/>
    </row>
    <row r="15434" spans="25:25" hidden="1" x14ac:dyDescent="0.25">
      <c r="Y15434" s="501"/>
    </row>
    <row r="15435" spans="25:25" hidden="1" x14ac:dyDescent="0.25">
      <c r="Y15435" s="501"/>
    </row>
    <row r="15436" spans="25:25" hidden="1" x14ac:dyDescent="0.25">
      <c r="Y15436" s="501"/>
    </row>
    <row r="15437" spans="25:25" hidden="1" x14ac:dyDescent="0.25">
      <c r="Y15437" s="501"/>
    </row>
    <row r="15438" spans="25:25" hidden="1" x14ac:dyDescent="0.25">
      <c r="Y15438" s="501"/>
    </row>
    <row r="15439" spans="25:25" hidden="1" x14ac:dyDescent="0.25">
      <c r="Y15439" s="501"/>
    </row>
    <row r="15440" spans="25:25" hidden="1" x14ac:dyDescent="0.25">
      <c r="Y15440" s="501"/>
    </row>
    <row r="15441" spans="25:25" hidden="1" x14ac:dyDescent="0.25">
      <c r="Y15441" s="501"/>
    </row>
    <row r="15442" spans="25:25" hidden="1" x14ac:dyDescent="0.25">
      <c r="Y15442" s="501"/>
    </row>
    <row r="15443" spans="25:25" hidden="1" x14ac:dyDescent="0.25">
      <c r="Y15443" s="501"/>
    </row>
    <row r="15444" spans="25:25" hidden="1" x14ac:dyDescent="0.25">
      <c r="Y15444" s="501"/>
    </row>
    <row r="15445" spans="25:25" hidden="1" x14ac:dyDescent="0.25">
      <c r="Y15445" s="501"/>
    </row>
    <row r="15446" spans="25:25" hidden="1" x14ac:dyDescent="0.25">
      <c r="Y15446" s="501"/>
    </row>
    <row r="15447" spans="25:25" hidden="1" x14ac:dyDescent="0.25">
      <c r="Y15447" s="501"/>
    </row>
    <row r="15448" spans="25:25" hidden="1" x14ac:dyDescent="0.25">
      <c r="Y15448" s="501"/>
    </row>
    <row r="15449" spans="25:25" hidden="1" x14ac:dyDescent="0.25">
      <c r="Y15449" s="501"/>
    </row>
    <row r="15450" spans="25:25" hidden="1" x14ac:dyDescent="0.25">
      <c r="Y15450" s="501"/>
    </row>
    <row r="15451" spans="25:25" hidden="1" x14ac:dyDescent="0.25">
      <c r="Y15451" s="501"/>
    </row>
    <row r="15452" spans="25:25" hidden="1" x14ac:dyDescent="0.25">
      <c r="Y15452" s="501"/>
    </row>
    <row r="15453" spans="25:25" hidden="1" x14ac:dyDescent="0.25">
      <c r="Y15453" s="501"/>
    </row>
    <row r="15454" spans="25:25" hidden="1" x14ac:dyDescent="0.25">
      <c r="Y15454" s="501"/>
    </row>
    <row r="15455" spans="25:25" hidden="1" x14ac:dyDescent="0.25">
      <c r="Y15455" s="501"/>
    </row>
    <row r="15456" spans="25:25" hidden="1" x14ac:dyDescent="0.25">
      <c r="Y15456" s="501"/>
    </row>
    <row r="15457" spans="25:25" hidden="1" x14ac:dyDescent="0.25">
      <c r="Y15457" s="501"/>
    </row>
    <row r="15458" spans="25:25" hidden="1" x14ac:dyDescent="0.25">
      <c r="Y15458" s="501"/>
    </row>
    <row r="15459" spans="25:25" hidden="1" x14ac:dyDescent="0.25">
      <c r="Y15459" s="501"/>
    </row>
    <row r="15460" spans="25:25" hidden="1" x14ac:dyDescent="0.25">
      <c r="Y15460" s="501"/>
    </row>
    <row r="15461" spans="25:25" hidden="1" x14ac:dyDescent="0.25">
      <c r="Y15461" s="501"/>
    </row>
    <row r="15462" spans="25:25" hidden="1" x14ac:dyDescent="0.25">
      <c r="Y15462" s="501"/>
    </row>
    <row r="15463" spans="25:25" hidden="1" x14ac:dyDescent="0.25">
      <c r="Y15463" s="501"/>
    </row>
    <row r="15464" spans="25:25" hidden="1" x14ac:dyDescent="0.25">
      <c r="Y15464" s="501"/>
    </row>
    <row r="15465" spans="25:25" hidden="1" x14ac:dyDescent="0.25">
      <c r="Y15465" s="501"/>
    </row>
    <row r="15466" spans="25:25" hidden="1" x14ac:dyDescent="0.25">
      <c r="Y15466" s="501"/>
    </row>
    <row r="15467" spans="25:25" hidden="1" x14ac:dyDescent="0.25">
      <c r="Y15467" s="501"/>
    </row>
    <row r="15468" spans="25:25" hidden="1" x14ac:dyDescent="0.25">
      <c r="Y15468" s="501"/>
    </row>
    <row r="15469" spans="25:25" hidden="1" x14ac:dyDescent="0.25">
      <c r="Y15469" s="501"/>
    </row>
    <row r="15470" spans="25:25" hidden="1" x14ac:dyDescent="0.25">
      <c r="Y15470" s="501"/>
    </row>
    <row r="15471" spans="25:25" hidden="1" x14ac:dyDescent="0.25">
      <c r="Y15471" s="501"/>
    </row>
    <row r="15472" spans="25:25" hidden="1" x14ac:dyDescent="0.25">
      <c r="Y15472" s="501"/>
    </row>
    <row r="15473" spans="25:25" hidden="1" x14ac:dyDescent="0.25">
      <c r="Y15473" s="501"/>
    </row>
    <row r="15474" spans="25:25" hidden="1" x14ac:dyDescent="0.25">
      <c r="Y15474" s="501"/>
    </row>
    <row r="15475" spans="25:25" hidden="1" x14ac:dyDescent="0.25">
      <c r="Y15475" s="501"/>
    </row>
    <row r="15476" spans="25:25" hidden="1" x14ac:dyDescent="0.25">
      <c r="Y15476" s="501"/>
    </row>
    <row r="15477" spans="25:25" hidden="1" x14ac:dyDescent="0.25">
      <c r="Y15477" s="501"/>
    </row>
    <row r="15478" spans="25:25" hidden="1" x14ac:dyDescent="0.25">
      <c r="Y15478" s="501"/>
    </row>
    <row r="15479" spans="25:25" hidden="1" x14ac:dyDescent="0.25">
      <c r="Y15479" s="501"/>
    </row>
    <row r="15480" spans="25:25" hidden="1" x14ac:dyDescent="0.25">
      <c r="Y15480" s="501"/>
    </row>
    <row r="15481" spans="25:25" hidden="1" x14ac:dyDescent="0.25">
      <c r="Y15481" s="501"/>
    </row>
    <row r="15482" spans="25:25" hidden="1" x14ac:dyDescent="0.25">
      <c r="Y15482" s="501"/>
    </row>
    <row r="15483" spans="25:25" hidden="1" x14ac:dyDescent="0.25">
      <c r="Y15483" s="501"/>
    </row>
    <row r="15484" spans="25:25" hidden="1" x14ac:dyDescent="0.25">
      <c r="Y15484" s="501"/>
    </row>
    <row r="15485" spans="25:25" hidden="1" x14ac:dyDescent="0.25">
      <c r="Y15485" s="501"/>
    </row>
    <row r="15486" spans="25:25" hidden="1" x14ac:dyDescent="0.25">
      <c r="Y15486" s="501"/>
    </row>
    <row r="15487" spans="25:25" hidden="1" x14ac:dyDescent="0.25">
      <c r="Y15487" s="501"/>
    </row>
    <row r="15488" spans="25:25" hidden="1" x14ac:dyDescent="0.25">
      <c r="Y15488" s="501"/>
    </row>
    <row r="15489" spans="25:25" hidden="1" x14ac:dyDescent="0.25">
      <c r="Y15489" s="501"/>
    </row>
    <row r="15490" spans="25:25" hidden="1" x14ac:dyDescent="0.25">
      <c r="Y15490" s="501"/>
    </row>
    <row r="15491" spans="25:25" hidden="1" x14ac:dyDescent="0.25">
      <c r="Y15491" s="501"/>
    </row>
    <row r="15492" spans="25:25" hidden="1" x14ac:dyDescent="0.25">
      <c r="Y15492" s="501"/>
    </row>
    <row r="15493" spans="25:25" hidden="1" x14ac:dyDescent="0.25">
      <c r="Y15493" s="501"/>
    </row>
    <row r="15494" spans="25:25" hidden="1" x14ac:dyDescent="0.25">
      <c r="Y15494" s="501"/>
    </row>
    <row r="15495" spans="25:25" hidden="1" x14ac:dyDescent="0.25">
      <c r="Y15495" s="501"/>
    </row>
    <row r="15496" spans="25:25" hidden="1" x14ac:dyDescent="0.25">
      <c r="Y15496" s="501"/>
    </row>
    <row r="15497" spans="25:25" hidden="1" x14ac:dyDescent="0.25">
      <c r="Y15497" s="501"/>
    </row>
    <row r="15498" spans="25:25" hidden="1" x14ac:dyDescent="0.25">
      <c r="Y15498" s="501"/>
    </row>
    <row r="15499" spans="25:25" hidden="1" x14ac:dyDescent="0.25">
      <c r="Y15499" s="501"/>
    </row>
    <row r="15500" spans="25:25" hidden="1" x14ac:dyDescent="0.25">
      <c r="Y15500" s="501"/>
    </row>
    <row r="15501" spans="25:25" hidden="1" x14ac:dyDescent="0.25">
      <c r="Y15501" s="501"/>
    </row>
    <row r="15502" spans="25:25" hidden="1" x14ac:dyDescent="0.25">
      <c r="Y15502" s="501"/>
    </row>
    <row r="15503" spans="25:25" hidden="1" x14ac:dyDescent="0.25">
      <c r="Y15503" s="501"/>
    </row>
    <row r="15504" spans="25:25" hidden="1" x14ac:dyDescent="0.25">
      <c r="Y15504" s="501"/>
    </row>
    <row r="15505" spans="25:25" hidden="1" x14ac:dyDescent="0.25">
      <c r="Y15505" s="501"/>
    </row>
    <row r="15506" spans="25:25" hidden="1" x14ac:dyDescent="0.25">
      <c r="Y15506" s="501"/>
    </row>
    <row r="15507" spans="25:25" hidden="1" x14ac:dyDescent="0.25">
      <c r="Y15507" s="501"/>
    </row>
    <row r="15508" spans="25:25" hidden="1" x14ac:dyDescent="0.25">
      <c r="Y15508" s="501"/>
    </row>
    <row r="15509" spans="25:25" hidden="1" x14ac:dyDescent="0.25">
      <c r="Y15509" s="501"/>
    </row>
    <row r="15510" spans="25:25" hidden="1" x14ac:dyDescent="0.25">
      <c r="Y15510" s="501"/>
    </row>
    <row r="15511" spans="25:25" hidden="1" x14ac:dyDescent="0.25">
      <c r="Y15511" s="501"/>
    </row>
    <row r="15512" spans="25:25" hidden="1" x14ac:dyDescent="0.25">
      <c r="Y15512" s="501"/>
    </row>
    <row r="15513" spans="25:25" hidden="1" x14ac:dyDescent="0.25">
      <c r="Y15513" s="501"/>
    </row>
    <row r="15514" spans="25:25" hidden="1" x14ac:dyDescent="0.25">
      <c r="Y15514" s="501"/>
    </row>
    <row r="15515" spans="25:25" hidden="1" x14ac:dyDescent="0.25">
      <c r="Y15515" s="501"/>
    </row>
    <row r="15516" spans="25:25" hidden="1" x14ac:dyDescent="0.25">
      <c r="Y15516" s="501"/>
    </row>
    <row r="15517" spans="25:25" hidden="1" x14ac:dyDescent="0.25">
      <c r="Y15517" s="501"/>
    </row>
    <row r="15518" spans="25:25" hidden="1" x14ac:dyDescent="0.25">
      <c r="Y15518" s="501"/>
    </row>
    <row r="15519" spans="25:25" hidden="1" x14ac:dyDescent="0.25">
      <c r="Y15519" s="501"/>
    </row>
    <row r="15520" spans="25:25" hidden="1" x14ac:dyDescent="0.25">
      <c r="Y15520" s="501"/>
    </row>
    <row r="15521" spans="25:25" hidden="1" x14ac:dyDescent="0.25">
      <c r="Y15521" s="501"/>
    </row>
    <row r="15522" spans="25:25" hidden="1" x14ac:dyDescent="0.25">
      <c r="Y15522" s="501"/>
    </row>
    <row r="15523" spans="25:25" hidden="1" x14ac:dyDescent="0.25">
      <c r="Y15523" s="501"/>
    </row>
    <row r="15524" spans="25:25" hidden="1" x14ac:dyDescent="0.25">
      <c r="Y15524" s="501"/>
    </row>
    <row r="15525" spans="25:25" hidden="1" x14ac:dyDescent="0.25">
      <c r="Y15525" s="501"/>
    </row>
    <row r="15526" spans="25:25" hidden="1" x14ac:dyDescent="0.25">
      <c r="Y15526" s="501"/>
    </row>
    <row r="15527" spans="25:25" hidden="1" x14ac:dyDescent="0.25">
      <c r="Y15527" s="501"/>
    </row>
    <row r="15528" spans="25:25" hidden="1" x14ac:dyDescent="0.25">
      <c r="Y15528" s="501"/>
    </row>
    <row r="15529" spans="25:25" hidden="1" x14ac:dyDescent="0.25">
      <c r="Y15529" s="501"/>
    </row>
    <row r="15530" spans="25:25" hidden="1" x14ac:dyDescent="0.25">
      <c r="Y15530" s="501"/>
    </row>
    <row r="15531" spans="25:25" hidden="1" x14ac:dyDescent="0.25">
      <c r="Y15531" s="501"/>
    </row>
    <row r="15532" spans="25:25" hidden="1" x14ac:dyDescent="0.25">
      <c r="Y15532" s="501"/>
    </row>
    <row r="15533" spans="25:25" hidden="1" x14ac:dyDescent="0.25">
      <c r="Y15533" s="501"/>
    </row>
    <row r="15534" spans="25:25" hidden="1" x14ac:dyDescent="0.25">
      <c r="Y15534" s="501"/>
    </row>
    <row r="15535" spans="25:25" hidden="1" x14ac:dyDescent="0.25">
      <c r="Y15535" s="501"/>
    </row>
    <row r="15536" spans="25:25" hidden="1" x14ac:dyDescent="0.25">
      <c r="Y15536" s="501"/>
    </row>
    <row r="15537" spans="25:25" hidden="1" x14ac:dyDescent="0.25">
      <c r="Y15537" s="501"/>
    </row>
    <row r="15538" spans="25:25" hidden="1" x14ac:dyDescent="0.25">
      <c r="Y15538" s="501"/>
    </row>
    <row r="15539" spans="25:25" hidden="1" x14ac:dyDescent="0.25">
      <c r="Y15539" s="501"/>
    </row>
    <row r="15540" spans="25:25" hidden="1" x14ac:dyDescent="0.25">
      <c r="Y15540" s="501"/>
    </row>
    <row r="15541" spans="25:25" hidden="1" x14ac:dyDescent="0.25">
      <c r="Y15541" s="501"/>
    </row>
    <row r="15542" spans="25:25" hidden="1" x14ac:dyDescent="0.25">
      <c r="Y15542" s="501"/>
    </row>
    <row r="15543" spans="25:25" hidden="1" x14ac:dyDescent="0.25">
      <c r="Y15543" s="501"/>
    </row>
    <row r="15544" spans="25:25" hidden="1" x14ac:dyDescent="0.25">
      <c r="Y15544" s="501"/>
    </row>
    <row r="15545" spans="25:25" hidden="1" x14ac:dyDescent="0.25">
      <c r="Y15545" s="501"/>
    </row>
    <row r="15546" spans="25:25" hidden="1" x14ac:dyDescent="0.25">
      <c r="Y15546" s="501"/>
    </row>
    <row r="15547" spans="25:25" hidden="1" x14ac:dyDescent="0.25">
      <c r="Y15547" s="501"/>
    </row>
    <row r="15548" spans="25:25" hidden="1" x14ac:dyDescent="0.25">
      <c r="Y15548" s="501"/>
    </row>
    <row r="15549" spans="25:25" hidden="1" x14ac:dyDescent="0.25">
      <c r="Y15549" s="501"/>
    </row>
    <row r="15550" spans="25:25" hidden="1" x14ac:dyDescent="0.25">
      <c r="Y15550" s="501"/>
    </row>
    <row r="15551" spans="25:25" hidden="1" x14ac:dyDescent="0.25">
      <c r="Y15551" s="501"/>
    </row>
    <row r="15552" spans="25:25" hidden="1" x14ac:dyDescent="0.25">
      <c r="Y15552" s="501"/>
    </row>
    <row r="15553" spans="25:25" hidden="1" x14ac:dyDescent="0.25">
      <c r="Y15553" s="501"/>
    </row>
    <row r="15554" spans="25:25" hidden="1" x14ac:dyDescent="0.25">
      <c r="Y15554" s="501"/>
    </row>
    <row r="15555" spans="25:25" hidden="1" x14ac:dyDescent="0.25">
      <c r="Y15555" s="501"/>
    </row>
    <row r="15556" spans="25:25" hidden="1" x14ac:dyDescent="0.25">
      <c r="Y15556" s="501"/>
    </row>
    <row r="15557" spans="25:25" hidden="1" x14ac:dyDescent="0.25">
      <c r="Y15557" s="501"/>
    </row>
    <row r="15558" spans="25:25" hidden="1" x14ac:dyDescent="0.25">
      <c r="Y15558" s="501"/>
    </row>
    <row r="15559" spans="25:25" hidden="1" x14ac:dyDescent="0.25">
      <c r="Y15559" s="501"/>
    </row>
    <row r="15560" spans="25:25" hidden="1" x14ac:dyDescent="0.25">
      <c r="Y15560" s="501"/>
    </row>
    <row r="15561" spans="25:25" hidden="1" x14ac:dyDescent="0.25">
      <c r="Y15561" s="501"/>
    </row>
    <row r="15562" spans="25:25" hidden="1" x14ac:dyDescent="0.25">
      <c r="Y15562" s="501"/>
    </row>
    <row r="15563" spans="25:25" hidden="1" x14ac:dyDescent="0.25">
      <c r="Y15563" s="501"/>
    </row>
    <row r="15564" spans="25:25" hidden="1" x14ac:dyDescent="0.25">
      <c r="Y15564" s="501"/>
    </row>
    <row r="15565" spans="25:25" hidden="1" x14ac:dyDescent="0.25">
      <c r="Y15565" s="501"/>
    </row>
    <row r="15566" spans="25:25" hidden="1" x14ac:dyDescent="0.25">
      <c r="Y15566" s="501"/>
    </row>
    <row r="15567" spans="25:25" hidden="1" x14ac:dyDescent="0.25">
      <c r="Y15567" s="501"/>
    </row>
    <row r="15568" spans="25:25" hidden="1" x14ac:dyDescent="0.25">
      <c r="Y15568" s="501"/>
    </row>
    <row r="15569" spans="25:25" hidden="1" x14ac:dyDescent="0.25">
      <c r="Y15569" s="501"/>
    </row>
    <row r="15570" spans="25:25" hidden="1" x14ac:dyDescent="0.25">
      <c r="Y15570" s="501"/>
    </row>
    <row r="15571" spans="25:25" hidden="1" x14ac:dyDescent="0.25">
      <c r="Y15571" s="501"/>
    </row>
    <row r="15572" spans="25:25" hidden="1" x14ac:dyDescent="0.25">
      <c r="Y15572" s="501"/>
    </row>
    <row r="15573" spans="25:25" hidden="1" x14ac:dyDescent="0.25">
      <c r="Y15573" s="501"/>
    </row>
    <row r="15574" spans="25:25" hidden="1" x14ac:dyDescent="0.25">
      <c r="Y15574" s="501"/>
    </row>
    <row r="15575" spans="25:25" hidden="1" x14ac:dyDescent="0.25">
      <c r="Y15575" s="501"/>
    </row>
    <row r="15576" spans="25:25" hidden="1" x14ac:dyDescent="0.25">
      <c r="Y15576" s="501"/>
    </row>
    <row r="15577" spans="25:25" hidden="1" x14ac:dyDescent="0.25">
      <c r="Y15577" s="501"/>
    </row>
    <row r="15578" spans="25:25" hidden="1" x14ac:dyDescent="0.25">
      <c r="Y15578" s="501"/>
    </row>
    <row r="15579" spans="25:25" hidden="1" x14ac:dyDescent="0.25">
      <c r="Y15579" s="501"/>
    </row>
    <row r="15580" spans="25:25" hidden="1" x14ac:dyDescent="0.25">
      <c r="Y15580" s="501"/>
    </row>
    <row r="15581" spans="25:25" hidden="1" x14ac:dyDescent="0.25">
      <c r="Y15581" s="501"/>
    </row>
    <row r="15582" spans="25:25" hidden="1" x14ac:dyDescent="0.25">
      <c r="Y15582" s="501"/>
    </row>
    <row r="15583" spans="25:25" hidden="1" x14ac:dyDescent="0.25">
      <c r="Y15583" s="501"/>
    </row>
    <row r="15584" spans="25:25" hidden="1" x14ac:dyDescent="0.25">
      <c r="Y15584" s="501"/>
    </row>
    <row r="15585" spans="25:25" hidden="1" x14ac:dyDescent="0.25">
      <c r="Y15585" s="501"/>
    </row>
    <row r="15586" spans="25:25" hidden="1" x14ac:dyDescent="0.25">
      <c r="Y15586" s="501"/>
    </row>
    <row r="15587" spans="25:25" hidden="1" x14ac:dyDescent="0.25">
      <c r="Y15587" s="501"/>
    </row>
    <row r="15588" spans="25:25" hidden="1" x14ac:dyDescent="0.25">
      <c r="Y15588" s="501"/>
    </row>
    <row r="15589" spans="25:25" hidden="1" x14ac:dyDescent="0.25">
      <c r="Y15589" s="501"/>
    </row>
    <row r="15590" spans="25:25" hidden="1" x14ac:dyDescent="0.25">
      <c r="Y15590" s="501"/>
    </row>
    <row r="15591" spans="25:25" hidden="1" x14ac:dyDescent="0.25">
      <c r="Y15591" s="501"/>
    </row>
    <row r="15592" spans="25:25" hidden="1" x14ac:dyDescent="0.25">
      <c r="Y15592" s="501"/>
    </row>
    <row r="15593" spans="25:25" hidden="1" x14ac:dyDescent="0.25">
      <c r="Y15593" s="501"/>
    </row>
    <row r="15594" spans="25:25" hidden="1" x14ac:dyDescent="0.25">
      <c r="Y15594" s="501"/>
    </row>
    <row r="15595" spans="25:25" hidden="1" x14ac:dyDescent="0.25">
      <c r="Y15595" s="501"/>
    </row>
    <row r="15596" spans="25:25" hidden="1" x14ac:dyDescent="0.25">
      <c r="Y15596" s="501"/>
    </row>
    <row r="15597" spans="25:25" hidden="1" x14ac:dyDescent="0.25">
      <c r="Y15597" s="501"/>
    </row>
    <row r="15598" spans="25:25" hidden="1" x14ac:dyDescent="0.25">
      <c r="Y15598" s="501"/>
    </row>
    <row r="15599" spans="25:25" hidden="1" x14ac:dyDescent="0.25">
      <c r="Y15599" s="501"/>
    </row>
    <row r="15600" spans="25:25" hidden="1" x14ac:dyDescent="0.25">
      <c r="Y15600" s="501"/>
    </row>
    <row r="15601" spans="25:25" hidden="1" x14ac:dyDescent="0.25">
      <c r="Y15601" s="501"/>
    </row>
    <row r="15602" spans="25:25" hidden="1" x14ac:dyDescent="0.25">
      <c r="Y15602" s="501"/>
    </row>
    <row r="15603" spans="25:25" hidden="1" x14ac:dyDescent="0.25">
      <c r="Y15603" s="501"/>
    </row>
    <row r="15604" spans="25:25" hidden="1" x14ac:dyDescent="0.25">
      <c r="Y15604" s="501"/>
    </row>
    <row r="15605" spans="25:25" hidden="1" x14ac:dyDescent="0.25">
      <c r="Y15605" s="501"/>
    </row>
    <row r="15606" spans="25:25" hidden="1" x14ac:dyDescent="0.25">
      <c r="Y15606" s="501"/>
    </row>
    <row r="15607" spans="25:25" hidden="1" x14ac:dyDescent="0.25">
      <c r="Y15607" s="501"/>
    </row>
    <row r="15608" spans="25:25" hidden="1" x14ac:dyDescent="0.25">
      <c r="Y15608" s="501"/>
    </row>
    <row r="15609" spans="25:25" hidden="1" x14ac:dyDescent="0.25">
      <c r="Y15609" s="501"/>
    </row>
    <row r="15610" spans="25:25" hidden="1" x14ac:dyDescent="0.25">
      <c r="Y15610" s="501"/>
    </row>
    <row r="15611" spans="25:25" hidden="1" x14ac:dyDescent="0.25">
      <c r="Y15611" s="501"/>
    </row>
    <row r="15612" spans="25:25" hidden="1" x14ac:dyDescent="0.25">
      <c r="Y15612" s="501"/>
    </row>
    <row r="15613" spans="25:25" hidden="1" x14ac:dyDescent="0.25">
      <c r="Y15613" s="501"/>
    </row>
    <row r="15614" spans="25:25" hidden="1" x14ac:dyDescent="0.25">
      <c r="Y15614" s="501"/>
    </row>
    <row r="15615" spans="25:25" hidden="1" x14ac:dyDescent="0.25">
      <c r="Y15615" s="501"/>
    </row>
    <row r="15616" spans="25:25" hidden="1" x14ac:dyDescent="0.25">
      <c r="Y15616" s="501"/>
    </row>
    <row r="15617" spans="25:25" hidden="1" x14ac:dyDescent="0.25">
      <c r="Y15617" s="501"/>
    </row>
    <row r="15618" spans="25:25" hidden="1" x14ac:dyDescent="0.25">
      <c r="Y15618" s="501"/>
    </row>
    <row r="15619" spans="25:25" hidden="1" x14ac:dyDescent="0.25">
      <c r="Y15619" s="501"/>
    </row>
    <row r="15620" spans="25:25" hidden="1" x14ac:dyDescent="0.25">
      <c r="Y15620" s="501"/>
    </row>
    <row r="15621" spans="25:25" hidden="1" x14ac:dyDescent="0.25">
      <c r="Y15621" s="501"/>
    </row>
    <row r="15622" spans="25:25" hidden="1" x14ac:dyDescent="0.25">
      <c r="Y15622" s="501"/>
    </row>
    <row r="15623" spans="25:25" hidden="1" x14ac:dyDescent="0.25">
      <c r="Y15623" s="501"/>
    </row>
    <row r="15624" spans="25:25" hidden="1" x14ac:dyDescent="0.25">
      <c r="Y15624" s="501"/>
    </row>
    <row r="15625" spans="25:25" hidden="1" x14ac:dyDescent="0.25">
      <c r="Y15625" s="501"/>
    </row>
    <row r="15626" spans="25:25" hidden="1" x14ac:dyDescent="0.25">
      <c r="Y15626" s="501"/>
    </row>
    <row r="15627" spans="25:25" hidden="1" x14ac:dyDescent="0.25">
      <c r="Y15627" s="501"/>
    </row>
    <row r="15628" spans="25:25" hidden="1" x14ac:dyDescent="0.25">
      <c r="Y15628" s="501"/>
    </row>
    <row r="15629" spans="25:25" hidden="1" x14ac:dyDescent="0.25">
      <c r="Y15629" s="501"/>
    </row>
    <row r="15630" spans="25:25" hidden="1" x14ac:dyDescent="0.25">
      <c r="Y15630" s="501"/>
    </row>
    <row r="15631" spans="25:25" hidden="1" x14ac:dyDescent="0.25">
      <c r="Y15631" s="501"/>
    </row>
    <row r="15632" spans="25:25" hidden="1" x14ac:dyDescent="0.25">
      <c r="Y15632" s="501"/>
    </row>
    <row r="15633" spans="25:25" hidden="1" x14ac:dyDescent="0.25">
      <c r="Y15633" s="501"/>
    </row>
    <row r="15634" spans="25:25" hidden="1" x14ac:dyDescent="0.25">
      <c r="Y15634" s="501"/>
    </row>
    <row r="15635" spans="25:25" hidden="1" x14ac:dyDescent="0.25">
      <c r="Y15635" s="501"/>
    </row>
    <row r="15636" spans="25:25" hidden="1" x14ac:dyDescent="0.25">
      <c r="Y15636" s="501"/>
    </row>
    <row r="15637" spans="25:25" hidden="1" x14ac:dyDescent="0.25">
      <c r="Y15637" s="501"/>
    </row>
    <row r="15638" spans="25:25" hidden="1" x14ac:dyDescent="0.25">
      <c r="Y15638" s="501"/>
    </row>
    <row r="15639" spans="25:25" hidden="1" x14ac:dyDescent="0.25">
      <c r="Y15639" s="501"/>
    </row>
    <row r="15640" spans="25:25" hidden="1" x14ac:dyDescent="0.25">
      <c r="Y15640" s="501"/>
    </row>
    <row r="15641" spans="25:25" hidden="1" x14ac:dyDescent="0.25">
      <c r="Y15641" s="501"/>
    </row>
    <row r="15642" spans="25:25" hidden="1" x14ac:dyDescent="0.25">
      <c r="Y15642" s="501"/>
    </row>
    <row r="15643" spans="25:25" hidden="1" x14ac:dyDescent="0.25">
      <c r="Y15643" s="501"/>
    </row>
    <row r="15644" spans="25:25" hidden="1" x14ac:dyDescent="0.25">
      <c r="Y15644" s="501"/>
    </row>
    <row r="15645" spans="25:25" hidden="1" x14ac:dyDescent="0.25">
      <c r="Y15645" s="501"/>
    </row>
    <row r="15646" spans="25:25" hidden="1" x14ac:dyDescent="0.25">
      <c r="Y15646" s="501"/>
    </row>
    <row r="15647" spans="25:25" hidden="1" x14ac:dyDescent="0.25">
      <c r="Y15647" s="501"/>
    </row>
    <row r="15648" spans="25:25" hidden="1" x14ac:dyDescent="0.25">
      <c r="Y15648" s="501"/>
    </row>
    <row r="15649" spans="25:25" hidden="1" x14ac:dyDescent="0.25">
      <c r="Y15649" s="501"/>
    </row>
    <row r="15650" spans="25:25" hidden="1" x14ac:dyDescent="0.25">
      <c r="Y15650" s="501"/>
    </row>
    <row r="15651" spans="25:25" hidden="1" x14ac:dyDescent="0.25">
      <c r="Y15651" s="501"/>
    </row>
    <row r="15652" spans="25:25" hidden="1" x14ac:dyDescent="0.25">
      <c r="Y15652" s="501"/>
    </row>
    <row r="15653" spans="25:25" hidden="1" x14ac:dyDescent="0.25">
      <c r="Y15653" s="501"/>
    </row>
    <row r="15654" spans="25:25" hidden="1" x14ac:dyDescent="0.25">
      <c r="Y15654" s="501"/>
    </row>
    <row r="15655" spans="25:25" hidden="1" x14ac:dyDescent="0.25">
      <c r="Y15655" s="501"/>
    </row>
    <row r="15656" spans="25:25" hidden="1" x14ac:dyDescent="0.25">
      <c r="Y15656" s="501"/>
    </row>
    <row r="15657" spans="25:25" hidden="1" x14ac:dyDescent="0.25">
      <c r="Y15657" s="501"/>
    </row>
    <row r="15658" spans="25:25" hidden="1" x14ac:dyDescent="0.25">
      <c r="Y15658" s="501"/>
    </row>
    <row r="15659" spans="25:25" hidden="1" x14ac:dyDescent="0.25">
      <c r="Y15659" s="501"/>
    </row>
    <row r="15660" spans="25:25" hidden="1" x14ac:dyDescent="0.25">
      <c r="Y15660" s="501"/>
    </row>
    <row r="15661" spans="25:25" hidden="1" x14ac:dyDescent="0.25">
      <c r="Y15661" s="501"/>
    </row>
    <row r="15662" spans="25:25" hidden="1" x14ac:dyDescent="0.25">
      <c r="Y15662" s="501"/>
    </row>
    <row r="15663" spans="25:25" hidden="1" x14ac:dyDescent="0.25">
      <c r="Y15663" s="501"/>
    </row>
    <row r="15664" spans="25:25" hidden="1" x14ac:dyDescent="0.25">
      <c r="Y15664" s="501"/>
    </row>
    <row r="15665" spans="25:25" hidden="1" x14ac:dyDescent="0.25">
      <c r="Y15665" s="501"/>
    </row>
    <row r="15666" spans="25:25" hidden="1" x14ac:dyDescent="0.25">
      <c r="Y15666" s="501"/>
    </row>
    <row r="15667" spans="25:25" hidden="1" x14ac:dyDescent="0.25">
      <c r="Y15667" s="501"/>
    </row>
    <row r="15668" spans="25:25" hidden="1" x14ac:dyDescent="0.25">
      <c r="Y15668" s="501"/>
    </row>
    <row r="15669" spans="25:25" hidden="1" x14ac:dyDescent="0.25">
      <c r="Y15669" s="501"/>
    </row>
    <row r="15670" spans="25:25" hidden="1" x14ac:dyDescent="0.25">
      <c r="Y15670" s="501"/>
    </row>
    <row r="15671" spans="25:25" hidden="1" x14ac:dyDescent="0.25">
      <c r="Y15671" s="501"/>
    </row>
    <row r="15672" spans="25:25" hidden="1" x14ac:dyDescent="0.25">
      <c r="Y15672" s="501"/>
    </row>
    <row r="15673" spans="25:25" hidden="1" x14ac:dyDescent="0.25">
      <c r="Y15673" s="501"/>
    </row>
    <row r="15674" spans="25:25" hidden="1" x14ac:dyDescent="0.25">
      <c r="Y15674" s="501"/>
    </row>
    <row r="15675" spans="25:25" hidden="1" x14ac:dyDescent="0.25">
      <c r="Y15675" s="501"/>
    </row>
    <row r="15676" spans="25:25" hidden="1" x14ac:dyDescent="0.25">
      <c r="Y15676" s="501"/>
    </row>
    <row r="15677" spans="25:25" hidden="1" x14ac:dyDescent="0.25">
      <c r="Y15677" s="501"/>
    </row>
    <row r="15678" spans="25:25" hidden="1" x14ac:dyDescent="0.25">
      <c r="Y15678" s="501"/>
    </row>
    <row r="15679" spans="25:25" hidden="1" x14ac:dyDescent="0.25">
      <c r="Y15679" s="501"/>
    </row>
    <row r="15680" spans="25:25" hidden="1" x14ac:dyDescent="0.25">
      <c r="Y15680" s="501"/>
    </row>
    <row r="15681" spans="25:25" hidden="1" x14ac:dyDescent="0.25">
      <c r="Y15681" s="501"/>
    </row>
    <row r="15682" spans="25:25" hidden="1" x14ac:dyDescent="0.25">
      <c r="Y15682" s="501"/>
    </row>
    <row r="15683" spans="25:25" hidden="1" x14ac:dyDescent="0.25">
      <c r="Y15683" s="501"/>
    </row>
    <row r="15684" spans="25:25" hidden="1" x14ac:dyDescent="0.25">
      <c r="Y15684" s="501"/>
    </row>
    <row r="15685" spans="25:25" hidden="1" x14ac:dyDescent="0.25">
      <c r="Y15685" s="501"/>
    </row>
    <row r="15686" spans="25:25" hidden="1" x14ac:dyDescent="0.25">
      <c r="Y15686" s="501"/>
    </row>
    <row r="15687" spans="25:25" hidden="1" x14ac:dyDescent="0.25">
      <c r="Y15687" s="501"/>
    </row>
    <row r="15688" spans="25:25" hidden="1" x14ac:dyDescent="0.25">
      <c r="Y15688" s="501"/>
    </row>
    <row r="15689" spans="25:25" hidden="1" x14ac:dyDescent="0.25">
      <c r="Y15689" s="501"/>
    </row>
    <row r="15690" spans="25:25" hidden="1" x14ac:dyDescent="0.25">
      <c r="Y15690" s="501"/>
    </row>
    <row r="15691" spans="25:25" hidden="1" x14ac:dyDescent="0.25">
      <c r="Y15691" s="501"/>
    </row>
    <row r="15692" spans="25:25" hidden="1" x14ac:dyDescent="0.25">
      <c r="Y15692" s="501"/>
    </row>
    <row r="15693" spans="25:25" hidden="1" x14ac:dyDescent="0.25">
      <c r="Y15693" s="501"/>
    </row>
    <row r="15694" spans="25:25" hidden="1" x14ac:dyDescent="0.25">
      <c r="Y15694" s="501"/>
    </row>
    <row r="15695" spans="25:25" hidden="1" x14ac:dyDescent="0.25">
      <c r="Y15695" s="501"/>
    </row>
    <row r="15696" spans="25:25" hidden="1" x14ac:dyDescent="0.25">
      <c r="Y15696" s="501"/>
    </row>
    <row r="15697" spans="25:25" hidden="1" x14ac:dyDescent="0.25">
      <c r="Y15697" s="501"/>
    </row>
    <row r="15698" spans="25:25" hidden="1" x14ac:dyDescent="0.25">
      <c r="Y15698" s="501"/>
    </row>
    <row r="15699" spans="25:25" hidden="1" x14ac:dyDescent="0.25">
      <c r="Y15699" s="501"/>
    </row>
    <row r="15700" spans="25:25" hidden="1" x14ac:dyDescent="0.25">
      <c r="Y15700" s="501"/>
    </row>
    <row r="15701" spans="25:25" hidden="1" x14ac:dyDescent="0.25">
      <c r="Y15701" s="501"/>
    </row>
    <row r="15702" spans="25:25" hidden="1" x14ac:dyDescent="0.25">
      <c r="Y15702" s="501"/>
    </row>
    <row r="15703" spans="25:25" hidden="1" x14ac:dyDescent="0.25">
      <c r="Y15703" s="501"/>
    </row>
    <row r="15704" spans="25:25" hidden="1" x14ac:dyDescent="0.25">
      <c r="Y15704" s="501"/>
    </row>
    <row r="15705" spans="25:25" hidden="1" x14ac:dyDescent="0.25">
      <c r="Y15705" s="501"/>
    </row>
    <row r="15706" spans="25:25" hidden="1" x14ac:dyDescent="0.25">
      <c r="Y15706" s="501"/>
    </row>
    <row r="15707" spans="25:25" hidden="1" x14ac:dyDescent="0.25">
      <c r="Y15707" s="501"/>
    </row>
    <row r="15708" spans="25:25" hidden="1" x14ac:dyDescent="0.25">
      <c r="Y15708" s="501"/>
    </row>
    <row r="15709" spans="25:25" hidden="1" x14ac:dyDescent="0.25">
      <c r="Y15709" s="501"/>
    </row>
    <row r="15710" spans="25:25" hidden="1" x14ac:dyDescent="0.25">
      <c r="Y15710" s="501"/>
    </row>
    <row r="15711" spans="25:25" hidden="1" x14ac:dyDescent="0.25">
      <c r="Y15711" s="501"/>
    </row>
    <row r="15712" spans="25:25" hidden="1" x14ac:dyDescent="0.25">
      <c r="Y15712" s="501"/>
    </row>
    <row r="15713" spans="25:25" hidden="1" x14ac:dyDescent="0.25">
      <c r="Y15713" s="501"/>
    </row>
    <row r="15714" spans="25:25" hidden="1" x14ac:dyDescent="0.25">
      <c r="Y15714" s="501"/>
    </row>
    <row r="15715" spans="25:25" hidden="1" x14ac:dyDescent="0.25">
      <c r="Y15715" s="501"/>
    </row>
    <row r="15716" spans="25:25" hidden="1" x14ac:dyDescent="0.25">
      <c r="Y15716" s="501"/>
    </row>
    <row r="15717" spans="25:25" hidden="1" x14ac:dyDescent="0.25">
      <c r="Y15717" s="501"/>
    </row>
    <row r="15718" spans="25:25" hidden="1" x14ac:dyDescent="0.25">
      <c r="Y15718" s="501"/>
    </row>
    <row r="15719" spans="25:25" hidden="1" x14ac:dyDescent="0.25">
      <c r="Y15719" s="501"/>
    </row>
    <row r="15720" spans="25:25" hidden="1" x14ac:dyDescent="0.25">
      <c r="Y15720" s="501"/>
    </row>
    <row r="15721" spans="25:25" hidden="1" x14ac:dyDescent="0.25">
      <c r="Y15721" s="501"/>
    </row>
    <row r="15722" spans="25:25" hidden="1" x14ac:dyDescent="0.25">
      <c r="Y15722" s="501"/>
    </row>
    <row r="15723" spans="25:25" hidden="1" x14ac:dyDescent="0.25">
      <c r="Y15723" s="501"/>
    </row>
    <row r="15724" spans="25:25" hidden="1" x14ac:dyDescent="0.25">
      <c r="Y15724" s="501"/>
    </row>
    <row r="15725" spans="25:25" hidden="1" x14ac:dyDescent="0.25">
      <c r="Y15725" s="501"/>
    </row>
    <row r="15726" spans="25:25" hidden="1" x14ac:dyDescent="0.25">
      <c r="Y15726" s="501"/>
    </row>
    <row r="15727" spans="25:25" hidden="1" x14ac:dyDescent="0.25">
      <c r="Y15727" s="501"/>
    </row>
    <row r="15728" spans="25:25" hidden="1" x14ac:dyDescent="0.25">
      <c r="Y15728" s="501"/>
    </row>
    <row r="15729" spans="25:25" hidden="1" x14ac:dyDescent="0.25">
      <c r="Y15729" s="501"/>
    </row>
    <row r="15730" spans="25:25" hidden="1" x14ac:dyDescent="0.25">
      <c r="Y15730" s="501"/>
    </row>
    <row r="15731" spans="25:25" hidden="1" x14ac:dyDescent="0.25">
      <c r="Y15731" s="501"/>
    </row>
    <row r="15732" spans="25:25" hidden="1" x14ac:dyDescent="0.25">
      <c r="Y15732" s="501"/>
    </row>
    <row r="15733" spans="25:25" hidden="1" x14ac:dyDescent="0.25">
      <c r="Y15733" s="501"/>
    </row>
    <row r="15734" spans="25:25" hidden="1" x14ac:dyDescent="0.25">
      <c r="Y15734" s="501"/>
    </row>
    <row r="15735" spans="25:25" hidden="1" x14ac:dyDescent="0.25">
      <c r="Y15735" s="501"/>
    </row>
    <row r="15736" spans="25:25" hidden="1" x14ac:dyDescent="0.25">
      <c r="Y15736" s="501"/>
    </row>
    <row r="15737" spans="25:25" hidden="1" x14ac:dyDescent="0.25">
      <c r="Y15737" s="501"/>
    </row>
    <row r="15738" spans="25:25" hidden="1" x14ac:dyDescent="0.25">
      <c r="Y15738" s="501"/>
    </row>
    <row r="15739" spans="25:25" hidden="1" x14ac:dyDescent="0.25">
      <c r="Y15739" s="501"/>
    </row>
    <row r="15740" spans="25:25" hidden="1" x14ac:dyDescent="0.25">
      <c r="Y15740" s="501"/>
    </row>
    <row r="15741" spans="25:25" hidden="1" x14ac:dyDescent="0.25">
      <c r="Y15741" s="501"/>
    </row>
    <row r="15742" spans="25:25" hidden="1" x14ac:dyDescent="0.25">
      <c r="Y15742" s="501"/>
    </row>
    <row r="15743" spans="25:25" hidden="1" x14ac:dyDescent="0.25">
      <c r="Y15743" s="501"/>
    </row>
    <row r="15744" spans="25:25" hidden="1" x14ac:dyDescent="0.25">
      <c r="Y15744" s="501"/>
    </row>
    <row r="15745" spans="25:25" hidden="1" x14ac:dyDescent="0.25">
      <c r="Y15745" s="501"/>
    </row>
    <row r="15746" spans="25:25" hidden="1" x14ac:dyDescent="0.25">
      <c r="Y15746" s="501"/>
    </row>
    <row r="15747" spans="25:25" hidden="1" x14ac:dyDescent="0.25">
      <c r="Y15747" s="501"/>
    </row>
    <row r="15748" spans="25:25" hidden="1" x14ac:dyDescent="0.25">
      <c r="Y15748" s="501"/>
    </row>
    <row r="15749" spans="25:25" hidden="1" x14ac:dyDescent="0.25">
      <c r="Y15749" s="501"/>
    </row>
    <row r="15750" spans="25:25" hidden="1" x14ac:dyDescent="0.25">
      <c r="Y15750" s="501"/>
    </row>
    <row r="15751" spans="25:25" hidden="1" x14ac:dyDescent="0.25">
      <c r="Y15751" s="501"/>
    </row>
    <row r="15752" spans="25:25" hidden="1" x14ac:dyDescent="0.25">
      <c r="Y15752" s="501"/>
    </row>
    <row r="15753" spans="25:25" hidden="1" x14ac:dyDescent="0.25">
      <c r="Y15753" s="501"/>
    </row>
    <row r="15754" spans="25:25" hidden="1" x14ac:dyDescent="0.25">
      <c r="Y15754" s="501"/>
    </row>
    <row r="15755" spans="25:25" hidden="1" x14ac:dyDescent="0.25">
      <c r="Y15755" s="501"/>
    </row>
    <row r="15756" spans="25:25" hidden="1" x14ac:dyDescent="0.25">
      <c r="Y15756" s="501"/>
    </row>
    <row r="15757" spans="25:25" hidden="1" x14ac:dyDescent="0.25">
      <c r="Y15757" s="501"/>
    </row>
    <row r="15758" spans="25:25" hidden="1" x14ac:dyDescent="0.25">
      <c r="Y15758" s="501"/>
    </row>
    <row r="15759" spans="25:25" hidden="1" x14ac:dyDescent="0.25">
      <c r="Y15759" s="501"/>
    </row>
    <row r="15760" spans="25:25" hidden="1" x14ac:dyDescent="0.25">
      <c r="Y15760" s="501"/>
    </row>
    <row r="15761" spans="25:25" hidden="1" x14ac:dyDescent="0.25">
      <c r="Y15761" s="501"/>
    </row>
    <row r="15762" spans="25:25" hidden="1" x14ac:dyDescent="0.25">
      <c r="Y15762" s="501"/>
    </row>
    <row r="15763" spans="25:25" hidden="1" x14ac:dyDescent="0.25">
      <c r="Y15763" s="501"/>
    </row>
    <row r="15764" spans="25:25" hidden="1" x14ac:dyDescent="0.25">
      <c r="Y15764" s="501"/>
    </row>
    <row r="15765" spans="25:25" hidden="1" x14ac:dyDescent="0.25">
      <c r="Y15765" s="501"/>
    </row>
    <row r="15766" spans="25:25" hidden="1" x14ac:dyDescent="0.25">
      <c r="Y15766" s="501"/>
    </row>
    <row r="15767" spans="25:25" hidden="1" x14ac:dyDescent="0.25">
      <c r="Y15767" s="501"/>
    </row>
    <row r="15768" spans="25:25" hidden="1" x14ac:dyDescent="0.25">
      <c r="Y15768" s="501"/>
    </row>
    <row r="15769" spans="25:25" hidden="1" x14ac:dyDescent="0.25">
      <c r="Y15769" s="501"/>
    </row>
    <row r="15770" spans="25:25" hidden="1" x14ac:dyDescent="0.25">
      <c r="Y15770" s="501"/>
    </row>
    <row r="15771" spans="25:25" hidden="1" x14ac:dyDescent="0.25">
      <c r="Y15771" s="501"/>
    </row>
    <row r="15772" spans="25:25" hidden="1" x14ac:dyDescent="0.25">
      <c r="Y15772" s="501"/>
    </row>
    <row r="15773" spans="25:25" hidden="1" x14ac:dyDescent="0.25">
      <c r="Y15773" s="501"/>
    </row>
    <row r="15774" spans="25:25" hidden="1" x14ac:dyDescent="0.25">
      <c r="Y15774" s="501"/>
    </row>
    <row r="15775" spans="25:25" hidden="1" x14ac:dyDescent="0.25">
      <c r="Y15775" s="501"/>
    </row>
    <row r="15776" spans="25:25" hidden="1" x14ac:dyDescent="0.25">
      <c r="Y15776" s="501"/>
    </row>
    <row r="15777" spans="25:25" hidden="1" x14ac:dyDescent="0.25">
      <c r="Y15777" s="501"/>
    </row>
    <row r="15778" spans="25:25" hidden="1" x14ac:dyDescent="0.25">
      <c r="Y15778" s="501"/>
    </row>
    <row r="15779" spans="25:25" hidden="1" x14ac:dyDescent="0.25">
      <c r="Y15779" s="501"/>
    </row>
    <row r="15780" spans="25:25" hidden="1" x14ac:dyDescent="0.25">
      <c r="Y15780" s="501"/>
    </row>
    <row r="15781" spans="25:25" hidden="1" x14ac:dyDescent="0.25">
      <c r="Y15781" s="501"/>
    </row>
    <row r="15782" spans="25:25" hidden="1" x14ac:dyDescent="0.25">
      <c r="Y15782" s="501"/>
    </row>
    <row r="15783" spans="25:25" hidden="1" x14ac:dyDescent="0.25">
      <c r="Y15783" s="501"/>
    </row>
    <row r="15784" spans="25:25" hidden="1" x14ac:dyDescent="0.25">
      <c r="Y15784" s="501"/>
    </row>
    <row r="15785" spans="25:25" hidden="1" x14ac:dyDescent="0.25">
      <c r="Y15785" s="501"/>
    </row>
    <row r="15786" spans="25:25" hidden="1" x14ac:dyDescent="0.25">
      <c r="Y15786" s="501"/>
    </row>
    <row r="15787" spans="25:25" hidden="1" x14ac:dyDescent="0.25">
      <c r="Y15787" s="501"/>
    </row>
    <row r="15788" spans="25:25" hidden="1" x14ac:dyDescent="0.25">
      <c r="Y15788" s="501"/>
    </row>
    <row r="15789" spans="25:25" hidden="1" x14ac:dyDescent="0.25">
      <c r="Y15789" s="501"/>
    </row>
    <row r="15790" spans="25:25" hidden="1" x14ac:dyDescent="0.25">
      <c r="Y15790" s="501"/>
    </row>
    <row r="15791" spans="25:25" hidden="1" x14ac:dyDescent="0.25">
      <c r="Y15791" s="501"/>
    </row>
    <row r="15792" spans="25:25" hidden="1" x14ac:dyDescent="0.25">
      <c r="Y15792" s="501"/>
    </row>
    <row r="15793" spans="25:25" hidden="1" x14ac:dyDescent="0.25">
      <c r="Y15793" s="501"/>
    </row>
    <row r="15794" spans="25:25" hidden="1" x14ac:dyDescent="0.25">
      <c r="Y15794" s="501"/>
    </row>
    <row r="15795" spans="25:25" hidden="1" x14ac:dyDescent="0.25">
      <c r="Y15795" s="501"/>
    </row>
    <row r="15796" spans="25:25" hidden="1" x14ac:dyDescent="0.25">
      <c r="Y15796" s="501"/>
    </row>
    <row r="15797" spans="25:25" hidden="1" x14ac:dyDescent="0.25">
      <c r="Y15797" s="501"/>
    </row>
    <row r="15798" spans="25:25" hidden="1" x14ac:dyDescent="0.25">
      <c r="Y15798" s="501"/>
    </row>
    <row r="15799" spans="25:25" hidden="1" x14ac:dyDescent="0.25">
      <c r="Y15799" s="501"/>
    </row>
    <row r="15800" spans="25:25" hidden="1" x14ac:dyDescent="0.25">
      <c r="Y15800" s="501"/>
    </row>
    <row r="15801" spans="25:25" hidden="1" x14ac:dyDescent="0.25">
      <c r="Y15801" s="501"/>
    </row>
    <row r="15802" spans="25:25" hidden="1" x14ac:dyDescent="0.25">
      <c r="Y15802" s="501"/>
    </row>
    <row r="15803" spans="25:25" hidden="1" x14ac:dyDescent="0.25">
      <c r="Y15803" s="501"/>
    </row>
    <row r="15804" spans="25:25" hidden="1" x14ac:dyDescent="0.25">
      <c r="Y15804" s="501"/>
    </row>
    <row r="15805" spans="25:25" hidden="1" x14ac:dyDescent="0.25">
      <c r="Y15805" s="501"/>
    </row>
    <row r="15806" spans="25:25" hidden="1" x14ac:dyDescent="0.25">
      <c r="Y15806" s="501"/>
    </row>
    <row r="15807" spans="25:25" hidden="1" x14ac:dyDescent="0.25">
      <c r="Y15807" s="501"/>
    </row>
    <row r="15808" spans="25:25" hidden="1" x14ac:dyDescent="0.25">
      <c r="Y15808" s="501"/>
    </row>
    <row r="15809" spans="25:25" hidden="1" x14ac:dyDescent="0.25">
      <c r="Y15809" s="501"/>
    </row>
    <row r="15810" spans="25:25" hidden="1" x14ac:dyDescent="0.25">
      <c r="Y15810" s="501"/>
    </row>
    <row r="15811" spans="25:25" hidden="1" x14ac:dyDescent="0.25">
      <c r="Y15811" s="501"/>
    </row>
    <row r="15812" spans="25:25" hidden="1" x14ac:dyDescent="0.25">
      <c r="Y15812" s="501"/>
    </row>
    <row r="15813" spans="25:25" hidden="1" x14ac:dyDescent="0.25">
      <c r="Y15813" s="501"/>
    </row>
    <row r="15814" spans="25:25" hidden="1" x14ac:dyDescent="0.25">
      <c r="Y15814" s="501"/>
    </row>
    <row r="15815" spans="25:25" hidden="1" x14ac:dyDescent="0.25">
      <c r="Y15815" s="501"/>
    </row>
    <row r="15816" spans="25:25" hidden="1" x14ac:dyDescent="0.25">
      <c r="Y15816" s="501"/>
    </row>
    <row r="15817" spans="25:25" hidden="1" x14ac:dyDescent="0.25">
      <c r="Y15817" s="501"/>
    </row>
    <row r="15818" spans="25:25" hidden="1" x14ac:dyDescent="0.25">
      <c r="Y15818" s="501"/>
    </row>
    <row r="15819" spans="25:25" hidden="1" x14ac:dyDescent="0.25">
      <c r="Y15819" s="501"/>
    </row>
    <row r="15820" spans="25:25" hidden="1" x14ac:dyDescent="0.25">
      <c r="Y15820" s="501"/>
    </row>
    <row r="15821" spans="25:25" hidden="1" x14ac:dyDescent="0.25">
      <c r="Y15821" s="501"/>
    </row>
    <row r="15822" spans="25:25" hidden="1" x14ac:dyDescent="0.25">
      <c r="Y15822" s="501"/>
    </row>
    <row r="15823" spans="25:25" hidden="1" x14ac:dyDescent="0.25">
      <c r="Y15823" s="501"/>
    </row>
    <row r="15824" spans="25:25" hidden="1" x14ac:dyDescent="0.25">
      <c r="Y15824" s="501"/>
    </row>
    <row r="15825" spans="25:25" hidden="1" x14ac:dyDescent="0.25">
      <c r="Y15825" s="501"/>
    </row>
    <row r="15826" spans="25:25" hidden="1" x14ac:dyDescent="0.25">
      <c r="Y15826" s="501"/>
    </row>
    <row r="15827" spans="25:25" hidden="1" x14ac:dyDescent="0.25">
      <c r="Y15827" s="501"/>
    </row>
    <row r="15828" spans="25:25" hidden="1" x14ac:dyDescent="0.25">
      <c r="Y15828" s="501"/>
    </row>
    <row r="15829" spans="25:25" hidden="1" x14ac:dyDescent="0.25">
      <c r="Y15829" s="501"/>
    </row>
    <row r="15830" spans="25:25" hidden="1" x14ac:dyDescent="0.25">
      <c r="Y15830" s="501"/>
    </row>
    <row r="15831" spans="25:25" hidden="1" x14ac:dyDescent="0.25">
      <c r="Y15831" s="501"/>
    </row>
    <row r="15832" spans="25:25" hidden="1" x14ac:dyDescent="0.25">
      <c r="Y15832" s="501"/>
    </row>
    <row r="15833" spans="25:25" hidden="1" x14ac:dyDescent="0.25">
      <c r="Y15833" s="501"/>
    </row>
    <row r="15834" spans="25:25" hidden="1" x14ac:dyDescent="0.25">
      <c r="Y15834" s="501"/>
    </row>
    <row r="15835" spans="25:25" hidden="1" x14ac:dyDescent="0.25">
      <c r="Y15835" s="501"/>
    </row>
    <row r="15836" spans="25:25" hidden="1" x14ac:dyDescent="0.25">
      <c r="Y15836" s="501"/>
    </row>
    <row r="15837" spans="25:25" hidden="1" x14ac:dyDescent="0.25">
      <c r="Y15837" s="501"/>
    </row>
    <row r="15838" spans="25:25" hidden="1" x14ac:dyDescent="0.25">
      <c r="Y15838" s="501"/>
    </row>
    <row r="15839" spans="25:25" hidden="1" x14ac:dyDescent="0.25">
      <c r="Y15839" s="501"/>
    </row>
    <row r="15840" spans="25:25" hidden="1" x14ac:dyDescent="0.25">
      <c r="Y15840" s="501"/>
    </row>
    <row r="15841" spans="25:25" hidden="1" x14ac:dyDescent="0.25">
      <c r="Y15841" s="501"/>
    </row>
    <row r="15842" spans="25:25" hidden="1" x14ac:dyDescent="0.25">
      <c r="Y15842" s="501"/>
    </row>
    <row r="15843" spans="25:25" hidden="1" x14ac:dyDescent="0.25">
      <c r="Y15843" s="501"/>
    </row>
    <row r="15844" spans="25:25" hidden="1" x14ac:dyDescent="0.25">
      <c r="Y15844" s="501"/>
    </row>
    <row r="15845" spans="25:25" hidden="1" x14ac:dyDescent="0.25">
      <c r="Y15845" s="501"/>
    </row>
    <row r="15846" spans="25:25" hidden="1" x14ac:dyDescent="0.25">
      <c r="Y15846" s="501"/>
    </row>
    <row r="15847" spans="25:25" hidden="1" x14ac:dyDescent="0.25">
      <c r="Y15847" s="501"/>
    </row>
    <row r="15848" spans="25:25" hidden="1" x14ac:dyDescent="0.25">
      <c r="Y15848" s="501"/>
    </row>
    <row r="15849" spans="25:25" hidden="1" x14ac:dyDescent="0.25">
      <c r="Y15849" s="501"/>
    </row>
    <row r="15850" spans="25:25" hidden="1" x14ac:dyDescent="0.25">
      <c r="Y15850" s="501"/>
    </row>
    <row r="15851" spans="25:25" hidden="1" x14ac:dyDescent="0.25">
      <c r="Y15851" s="501"/>
    </row>
    <row r="15852" spans="25:25" hidden="1" x14ac:dyDescent="0.25">
      <c r="Y15852" s="501"/>
    </row>
    <row r="15853" spans="25:25" hidden="1" x14ac:dyDescent="0.25">
      <c r="Y15853" s="501"/>
    </row>
    <row r="15854" spans="25:25" hidden="1" x14ac:dyDescent="0.25">
      <c r="Y15854" s="501"/>
    </row>
    <row r="15855" spans="25:25" hidden="1" x14ac:dyDescent="0.25">
      <c r="Y15855" s="501"/>
    </row>
    <row r="15856" spans="25:25" hidden="1" x14ac:dyDescent="0.25">
      <c r="Y15856" s="501"/>
    </row>
    <row r="15857" spans="25:25" hidden="1" x14ac:dyDescent="0.25">
      <c r="Y15857" s="501"/>
    </row>
    <row r="15858" spans="25:25" hidden="1" x14ac:dyDescent="0.25">
      <c r="Y15858" s="501"/>
    </row>
    <row r="15859" spans="25:25" hidden="1" x14ac:dyDescent="0.25">
      <c r="Y15859" s="501"/>
    </row>
    <row r="15860" spans="25:25" hidden="1" x14ac:dyDescent="0.25">
      <c r="Y15860" s="501"/>
    </row>
    <row r="15861" spans="25:25" hidden="1" x14ac:dyDescent="0.25">
      <c r="Y15861" s="501"/>
    </row>
    <row r="15862" spans="25:25" hidden="1" x14ac:dyDescent="0.25">
      <c r="Y15862" s="501"/>
    </row>
    <row r="15863" spans="25:25" hidden="1" x14ac:dyDescent="0.25">
      <c r="Y15863" s="501"/>
    </row>
    <row r="15864" spans="25:25" hidden="1" x14ac:dyDescent="0.25">
      <c r="Y15864" s="501"/>
    </row>
    <row r="15865" spans="25:25" hidden="1" x14ac:dyDescent="0.25">
      <c r="Y15865" s="501"/>
    </row>
    <row r="15866" spans="25:25" hidden="1" x14ac:dyDescent="0.25">
      <c r="Y15866" s="501"/>
    </row>
    <row r="15867" spans="25:25" hidden="1" x14ac:dyDescent="0.25">
      <c r="Y15867" s="501"/>
    </row>
    <row r="15868" spans="25:25" hidden="1" x14ac:dyDescent="0.25">
      <c r="Y15868" s="501"/>
    </row>
    <row r="15869" spans="25:25" hidden="1" x14ac:dyDescent="0.25">
      <c r="Y15869" s="501"/>
    </row>
    <row r="15870" spans="25:25" hidden="1" x14ac:dyDescent="0.25">
      <c r="Y15870" s="501"/>
    </row>
    <row r="15871" spans="25:25" hidden="1" x14ac:dyDescent="0.25">
      <c r="Y15871" s="501"/>
    </row>
    <row r="15872" spans="25:25" hidden="1" x14ac:dyDescent="0.25">
      <c r="Y15872" s="501"/>
    </row>
    <row r="15873" spans="25:25" hidden="1" x14ac:dyDescent="0.25">
      <c r="Y15873" s="501"/>
    </row>
    <row r="15874" spans="25:25" hidden="1" x14ac:dyDescent="0.25">
      <c r="Y15874" s="501"/>
    </row>
    <row r="15875" spans="25:25" hidden="1" x14ac:dyDescent="0.25">
      <c r="Y15875" s="501"/>
    </row>
    <row r="15876" spans="25:25" hidden="1" x14ac:dyDescent="0.25">
      <c r="Y15876" s="501"/>
    </row>
    <row r="15877" spans="25:25" hidden="1" x14ac:dyDescent="0.25">
      <c r="Y15877" s="501"/>
    </row>
    <row r="15878" spans="25:25" hidden="1" x14ac:dyDescent="0.25">
      <c r="Y15878" s="501"/>
    </row>
    <row r="15879" spans="25:25" hidden="1" x14ac:dyDescent="0.25">
      <c r="Y15879" s="501"/>
    </row>
    <row r="15880" spans="25:25" hidden="1" x14ac:dyDescent="0.25">
      <c r="Y15880" s="501"/>
    </row>
    <row r="15881" spans="25:25" hidden="1" x14ac:dyDescent="0.25">
      <c r="Y15881" s="501"/>
    </row>
    <row r="15882" spans="25:25" hidden="1" x14ac:dyDescent="0.25">
      <c r="Y15882" s="501"/>
    </row>
    <row r="15883" spans="25:25" hidden="1" x14ac:dyDescent="0.25">
      <c r="Y15883" s="501"/>
    </row>
    <row r="15884" spans="25:25" hidden="1" x14ac:dyDescent="0.25">
      <c r="Y15884" s="501"/>
    </row>
    <row r="15885" spans="25:25" hidden="1" x14ac:dyDescent="0.25">
      <c r="Y15885" s="501"/>
    </row>
    <row r="15886" spans="25:25" hidden="1" x14ac:dyDescent="0.25">
      <c r="Y15886" s="501"/>
    </row>
    <row r="15887" spans="25:25" hidden="1" x14ac:dyDescent="0.25">
      <c r="Y15887" s="501"/>
    </row>
    <row r="15888" spans="25:25" hidden="1" x14ac:dyDescent="0.25">
      <c r="Y15888" s="501"/>
    </row>
    <row r="15889" spans="25:25" hidden="1" x14ac:dyDescent="0.25">
      <c r="Y15889" s="501"/>
    </row>
    <row r="15890" spans="25:25" hidden="1" x14ac:dyDescent="0.25">
      <c r="Y15890" s="501"/>
    </row>
    <row r="15891" spans="25:25" hidden="1" x14ac:dyDescent="0.25">
      <c r="Y15891" s="501"/>
    </row>
    <row r="15892" spans="25:25" hidden="1" x14ac:dyDescent="0.25">
      <c r="Y15892" s="501"/>
    </row>
    <row r="15893" spans="25:25" hidden="1" x14ac:dyDescent="0.25">
      <c r="Y15893" s="501"/>
    </row>
    <row r="15894" spans="25:25" hidden="1" x14ac:dyDescent="0.25">
      <c r="Y15894" s="501"/>
    </row>
    <row r="15895" spans="25:25" hidden="1" x14ac:dyDescent="0.25">
      <c r="Y15895" s="501"/>
    </row>
    <row r="15896" spans="25:25" hidden="1" x14ac:dyDescent="0.25">
      <c r="Y15896" s="501"/>
    </row>
    <row r="15897" spans="25:25" hidden="1" x14ac:dyDescent="0.25">
      <c r="Y15897" s="501"/>
    </row>
    <row r="15898" spans="25:25" hidden="1" x14ac:dyDescent="0.25">
      <c r="Y15898" s="501"/>
    </row>
    <row r="15899" spans="25:25" hidden="1" x14ac:dyDescent="0.25">
      <c r="Y15899" s="501"/>
    </row>
    <row r="15900" spans="25:25" hidden="1" x14ac:dyDescent="0.25">
      <c r="Y15900" s="501"/>
    </row>
    <row r="15901" spans="25:25" hidden="1" x14ac:dyDescent="0.25">
      <c r="Y15901" s="501"/>
    </row>
    <row r="15902" spans="25:25" hidden="1" x14ac:dyDescent="0.25">
      <c r="Y15902" s="501"/>
    </row>
    <row r="15903" spans="25:25" hidden="1" x14ac:dyDescent="0.25">
      <c r="Y15903" s="501"/>
    </row>
    <row r="15904" spans="25:25" hidden="1" x14ac:dyDescent="0.25">
      <c r="Y15904" s="501"/>
    </row>
    <row r="15905" spans="25:25" hidden="1" x14ac:dyDescent="0.25">
      <c r="Y15905" s="501"/>
    </row>
    <row r="15906" spans="25:25" hidden="1" x14ac:dyDescent="0.25">
      <c r="Y15906" s="501"/>
    </row>
    <row r="15907" spans="25:25" hidden="1" x14ac:dyDescent="0.25">
      <c r="Y15907" s="501"/>
    </row>
    <row r="15908" spans="25:25" hidden="1" x14ac:dyDescent="0.25">
      <c r="Y15908" s="501"/>
    </row>
    <row r="15909" spans="25:25" hidden="1" x14ac:dyDescent="0.25">
      <c r="Y15909" s="501"/>
    </row>
    <row r="15910" spans="25:25" hidden="1" x14ac:dyDescent="0.25">
      <c r="Y15910" s="501"/>
    </row>
    <row r="15911" spans="25:25" hidden="1" x14ac:dyDescent="0.25">
      <c r="Y15911" s="501"/>
    </row>
    <row r="15912" spans="25:25" hidden="1" x14ac:dyDescent="0.25">
      <c r="Y15912" s="501"/>
    </row>
    <row r="15913" spans="25:25" hidden="1" x14ac:dyDescent="0.25">
      <c r="Y15913" s="501"/>
    </row>
    <row r="15914" spans="25:25" hidden="1" x14ac:dyDescent="0.25">
      <c r="Y15914" s="501"/>
    </row>
    <row r="15915" spans="25:25" hidden="1" x14ac:dyDescent="0.25">
      <c r="Y15915" s="501"/>
    </row>
    <row r="15916" spans="25:25" hidden="1" x14ac:dyDescent="0.25">
      <c r="Y15916" s="501"/>
    </row>
    <row r="15917" spans="25:25" hidden="1" x14ac:dyDescent="0.25">
      <c r="Y15917" s="501"/>
    </row>
    <row r="15918" spans="25:25" hidden="1" x14ac:dyDescent="0.25">
      <c r="Y15918" s="501"/>
    </row>
    <row r="15919" spans="25:25" hidden="1" x14ac:dyDescent="0.25">
      <c r="Y15919" s="501"/>
    </row>
    <row r="15920" spans="25:25" hidden="1" x14ac:dyDescent="0.25">
      <c r="Y15920" s="501"/>
    </row>
    <row r="15921" spans="25:25" hidden="1" x14ac:dyDescent="0.25">
      <c r="Y15921" s="501"/>
    </row>
    <row r="15922" spans="25:25" hidden="1" x14ac:dyDescent="0.25">
      <c r="Y15922" s="501"/>
    </row>
    <row r="15923" spans="25:25" hidden="1" x14ac:dyDescent="0.25">
      <c r="Y15923" s="501"/>
    </row>
    <row r="15924" spans="25:25" hidden="1" x14ac:dyDescent="0.25">
      <c r="Y15924" s="501"/>
    </row>
    <row r="15925" spans="25:25" hidden="1" x14ac:dyDescent="0.25">
      <c r="Y15925" s="501"/>
    </row>
    <row r="15926" spans="25:25" hidden="1" x14ac:dyDescent="0.25">
      <c r="Y15926" s="501"/>
    </row>
    <row r="15927" spans="25:25" hidden="1" x14ac:dyDescent="0.25">
      <c r="Y15927" s="501"/>
    </row>
    <row r="15928" spans="25:25" hidden="1" x14ac:dyDescent="0.25">
      <c r="Y15928" s="501"/>
    </row>
    <row r="15929" spans="25:25" hidden="1" x14ac:dyDescent="0.25">
      <c r="Y15929" s="501"/>
    </row>
    <row r="15930" spans="25:25" hidden="1" x14ac:dyDescent="0.25">
      <c r="Y15930" s="501"/>
    </row>
    <row r="15931" spans="25:25" hidden="1" x14ac:dyDescent="0.25">
      <c r="Y15931" s="501"/>
    </row>
    <row r="15932" spans="25:25" hidden="1" x14ac:dyDescent="0.25">
      <c r="Y15932" s="501"/>
    </row>
    <row r="15933" spans="25:25" hidden="1" x14ac:dyDescent="0.25">
      <c r="Y15933" s="501"/>
    </row>
    <row r="15934" spans="25:25" hidden="1" x14ac:dyDescent="0.25">
      <c r="Y15934" s="501"/>
    </row>
    <row r="15935" spans="25:25" hidden="1" x14ac:dyDescent="0.25">
      <c r="Y15935" s="501"/>
    </row>
    <row r="15936" spans="25:25" hidden="1" x14ac:dyDescent="0.25">
      <c r="Y15936" s="501"/>
    </row>
    <row r="15937" spans="25:25" hidden="1" x14ac:dyDescent="0.25">
      <c r="Y15937" s="501"/>
    </row>
    <row r="15938" spans="25:25" hidden="1" x14ac:dyDescent="0.25">
      <c r="Y15938" s="501"/>
    </row>
    <row r="15939" spans="25:25" hidden="1" x14ac:dyDescent="0.25">
      <c r="Y15939" s="501"/>
    </row>
    <row r="15940" spans="25:25" hidden="1" x14ac:dyDescent="0.25">
      <c r="Y15940" s="501"/>
    </row>
    <row r="15941" spans="25:25" hidden="1" x14ac:dyDescent="0.25">
      <c r="Y15941" s="501"/>
    </row>
    <row r="15942" spans="25:25" hidden="1" x14ac:dyDescent="0.25">
      <c r="Y15942" s="501"/>
    </row>
    <row r="15943" spans="25:25" hidden="1" x14ac:dyDescent="0.25">
      <c r="Y15943" s="501"/>
    </row>
    <row r="15944" spans="25:25" hidden="1" x14ac:dyDescent="0.25">
      <c r="Y15944" s="501"/>
    </row>
    <row r="15945" spans="25:25" hidden="1" x14ac:dyDescent="0.25">
      <c r="Y15945" s="501"/>
    </row>
    <row r="15946" spans="25:25" hidden="1" x14ac:dyDescent="0.25">
      <c r="Y15946" s="501"/>
    </row>
    <row r="15947" spans="25:25" hidden="1" x14ac:dyDescent="0.25">
      <c r="Y15947" s="501"/>
    </row>
    <row r="15948" spans="25:25" hidden="1" x14ac:dyDescent="0.25">
      <c r="Y15948" s="501"/>
    </row>
    <row r="15949" spans="25:25" hidden="1" x14ac:dyDescent="0.25">
      <c r="Y15949" s="501"/>
    </row>
    <row r="15950" spans="25:25" hidden="1" x14ac:dyDescent="0.25">
      <c r="Y15950" s="501"/>
    </row>
    <row r="15951" spans="25:25" hidden="1" x14ac:dyDescent="0.25">
      <c r="Y15951" s="501"/>
    </row>
    <row r="15952" spans="25:25" hidden="1" x14ac:dyDescent="0.25">
      <c r="Y15952" s="501"/>
    </row>
    <row r="15953" spans="25:25" hidden="1" x14ac:dyDescent="0.25">
      <c r="Y15953" s="501"/>
    </row>
    <row r="15954" spans="25:25" hidden="1" x14ac:dyDescent="0.25">
      <c r="Y15954" s="501"/>
    </row>
    <row r="15955" spans="25:25" hidden="1" x14ac:dyDescent="0.25">
      <c r="Y15955" s="501"/>
    </row>
    <row r="15956" spans="25:25" hidden="1" x14ac:dyDescent="0.25">
      <c r="Y15956" s="501"/>
    </row>
    <row r="15957" spans="25:25" hidden="1" x14ac:dyDescent="0.25">
      <c r="Y15957" s="501"/>
    </row>
    <row r="15958" spans="25:25" hidden="1" x14ac:dyDescent="0.25">
      <c r="Y15958" s="501"/>
    </row>
    <row r="15959" spans="25:25" hidden="1" x14ac:dyDescent="0.25">
      <c r="Y15959" s="501"/>
    </row>
    <row r="15960" spans="25:25" hidden="1" x14ac:dyDescent="0.25">
      <c r="Y15960" s="501"/>
    </row>
    <row r="15961" spans="25:25" hidden="1" x14ac:dyDescent="0.25">
      <c r="Y15961" s="501"/>
    </row>
    <row r="15962" spans="25:25" hidden="1" x14ac:dyDescent="0.25">
      <c r="Y15962" s="501"/>
    </row>
    <row r="15963" spans="25:25" hidden="1" x14ac:dyDescent="0.25">
      <c r="Y15963" s="501"/>
    </row>
    <row r="15964" spans="25:25" hidden="1" x14ac:dyDescent="0.25">
      <c r="Y15964" s="501"/>
    </row>
    <row r="15965" spans="25:25" hidden="1" x14ac:dyDescent="0.25">
      <c r="Y15965" s="501"/>
    </row>
    <row r="15966" spans="25:25" hidden="1" x14ac:dyDescent="0.25">
      <c r="Y15966" s="501"/>
    </row>
    <row r="15967" spans="25:25" hidden="1" x14ac:dyDescent="0.25">
      <c r="Y15967" s="501"/>
    </row>
    <row r="15968" spans="25:25" hidden="1" x14ac:dyDescent="0.25">
      <c r="Y15968" s="501"/>
    </row>
    <row r="15969" spans="25:25" hidden="1" x14ac:dyDescent="0.25">
      <c r="Y15969" s="501"/>
    </row>
    <row r="15970" spans="25:25" hidden="1" x14ac:dyDescent="0.25">
      <c r="Y15970" s="501"/>
    </row>
    <row r="15971" spans="25:25" hidden="1" x14ac:dyDescent="0.25">
      <c r="Y15971" s="501"/>
    </row>
    <row r="15972" spans="25:25" hidden="1" x14ac:dyDescent="0.25">
      <c r="Y15972" s="501"/>
    </row>
    <row r="15973" spans="25:25" hidden="1" x14ac:dyDescent="0.25">
      <c r="Y15973" s="501"/>
    </row>
    <row r="15974" spans="25:25" hidden="1" x14ac:dyDescent="0.25">
      <c r="Y15974" s="501"/>
    </row>
    <row r="15975" spans="25:25" hidden="1" x14ac:dyDescent="0.25">
      <c r="Y15975" s="501"/>
    </row>
    <row r="15976" spans="25:25" hidden="1" x14ac:dyDescent="0.25">
      <c r="Y15976" s="501"/>
    </row>
    <row r="15977" spans="25:25" hidden="1" x14ac:dyDescent="0.25">
      <c r="Y15977" s="501"/>
    </row>
    <row r="15978" spans="25:25" hidden="1" x14ac:dyDescent="0.25">
      <c r="Y15978" s="501"/>
    </row>
    <row r="15979" spans="25:25" hidden="1" x14ac:dyDescent="0.25">
      <c r="Y15979" s="501"/>
    </row>
    <row r="15980" spans="25:25" hidden="1" x14ac:dyDescent="0.25">
      <c r="Y15980" s="501"/>
    </row>
    <row r="15981" spans="25:25" hidden="1" x14ac:dyDescent="0.25">
      <c r="Y15981" s="501"/>
    </row>
    <row r="15982" spans="25:25" hidden="1" x14ac:dyDescent="0.25">
      <c r="Y15982" s="501"/>
    </row>
    <row r="15983" spans="25:25" hidden="1" x14ac:dyDescent="0.25">
      <c r="Y15983" s="501"/>
    </row>
    <row r="15984" spans="25:25" hidden="1" x14ac:dyDescent="0.25">
      <c r="Y15984" s="501"/>
    </row>
    <row r="15985" spans="25:25" hidden="1" x14ac:dyDescent="0.25">
      <c r="Y15985" s="501"/>
    </row>
    <row r="15986" spans="25:25" hidden="1" x14ac:dyDescent="0.25">
      <c r="Y15986" s="501"/>
    </row>
    <row r="15987" spans="25:25" hidden="1" x14ac:dyDescent="0.25">
      <c r="Y15987" s="501"/>
    </row>
    <row r="15988" spans="25:25" hidden="1" x14ac:dyDescent="0.25">
      <c r="Y15988" s="501"/>
    </row>
    <row r="15989" spans="25:25" hidden="1" x14ac:dyDescent="0.25">
      <c r="Y15989" s="501"/>
    </row>
    <row r="15990" spans="25:25" hidden="1" x14ac:dyDescent="0.25">
      <c r="Y15990" s="501"/>
    </row>
    <row r="15991" spans="25:25" hidden="1" x14ac:dyDescent="0.25">
      <c r="Y15991" s="501"/>
    </row>
    <row r="15992" spans="25:25" hidden="1" x14ac:dyDescent="0.25">
      <c r="Y15992" s="501"/>
    </row>
    <row r="15993" spans="25:25" hidden="1" x14ac:dyDescent="0.25">
      <c r="Y15993" s="501"/>
    </row>
    <row r="15994" spans="25:25" hidden="1" x14ac:dyDescent="0.25">
      <c r="Y15994" s="501"/>
    </row>
    <row r="15995" spans="25:25" hidden="1" x14ac:dyDescent="0.25">
      <c r="Y15995" s="501"/>
    </row>
    <row r="15996" spans="25:25" hidden="1" x14ac:dyDescent="0.25">
      <c r="Y15996" s="501"/>
    </row>
    <row r="15997" spans="25:25" hidden="1" x14ac:dyDescent="0.25">
      <c r="Y15997" s="501"/>
    </row>
    <row r="15998" spans="25:25" hidden="1" x14ac:dyDescent="0.25">
      <c r="Y15998" s="501"/>
    </row>
    <row r="15999" spans="25:25" hidden="1" x14ac:dyDescent="0.25">
      <c r="Y15999" s="501"/>
    </row>
    <row r="16000" spans="25:25" hidden="1" x14ac:dyDescent="0.25">
      <c r="Y16000" s="501"/>
    </row>
    <row r="16001" spans="25:25" hidden="1" x14ac:dyDescent="0.25">
      <c r="Y16001" s="501"/>
    </row>
    <row r="16002" spans="25:25" hidden="1" x14ac:dyDescent="0.25">
      <c r="Y16002" s="501"/>
    </row>
    <row r="16003" spans="25:25" hidden="1" x14ac:dyDescent="0.25">
      <c r="Y16003" s="501"/>
    </row>
    <row r="16004" spans="25:25" hidden="1" x14ac:dyDescent="0.25">
      <c r="Y16004" s="501"/>
    </row>
    <row r="16005" spans="25:25" hidden="1" x14ac:dyDescent="0.25">
      <c r="Y16005" s="501"/>
    </row>
    <row r="16006" spans="25:25" hidden="1" x14ac:dyDescent="0.25">
      <c r="Y16006" s="501"/>
    </row>
    <row r="16007" spans="25:25" hidden="1" x14ac:dyDescent="0.25">
      <c r="Y16007" s="501"/>
    </row>
    <row r="16008" spans="25:25" hidden="1" x14ac:dyDescent="0.25">
      <c r="Y16008" s="501"/>
    </row>
    <row r="16009" spans="25:25" hidden="1" x14ac:dyDescent="0.25">
      <c r="Y16009" s="501"/>
    </row>
    <row r="16010" spans="25:25" hidden="1" x14ac:dyDescent="0.25">
      <c r="Y16010" s="501"/>
    </row>
    <row r="16011" spans="25:25" hidden="1" x14ac:dyDescent="0.25">
      <c r="Y16011" s="501"/>
    </row>
    <row r="16012" spans="25:25" hidden="1" x14ac:dyDescent="0.25">
      <c r="Y16012" s="501"/>
    </row>
    <row r="16013" spans="25:25" hidden="1" x14ac:dyDescent="0.25">
      <c r="Y16013" s="501"/>
    </row>
    <row r="16014" spans="25:25" hidden="1" x14ac:dyDescent="0.25">
      <c r="Y16014" s="501"/>
    </row>
    <row r="16015" spans="25:25" hidden="1" x14ac:dyDescent="0.25">
      <c r="Y16015" s="501"/>
    </row>
    <row r="16016" spans="25:25" hidden="1" x14ac:dyDescent="0.25">
      <c r="Y16016" s="501"/>
    </row>
    <row r="16017" spans="25:25" hidden="1" x14ac:dyDescent="0.25">
      <c r="Y16017" s="501"/>
    </row>
    <row r="16018" spans="25:25" hidden="1" x14ac:dyDescent="0.25">
      <c r="Y16018" s="501"/>
    </row>
    <row r="16019" spans="25:25" hidden="1" x14ac:dyDescent="0.25">
      <c r="Y16019" s="501"/>
    </row>
    <row r="16020" spans="25:25" hidden="1" x14ac:dyDescent="0.25">
      <c r="Y16020" s="501"/>
    </row>
    <row r="16021" spans="25:25" hidden="1" x14ac:dyDescent="0.25">
      <c r="Y16021" s="501"/>
    </row>
    <row r="16022" spans="25:25" hidden="1" x14ac:dyDescent="0.25">
      <c r="Y16022" s="501"/>
    </row>
    <row r="16023" spans="25:25" hidden="1" x14ac:dyDescent="0.25">
      <c r="Y16023" s="501"/>
    </row>
    <row r="16024" spans="25:25" hidden="1" x14ac:dyDescent="0.25">
      <c r="Y16024" s="501"/>
    </row>
    <row r="16025" spans="25:25" hidden="1" x14ac:dyDescent="0.25">
      <c r="Y16025" s="501"/>
    </row>
    <row r="16026" spans="25:25" hidden="1" x14ac:dyDescent="0.25">
      <c r="Y16026" s="501"/>
    </row>
    <row r="16027" spans="25:25" hidden="1" x14ac:dyDescent="0.25">
      <c r="Y16027" s="501"/>
    </row>
    <row r="16028" spans="25:25" hidden="1" x14ac:dyDescent="0.25">
      <c r="Y16028" s="501"/>
    </row>
    <row r="16029" spans="25:25" hidden="1" x14ac:dyDescent="0.25">
      <c r="Y16029" s="501"/>
    </row>
    <row r="16030" spans="25:25" hidden="1" x14ac:dyDescent="0.25">
      <c r="Y16030" s="501"/>
    </row>
    <row r="16031" spans="25:25" hidden="1" x14ac:dyDescent="0.25">
      <c r="Y16031" s="501"/>
    </row>
    <row r="16032" spans="25:25" hidden="1" x14ac:dyDescent="0.25">
      <c r="Y16032" s="501"/>
    </row>
    <row r="16033" spans="25:25" hidden="1" x14ac:dyDescent="0.25">
      <c r="Y16033" s="501"/>
    </row>
    <row r="16034" spans="25:25" hidden="1" x14ac:dyDescent="0.25">
      <c r="Y16034" s="501"/>
    </row>
    <row r="16035" spans="25:25" hidden="1" x14ac:dyDescent="0.25">
      <c r="Y16035" s="501"/>
    </row>
    <row r="16036" spans="25:25" hidden="1" x14ac:dyDescent="0.25">
      <c r="Y16036" s="501"/>
    </row>
    <row r="16037" spans="25:25" hidden="1" x14ac:dyDescent="0.25">
      <c r="Y16037" s="501"/>
    </row>
    <row r="16038" spans="25:25" hidden="1" x14ac:dyDescent="0.25">
      <c r="Y16038" s="501"/>
    </row>
    <row r="16039" spans="25:25" hidden="1" x14ac:dyDescent="0.25">
      <c r="Y16039" s="501"/>
    </row>
    <row r="16040" spans="25:25" hidden="1" x14ac:dyDescent="0.25">
      <c r="Y16040" s="501"/>
    </row>
    <row r="16041" spans="25:25" hidden="1" x14ac:dyDescent="0.25">
      <c r="Y16041" s="501"/>
    </row>
    <row r="16042" spans="25:25" hidden="1" x14ac:dyDescent="0.25">
      <c r="Y16042" s="501"/>
    </row>
    <row r="16043" spans="25:25" hidden="1" x14ac:dyDescent="0.25">
      <c r="Y16043" s="501"/>
    </row>
    <row r="16044" spans="25:25" hidden="1" x14ac:dyDescent="0.25">
      <c r="Y16044" s="501"/>
    </row>
    <row r="16045" spans="25:25" hidden="1" x14ac:dyDescent="0.25">
      <c r="Y16045" s="501"/>
    </row>
    <row r="16046" spans="25:25" hidden="1" x14ac:dyDescent="0.25">
      <c r="Y16046" s="501"/>
    </row>
    <row r="16047" spans="25:25" hidden="1" x14ac:dyDescent="0.25">
      <c r="Y16047" s="501"/>
    </row>
    <row r="16048" spans="25:25" hidden="1" x14ac:dyDescent="0.25">
      <c r="Y16048" s="501"/>
    </row>
    <row r="16049" spans="25:25" hidden="1" x14ac:dyDescent="0.25">
      <c r="Y16049" s="501"/>
    </row>
    <row r="16050" spans="25:25" hidden="1" x14ac:dyDescent="0.25">
      <c r="Y16050" s="501"/>
    </row>
    <row r="16051" spans="25:25" hidden="1" x14ac:dyDescent="0.25">
      <c r="Y16051" s="501"/>
    </row>
    <row r="16052" spans="25:25" hidden="1" x14ac:dyDescent="0.25">
      <c r="Y16052" s="501"/>
    </row>
    <row r="16053" spans="25:25" hidden="1" x14ac:dyDescent="0.25">
      <c r="Y16053" s="501"/>
    </row>
    <row r="16054" spans="25:25" hidden="1" x14ac:dyDescent="0.25">
      <c r="Y16054" s="501"/>
    </row>
    <row r="16055" spans="25:25" hidden="1" x14ac:dyDescent="0.25">
      <c r="Y16055" s="501"/>
    </row>
    <row r="16056" spans="25:25" hidden="1" x14ac:dyDescent="0.25">
      <c r="Y16056" s="501"/>
    </row>
    <row r="16057" spans="25:25" hidden="1" x14ac:dyDescent="0.25">
      <c r="Y16057" s="501"/>
    </row>
    <row r="16058" spans="25:25" hidden="1" x14ac:dyDescent="0.25">
      <c r="Y16058" s="501"/>
    </row>
    <row r="16059" spans="25:25" hidden="1" x14ac:dyDescent="0.25">
      <c r="Y16059" s="501"/>
    </row>
    <row r="16060" spans="25:25" hidden="1" x14ac:dyDescent="0.25">
      <c r="Y16060" s="501"/>
    </row>
    <row r="16061" spans="25:25" hidden="1" x14ac:dyDescent="0.25">
      <c r="Y16061" s="501"/>
    </row>
    <row r="16062" spans="25:25" hidden="1" x14ac:dyDescent="0.25">
      <c r="Y16062" s="501"/>
    </row>
    <row r="16063" spans="25:25" hidden="1" x14ac:dyDescent="0.25">
      <c r="Y16063" s="501"/>
    </row>
    <row r="16064" spans="25:25" hidden="1" x14ac:dyDescent="0.25">
      <c r="Y16064" s="501"/>
    </row>
    <row r="16065" spans="25:25" hidden="1" x14ac:dyDescent="0.25">
      <c r="Y16065" s="501"/>
    </row>
    <row r="16066" spans="25:25" hidden="1" x14ac:dyDescent="0.25">
      <c r="Y16066" s="501"/>
    </row>
    <row r="16067" spans="25:25" hidden="1" x14ac:dyDescent="0.25">
      <c r="Y16067" s="501"/>
    </row>
    <row r="16068" spans="25:25" hidden="1" x14ac:dyDescent="0.25">
      <c r="Y16068" s="501"/>
    </row>
    <row r="16069" spans="25:25" hidden="1" x14ac:dyDescent="0.25">
      <c r="Y16069" s="501"/>
    </row>
    <row r="16070" spans="25:25" hidden="1" x14ac:dyDescent="0.25">
      <c r="Y16070" s="501"/>
    </row>
    <row r="16071" spans="25:25" hidden="1" x14ac:dyDescent="0.25">
      <c r="Y16071" s="501"/>
    </row>
    <row r="16072" spans="25:25" hidden="1" x14ac:dyDescent="0.25">
      <c r="Y16072" s="501"/>
    </row>
    <row r="16073" spans="25:25" hidden="1" x14ac:dyDescent="0.25">
      <c r="Y16073" s="501"/>
    </row>
    <row r="16074" spans="25:25" hidden="1" x14ac:dyDescent="0.25">
      <c r="Y16074" s="501"/>
    </row>
    <row r="16075" spans="25:25" hidden="1" x14ac:dyDescent="0.25">
      <c r="Y16075" s="501"/>
    </row>
    <row r="16076" spans="25:25" hidden="1" x14ac:dyDescent="0.25">
      <c r="Y16076" s="501"/>
    </row>
    <row r="16077" spans="25:25" hidden="1" x14ac:dyDescent="0.25">
      <c r="Y16077" s="501"/>
    </row>
    <row r="16078" spans="25:25" hidden="1" x14ac:dyDescent="0.25">
      <c r="Y16078" s="501"/>
    </row>
    <row r="16079" spans="25:25" hidden="1" x14ac:dyDescent="0.25">
      <c r="Y16079" s="501"/>
    </row>
    <row r="16080" spans="25:25" hidden="1" x14ac:dyDescent="0.25">
      <c r="Y16080" s="501"/>
    </row>
    <row r="16081" spans="25:25" hidden="1" x14ac:dyDescent="0.25">
      <c r="Y16081" s="501"/>
    </row>
    <row r="16082" spans="25:25" hidden="1" x14ac:dyDescent="0.25">
      <c r="Y16082" s="501"/>
    </row>
    <row r="16083" spans="25:25" hidden="1" x14ac:dyDescent="0.25">
      <c r="Y16083" s="501"/>
    </row>
    <row r="16084" spans="25:25" hidden="1" x14ac:dyDescent="0.25">
      <c r="Y16084" s="501"/>
    </row>
    <row r="16085" spans="25:25" hidden="1" x14ac:dyDescent="0.25">
      <c r="Y16085" s="501"/>
    </row>
    <row r="16086" spans="25:25" hidden="1" x14ac:dyDescent="0.25">
      <c r="Y16086" s="501"/>
    </row>
    <row r="16087" spans="25:25" hidden="1" x14ac:dyDescent="0.25">
      <c r="Y16087" s="501"/>
    </row>
    <row r="16088" spans="25:25" hidden="1" x14ac:dyDescent="0.25">
      <c r="Y16088" s="501"/>
    </row>
    <row r="16089" spans="25:25" hidden="1" x14ac:dyDescent="0.25">
      <c r="Y16089" s="501"/>
    </row>
    <row r="16090" spans="25:25" hidden="1" x14ac:dyDescent="0.25">
      <c r="Y16090" s="501"/>
    </row>
    <row r="16091" spans="25:25" hidden="1" x14ac:dyDescent="0.25">
      <c r="Y16091" s="501"/>
    </row>
    <row r="16092" spans="25:25" hidden="1" x14ac:dyDescent="0.25">
      <c r="Y16092" s="501"/>
    </row>
    <row r="16093" spans="25:25" hidden="1" x14ac:dyDescent="0.25">
      <c r="Y16093" s="501"/>
    </row>
    <row r="16094" spans="25:25" hidden="1" x14ac:dyDescent="0.25">
      <c r="Y16094" s="501"/>
    </row>
    <row r="16095" spans="25:25" hidden="1" x14ac:dyDescent="0.25">
      <c r="Y16095" s="501"/>
    </row>
    <row r="16096" spans="25:25" hidden="1" x14ac:dyDescent="0.25">
      <c r="Y16096" s="501"/>
    </row>
    <row r="16097" spans="25:25" hidden="1" x14ac:dyDescent="0.25">
      <c r="Y16097" s="501"/>
    </row>
    <row r="16098" spans="25:25" hidden="1" x14ac:dyDescent="0.25">
      <c r="Y16098" s="501"/>
    </row>
    <row r="16099" spans="25:25" hidden="1" x14ac:dyDescent="0.25">
      <c r="Y16099" s="501"/>
    </row>
    <row r="16100" spans="25:25" hidden="1" x14ac:dyDescent="0.25">
      <c r="Y16100" s="501"/>
    </row>
    <row r="16101" spans="25:25" hidden="1" x14ac:dyDescent="0.25">
      <c r="Y16101" s="501"/>
    </row>
    <row r="16102" spans="25:25" hidden="1" x14ac:dyDescent="0.25">
      <c r="Y16102" s="501"/>
    </row>
    <row r="16103" spans="25:25" hidden="1" x14ac:dyDescent="0.25">
      <c r="Y16103" s="501"/>
    </row>
    <row r="16104" spans="25:25" hidden="1" x14ac:dyDescent="0.25">
      <c r="Y16104" s="501"/>
    </row>
    <row r="16105" spans="25:25" hidden="1" x14ac:dyDescent="0.25">
      <c r="Y16105" s="501"/>
    </row>
    <row r="16106" spans="25:25" hidden="1" x14ac:dyDescent="0.25">
      <c r="Y16106" s="501"/>
    </row>
    <row r="16107" spans="25:25" hidden="1" x14ac:dyDescent="0.25">
      <c r="Y16107" s="501"/>
    </row>
    <row r="16108" spans="25:25" hidden="1" x14ac:dyDescent="0.25">
      <c r="Y16108" s="501"/>
    </row>
    <row r="16109" spans="25:25" hidden="1" x14ac:dyDescent="0.25">
      <c r="Y16109" s="501"/>
    </row>
    <row r="16110" spans="25:25" hidden="1" x14ac:dyDescent="0.25">
      <c r="Y16110" s="501"/>
    </row>
    <row r="16111" spans="25:25" hidden="1" x14ac:dyDescent="0.25">
      <c r="Y16111" s="501"/>
    </row>
    <row r="16112" spans="25:25" hidden="1" x14ac:dyDescent="0.25">
      <c r="Y16112" s="501"/>
    </row>
    <row r="16113" spans="25:25" hidden="1" x14ac:dyDescent="0.25">
      <c r="Y16113" s="501"/>
    </row>
    <row r="16114" spans="25:25" hidden="1" x14ac:dyDescent="0.25">
      <c r="Y16114" s="501"/>
    </row>
    <row r="16115" spans="25:25" hidden="1" x14ac:dyDescent="0.25">
      <c r="Y16115" s="501"/>
    </row>
    <row r="16116" spans="25:25" hidden="1" x14ac:dyDescent="0.25">
      <c r="Y16116" s="501"/>
    </row>
    <row r="16117" spans="25:25" hidden="1" x14ac:dyDescent="0.25">
      <c r="Y16117" s="501"/>
    </row>
    <row r="16118" spans="25:25" hidden="1" x14ac:dyDescent="0.25">
      <c r="Y16118" s="501"/>
    </row>
    <row r="16119" spans="25:25" hidden="1" x14ac:dyDescent="0.25">
      <c r="Y16119" s="501"/>
    </row>
    <row r="16120" spans="25:25" hidden="1" x14ac:dyDescent="0.25">
      <c r="Y16120" s="501"/>
    </row>
    <row r="16121" spans="25:25" hidden="1" x14ac:dyDescent="0.25">
      <c r="Y16121" s="501"/>
    </row>
    <row r="16122" spans="25:25" hidden="1" x14ac:dyDescent="0.25">
      <c r="Y16122" s="501"/>
    </row>
    <row r="16123" spans="25:25" hidden="1" x14ac:dyDescent="0.25">
      <c r="Y16123" s="501"/>
    </row>
    <row r="16124" spans="25:25" hidden="1" x14ac:dyDescent="0.25">
      <c r="Y16124" s="501"/>
    </row>
    <row r="16125" spans="25:25" hidden="1" x14ac:dyDescent="0.25">
      <c r="Y16125" s="501"/>
    </row>
    <row r="16126" spans="25:25" hidden="1" x14ac:dyDescent="0.25">
      <c r="Y16126" s="501"/>
    </row>
    <row r="16127" spans="25:25" hidden="1" x14ac:dyDescent="0.25">
      <c r="Y16127" s="501"/>
    </row>
    <row r="16128" spans="25:25" hidden="1" x14ac:dyDescent="0.25">
      <c r="Y16128" s="501"/>
    </row>
    <row r="16129" spans="25:25" hidden="1" x14ac:dyDescent="0.25">
      <c r="Y16129" s="501"/>
    </row>
    <row r="16130" spans="25:25" hidden="1" x14ac:dyDescent="0.25">
      <c r="Y16130" s="501"/>
    </row>
    <row r="16131" spans="25:25" hidden="1" x14ac:dyDescent="0.25">
      <c r="Y16131" s="501"/>
    </row>
    <row r="16132" spans="25:25" hidden="1" x14ac:dyDescent="0.25">
      <c r="Y16132" s="501"/>
    </row>
    <row r="16133" spans="25:25" hidden="1" x14ac:dyDescent="0.25">
      <c r="Y16133" s="501"/>
    </row>
    <row r="16134" spans="25:25" hidden="1" x14ac:dyDescent="0.25">
      <c r="Y16134" s="501"/>
    </row>
    <row r="16135" spans="25:25" hidden="1" x14ac:dyDescent="0.25">
      <c r="Y16135" s="501"/>
    </row>
    <row r="16136" spans="25:25" hidden="1" x14ac:dyDescent="0.25">
      <c r="Y16136" s="501"/>
    </row>
    <row r="16137" spans="25:25" hidden="1" x14ac:dyDescent="0.25">
      <c r="Y16137" s="501"/>
    </row>
    <row r="16138" spans="25:25" hidden="1" x14ac:dyDescent="0.25">
      <c r="Y16138" s="501"/>
    </row>
    <row r="16139" spans="25:25" hidden="1" x14ac:dyDescent="0.25">
      <c r="Y16139" s="501"/>
    </row>
    <row r="16140" spans="25:25" hidden="1" x14ac:dyDescent="0.25">
      <c r="Y16140" s="501"/>
    </row>
    <row r="16141" spans="25:25" hidden="1" x14ac:dyDescent="0.25">
      <c r="Y16141" s="501"/>
    </row>
    <row r="16142" spans="25:25" hidden="1" x14ac:dyDescent="0.25">
      <c r="Y16142" s="501"/>
    </row>
    <row r="16143" spans="25:25" hidden="1" x14ac:dyDescent="0.25">
      <c r="Y16143" s="501"/>
    </row>
    <row r="16144" spans="25:25" hidden="1" x14ac:dyDescent="0.25">
      <c r="Y16144" s="501"/>
    </row>
    <row r="16145" spans="25:25" hidden="1" x14ac:dyDescent="0.25">
      <c r="Y16145" s="501"/>
    </row>
    <row r="16146" spans="25:25" hidden="1" x14ac:dyDescent="0.25">
      <c r="Y16146" s="501"/>
    </row>
    <row r="16147" spans="25:25" hidden="1" x14ac:dyDescent="0.25">
      <c r="Y16147" s="501"/>
    </row>
    <row r="16148" spans="25:25" hidden="1" x14ac:dyDescent="0.25">
      <c r="Y16148" s="501"/>
    </row>
    <row r="16149" spans="25:25" hidden="1" x14ac:dyDescent="0.25">
      <c r="Y16149" s="501"/>
    </row>
    <row r="16150" spans="25:25" hidden="1" x14ac:dyDescent="0.25">
      <c r="Y16150" s="501"/>
    </row>
    <row r="16151" spans="25:25" hidden="1" x14ac:dyDescent="0.25">
      <c r="Y16151" s="501"/>
    </row>
    <row r="16152" spans="25:25" hidden="1" x14ac:dyDescent="0.25">
      <c r="Y16152" s="501"/>
    </row>
    <row r="16153" spans="25:25" hidden="1" x14ac:dyDescent="0.25">
      <c r="Y16153" s="501"/>
    </row>
    <row r="16154" spans="25:25" hidden="1" x14ac:dyDescent="0.25">
      <c r="Y16154" s="501"/>
    </row>
    <row r="16155" spans="25:25" hidden="1" x14ac:dyDescent="0.25">
      <c r="Y16155" s="501"/>
    </row>
    <row r="16156" spans="25:25" hidden="1" x14ac:dyDescent="0.25">
      <c r="Y16156" s="501"/>
    </row>
    <row r="16157" spans="25:25" hidden="1" x14ac:dyDescent="0.25">
      <c r="Y16157" s="501"/>
    </row>
    <row r="16158" spans="25:25" hidden="1" x14ac:dyDescent="0.25">
      <c r="Y16158" s="501"/>
    </row>
    <row r="16159" spans="25:25" hidden="1" x14ac:dyDescent="0.25">
      <c r="Y16159" s="501"/>
    </row>
    <row r="16160" spans="25:25" hidden="1" x14ac:dyDescent="0.25">
      <c r="Y16160" s="501"/>
    </row>
    <row r="16161" spans="25:25" hidden="1" x14ac:dyDescent="0.25">
      <c r="Y16161" s="501"/>
    </row>
    <row r="16162" spans="25:25" hidden="1" x14ac:dyDescent="0.25">
      <c r="Y16162" s="501"/>
    </row>
    <row r="16163" spans="25:25" hidden="1" x14ac:dyDescent="0.25">
      <c r="Y16163" s="501"/>
    </row>
    <row r="16164" spans="25:25" hidden="1" x14ac:dyDescent="0.25">
      <c r="Y16164" s="501"/>
    </row>
    <row r="16165" spans="25:25" hidden="1" x14ac:dyDescent="0.25">
      <c r="Y16165" s="501"/>
    </row>
    <row r="16166" spans="25:25" hidden="1" x14ac:dyDescent="0.25">
      <c r="Y16166" s="501"/>
    </row>
    <row r="16167" spans="25:25" hidden="1" x14ac:dyDescent="0.25">
      <c r="Y16167" s="501"/>
    </row>
    <row r="16168" spans="25:25" hidden="1" x14ac:dyDescent="0.25">
      <c r="Y16168" s="501"/>
    </row>
    <row r="16169" spans="25:25" hidden="1" x14ac:dyDescent="0.25">
      <c r="Y16169" s="501"/>
    </row>
    <row r="16170" spans="25:25" hidden="1" x14ac:dyDescent="0.25">
      <c r="Y16170" s="501"/>
    </row>
    <row r="16171" spans="25:25" hidden="1" x14ac:dyDescent="0.25">
      <c r="Y16171" s="501"/>
    </row>
    <row r="16172" spans="25:25" hidden="1" x14ac:dyDescent="0.25">
      <c r="Y16172" s="501"/>
    </row>
    <row r="16173" spans="25:25" hidden="1" x14ac:dyDescent="0.25">
      <c r="Y16173" s="501"/>
    </row>
    <row r="16174" spans="25:25" hidden="1" x14ac:dyDescent="0.25">
      <c r="Y16174" s="501"/>
    </row>
    <row r="16175" spans="25:25" hidden="1" x14ac:dyDescent="0.25">
      <c r="Y16175" s="501"/>
    </row>
    <row r="16176" spans="25:25" hidden="1" x14ac:dyDescent="0.25">
      <c r="Y16176" s="501"/>
    </row>
    <row r="16177" spans="25:25" hidden="1" x14ac:dyDescent="0.25">
      <c r="Y16177" s="501"/>
    </row>
    <row r="16178" spans="25:25" hidden="1" x14ac:dyDescent="0.25">
      <c r="Y16178" s="501"/>
    </row>
    <row r="16179" spans="25:25" hidden="1" x14ac:dyDescent="0.25">
      <c r="Y16179" s="501"/>
    </row>
    <row r="16180" spans="25:25" hidden="1" x14ac:dyDescent="0.25">
      <c r="Y16180" s="501"/>
    </row>
    <row r="16181" spans="25:25" hidden="1" x14ac:dyDescent="0.25">
      <c r="Y16181" s="501"/>
    </row>
    <row r="16182" spans="25:25" hidden="1" x14ac:dyDescent="0.25">
      <c r="Y16182" s="501"/>
    </row>
    <row r="16183" spans="25:25" hidden="1" x14ac:dyDescent="0.25">
      <c r="Y16183" s="501"/>
    </row>
    <row r="16184" spans="25:25" hidden="1" x14ac:dyDescent="0.25">
      <c r="Y16184" s="501"/>
    </row>
    <row r="16185" spans="25:25" hidden="1" x14ac:dyDescent="0.25">
      <c r="Y16185" s="501"/>
    </row>
    <row r="16186" spans="25:25" hidden="1" x14ac:dyDescent="0.25">
      <c r="Y16186" s="501"/>
    </row>
    <row r="16187" spans="25:25" hidden="1" x14ac:dyDescent="0.25">
      <c r="Y16187" s="501"/>
    </row>
    <row r="16188" spans="25:25" hidden="1" x14ac:dyDescent="0.25">
      <c r="Y16188" s="501"/>
    </row>
    <row r="16189" spans="25:25" hidden="1" x14ac:dyDescent="0.25">
      <c r="Y16189" s="501"/>
    </row>
    <row r="16190" spans="25:25" hidden="1" x14ac:dyDescent="0.25">
      <c r="Y16190" s="501"/>
    </row>
    <row r="16191" spans="25:25" hidden="1" x14ac:dyDescent="0.25">
      <c r="Y16191" s="501"/>
    </row>
    <row r="16192" spans="25:25" hidden="1" x14ac:dyDescent="0.25">
      <c r="Y16192" s="501"/>
    </row>
    <row r="16193" spans="25:25" hidden="1" x14ac:dyDescent="0.25">
      <c r="Y16193" s="501"/>
    </row>
    <row r="16194" spans="25:25" hidden="1" x14ac:dyDescent="0.25">
      <c r="Y16194" s="501"/>
    </row>
    <row r="16195" spans="25:25" hidden="1" x14ac:dyDescent="0.25">
      <c r="Y16195" s="501"/>
    </row>
    <row r="16196" spans="25:25" hidden="1" x14ac:dyDescent="0.25">
      <c r="Y16196" s="501"/>
    </row>
    <row r="16197" spans="25:25" hidden="1" x14ac:dyDescent="0.25">
      <c r="Y16197" s="501"/>
    </row>
    <row r="16198" spans="25:25" hidden="1" x14ac:dyDescent="0.25">
      <c r="Y16198" s="501"/>
    </row>
    <row r="16199" spans="25:25" hidden="1" x14ac:dyDescent="0.25">
      <c r="Y16199" s="501"/>
    </row>
    <row r="16200" spans="25:25" hidden="1" x14ac:dyDescent="0.25">
      <c r="Y16200" s="501"/>
    </row>
    <row r="16201" spans="25:25" hidden="1" x14ac:dyDescent="0.25">
      <c r="Y16201" s="501"/>
    </row>
    <row r="16202" spans="25:25" hidden="1" x14ac:dyDescent="0.25">
      <c r="Y16202" s="501"/>
    </row>
    <row r="16203" spans="25:25" hidden="1" x14ac:dyDescent="0.25">
      <c r="Y16203" s="501"/>
    </row>
    <row r="16204" spans="25:25" hidden="1" x14ac:dyDescent="0.25">
      <c r="Y16204" s="501"/>
    </row>
    <row r="16205" spans="25:25" hidden="1" x14ac:dyDescent="0.25">
      <c r="Y16205" s="501"/>
    </row>
    <row r="16206" spans="25:25" hidden="1" x14ac:dyDescent="0.25">
      <c r="Y16206" s="501"/>
    </row>
    <row r="16207" spans="25:25" hidden="1" x14ac:dyDescent="0.25">
      <c r="Y16207" s="501"/>
    </row>
    <row r="16208" spans="25:25" hidden="1" x14ac:dyDescent="0.25">
      <c r="Y16208" s="501"/>
    </row>
    <row r="16209" spans="25:25" hidden="1" x14ac:dyDescent="0.25">
      <c r="Y16209" s="501"/>
    </row>
    <row r="16210" spans="25:25" hidden="1" x14ac:dyDescent="0.25">
      <c r="Y16210" s="501"/>
    </row>
    <row r="16211" spans="25:25" hidden="1" x14ac:dyDescent="0.25">
      <c r="Y16211" s="501"/>
    </row>
    <row r="16212" spans="25:25" hidden="1" x14ac:dyDescent="0.25">
      <c r="Y16212" s="501"/>
    </row>
    <row r="16213" spans="25:25" hidden="1" x14ac:dyDescent="0.25">
      <c r="Y16213" s="501"/>
    </row>
    <row r="16214" spans="25:25" hidden="1" x14ac:dyDescent="0.25">
      <c r="Y16214" s="501"/>
    </row>
    <row r="16215" spans="25:25" hidden="1" x14ac:dyDescent="0.25">
      <c r="Y16215" s="501"/>
    </row>
    <row r="16216" spans="25:25" hidden="1" x14ac:dyDescent="0.25">
      <c r="Y16216" s="501"/>
    </row>
    <row r="16217" spans="25:25" hidden="1" x14ac:dyDescent="0.25">
      <c r="Y16217" s="501"/>
    </row>
    <row r="16218" spans="25:25" hidden="1" x14ac:dyDescent="0.25">
      <c r="Y16218" s="501"/>
    </row>
    <row r="16219" spans="25:25" hidden="1" x14ac:dyDescent="0.25">
      <c r="Y16219" s="501"/>
    </row>
    <row r="16220" spans="25:25" hidden="1" x14ac:dyDescent="0.25">
      <c r="Y16220" s="501"/>
    </row>
    <row r="16221" spans="25:25" hidden="1" x14ac:dyDescent="0.25">
      <c r="Y16221" s="501"/>
    </row>
    <row r="16222" spans="25:25" hidden="1" x14ac:dyDescent="0.25">
      <c r="Y16222" s="501"/>
    </row>
    <row r="16223" spans="25:25" hidden="1" x14ac:dyDescent="0.25">
      <c r="Y16223" s="501"/>
    </row>
    <row r="16224" spans="25:25" hidden="1" x14ac:dyDescent="0.25">
      <c r="Y16224" s="501"/>
    </row>
    <row r="16225" spans="25:25" hidden="1" x14ac:dyDescent="0.25">
      <c r="Y16225" s="501"/>
    </row>
    <row r="16226" spans="25:25" hidden="1" x14ac:dyDescent="0.25">
      <c r="Y16226" s="501"/>
    </row>
    <row r="16227" spans="25:25" hidden="1" x14ac:dyDescent="0.25">
      <c r="Y16227" s="501"/>
    </row>
    <row r="16228" spans="25:25" hidden="1" x14ac:dyDescent="0.25">
      <c r="Y16228" s="501"/>
    </row>
    <row r="16229" spans="25:25" hidden="1" x14ac:dyDescent="0.25">
      <c r="Y16229" s="501"/>
    </row>
    <row r="16230" spans="25:25" hidden="1" x14ac:dyDescent="0.25">
      <c r="Y16230" s="501"/>
    </row>
    <row r="16231" spans="25:25" hidden="1" x14ac:dyDescent="0.25">
      <c r="Y16231" s="501"/>
    </row>
    <row r="16232" spans="25:25" hidden="1" x14ac:dyDescent="0.25">
      <c r="Y16232" s="501"/>
    </row>
    <row r="16233" spans="25:25" hidden="1" x14ac:dyDescent="0.25">
      <c r="Y16233" s="501"/>
    </row>
    <row r="16234" spans="25:25" hidden="1" x14ac:dyDescent="0.25">
      <c r="Y16234" s="501"/>
    </row>
    <row r="16235" spans="25:25" hidden="1" x14ac:dyDescent="0.25">
      <c r="Y16235" s="501"/>
    </row>
    <row r="16236" spans="25:25" hidden="1" x14ac:dyDescent="0.25">
      <c r="Y16236" s="501"/>
    </row>
    <row r="16237" spans="25:25" hidden="1" x14ac:dyDescent="0.25">
      <c r="Y16237" s="501"/>
    </row>
    <row r="16238" spans="25:25" hidden="1" x14ac:dyDescent="0.25">
      <c r="Y16238" s="501"/>
    </row>
    <row r="16239" spans="25:25" hidden="1" x14ac:dyDescent="0.25">
      <c r="Y16239" s="501"/>
    </row>
    <row r="16240" spans="25:25" hidden="1" x14ac:dyDescent="0.25">
      <c r="Y16240" s="501"/>
    </row>
    <row r="16241" spans="25:25" hidden="1" x14ac:dyDescent="0.25">
      <c r="Y16241" s="501"/>
    </row>
    <row r="16242" spans="25:25" hidden="1" x14ac:dyDescent="0.25">
      <c r="Y16242" s="501"/>
    </row>
    <row r="16243" spans="25:25" hidden="1" x14ac:dyDescent="0.25">
      <c r="Y16243" s="501"/>
    </row>
    <row r="16244" spans="25:25" hidden="1" x14ac:dyDescent="0.25">
      <c r="Y16244" s="501"/>
    </row>
    <row r="16245" spans="25:25" hidden="1" x14ac:dyDescent="0.25">
      <c r="Y16245" s="501"/>
    </row>
    <row r="16246" spans="25:25" hidden="1" x14ac:dyDescent="0.25">
      <c r="Y16246" s="501"/>
    </row>
    <row r="16247" spans="25:25" hidden="1" x14ac:dyDescent="0.25">
      <c r="Y16247" s="501"/>
    </row>
    <row r="16248" spans="25:25" hidden="1" x14ac:dyDescent="0.25">
      <c r="Y16248" s="501"/>
    </row>
    <row r="16249" spans="25:25" hidden="1" x14ac:dyDescent="0.25">
      <c r="Y16249" s="501"/>
    </row>
    <row r="16250" spans="25:25" hidden="1" x14ac:dyDescent="0.25">
      <c r="Y16250" s="501"/>
    </row>
    <row r="16251" spans="25:25" hidden="1" x14ac:dyDescent="0.25">
      <c r="Y16251" s="501"/>
    </row>
    <row r="16252" spans="25:25" hidden="1" x14ac:dyDescent="0.25">
      <c r="Y16252" s="501"/>
    </row>
    <row r="16253" spans="25:25" hidden="1" x14ac:dyDescent="0.25">
      <c r="Y16253" s="501"/>
    </row>
    <row r="16254" spans="25:25" hidden="1" x14ac:dyDescent="0.25">
      <c r="Y16254" s="501"/>
    </row>
    <row r="16255" spans="25:25" hidden="1" x14ac:dyDescent="0.25">
      <c r="Y16255" s="501"/>
    </row>
    <row r="16256" spans="25:25" hidden="1" x14ac:dyDescent="0.25">
      <c r="Y16256" s="501"/>
    </row>
    <row r="16257" spans="25:25" hidden="1" x14ac:dyDescent="0.25">
      <c r="Y16257" s="501"/>
    </row>
    <row r="16258" spans="25:25" hidden="1" x14ac:dyDescent="0.25">
      <c r="Y16258" s="501"/>
    </row>
    <row r="16259" spans="25:25" hidden="1" x14ac:dyDescent="0.25">
      <c r="Y16259" s="501"/>
    </row>
    <row r="16260" spans="25:25" hidden="1" x14ac:dyDescent="0.25">
      <c r="Y16260" s="501"/>
    </row>
    <row r="16261" spans="25:25" hidden="1" x14ac:dyDescent="0.25">
      <c r="Y16261" s="501"/>
    </row>
    <row r="16262" spans="25:25" hidden="1" x14ac:dyDescent="0.25">
      <c r="Y16262" s="501"/>
    </row>
    <row r="16263" spans="25:25" hidden="1" x14ac:dyDescent="0.25">
      <c r="Y16263" s="501"/>
    </row>
    <row r="16264" spans="25:25" hidden="1" x14ac:dyDescent="0.25">
      <c r="Y16264" s="501"/>
    </row>
    <row r="16265" spans="25:25" hidden="1" x14ac:dyDescent="0.25">
      <c r="Y16265" s="501"/>
    </row>
    <row r="16266" spans="25:25" hidden="1" x14ac:dyDescent="0.25">
      <c r="Y16266" s="501"/>
    </row>
    <row r="16267" spans="25:25" hidden="1" x14ac:dyDescent="0.25">
      <c r="Y16267" s="501"/>
    </row>
    <row r="16268" spans="25:25" hidden="1" x14ac:dyDescent="0.25">
      <c r="Y16268" s="501"/>
    </row>
    <row r="16269" spans="25:25" hidden="1" x14ac:dyDescent="0.25">
      <c r="Y16269" s="501"/>
    </row>
    <row r="16270" spans="25:25" hidden="1" x14ac:dyDescent="0.25">
      <c r="Y16270" s="501"/>
    </row>
    <row r="16271" spans="25:25" hidden="1" x14ac:dyDescent="0.25">
      <c r="Y16271" s="501"/>
    </row>
    <row r="16272" spans="25:25" hidden="1" x14ac:dyDescent="0.25">
      <c r="Y16272" s="501"/>
    </row>
    <row r="16273" spans="25:25" hidden="1" x14ac:dyDescent="0.25">
      <c r="Y16273" s="501"/>
    </row>
    <row r="16274" spans="25:25" hidden="1" x14ac:dyDescent="0.25">
      <c r="Y16274" s="501"/>
    </row>
    <row r="16275" spans="25:25" hidden="1" x14ac:dyDescent="0.25">
      <c r="Y16275" s="501"/>
    </row>
    <row r="16276" spans="25:25" hidden="1" x14ac:dyDescent="0.25">
      <c r="Y16276" s="501"/>
    </row>
    <row r="16277" spans="25:25" hidden="1" x14ac:dyDescent="0.25">
      <c r="Y16277" s="501"/>
    </row>
    <row r="16278" spans="25:25" hidden="1" x14ac:dyDescent="0.25">
      <c r="Y16278" s="501"/>
    </row>
    <row r="16279" spans="25:25" hidden="1" x14ac:dyDescent="0.25">
      <c r="Y16279" s="501"/>
    </row>
    <row r="16280" spans="25:25" hidden="1" x14ac:dyDescent="0.25">
      <c r="Y16280" s="501"/>
    </row>
    <row r="16281" spans="25:25" hidden="1" x14ac:dyDescent="0.25">
      <c r="Y16281" s="501"/>
    </row>
    <row r="16282" spans="25:25" hidden="1" x14ac:dyDescent="0.25">
      <c r="Y16282" s="501"/>
    </row>
    <row r="16283" spans="25:25" hidden="1" x14ac:dyDescent="0.25">
      <c r="Y16283" s="501"/>
    </row>
    <row r="16284" spans="25:25" hidden="1" x14ac:dyDescent="0.25">
      <c r="Y16284" s="501"/>
    </row>
    <row r="16285" spans="25:25" hidden="1" x14ac:dyDescent="0.25">
      <c r="Y16285" s="501"/>
    </row>
    <row r="16286" spans="25:25" hidden="1" x14ac:dyDescent="0.25">
      <c r="Y16286" s="501"/>
    </row>
    <row r="16287" spans="25:25" hidden="1" x14ac:dyDescent="0.25">
      <c r="Y16287" s="501"/>
    </row>
    <row r="16288" spans="25:25" hidden="1" x14ac:dyDescent="0.25">
      <c r="Y16288" s="501"/>
    </row>
    <row r="16289" spans="25:25" hidden="1" x14ac:dyDescent="0.25">
      <c r="Y16289" s="501"/>
    </row>
    <row r="16290" spans="25:25" hidden="1" x14ac:dyDescent="0.25">
      <c r="Y16290" s="501"/>
    </row>
    <row r="16291" spans="25:25" hidden="1" x14ac:dyDescent="0.25">
      <c r="Y16291" s="501"/>
    </row>
    <row r="16292" spans="25:25" hidden="1" x14ac:dyDescent="0.25">
      <c r="Y16292" s="501"/>
    </row>
    <row r="16293" spans="25:25" hidden="1" x14ac:dyDescent="0.25">
      <c r="Y16293" s="501"/>
    </row>
    <row r="16294" spans="25:25" hidden="1" x14ac:dyDescent="0.25">
      <c r="Y16294" s="501"/>
    </row>
    <row r="16295" spans="25:25" hidden="1" x14ac:dyDescent="0.25">
      <c r="Y16295" s="501"/>
    </row>
    <row r="16296" spans="25:25" hidden="1" x14ac:dyDescent="0.25">
      <c r="Y16296" s="501"/>
    </row>
    <row r="16297" spans="25:25" hidden="1" x14ac:dyDescent="0.25">
      <c r="Y16297" s="501"/>
    </row>
    <row r="16298" spans="25:25" hidden="1" x14ac:dyDescent="0.25">
      <c r="Y16298" s="501"/>
    </row>
    <row r="16299" spans="25:25" hidden="1" x14ac:dyDescent="0.25">
      <c r="Y16299" s="501"/>
    </row>
    <row r="16300" spans="25:25" hidden="1" x14ac:dyDescent="0.25">
      <c r="Y16300" s="501"/>
    </row>
    <row r="16301" spans="25:25" hidden="1" x14ac:dyDescent="0.25">
      <c r="Y16301" s="501"/>
    </row>
    <row r="16302" spans="25:25" hidden="1" x14ac:dyDescent="0.25">
      <c r="Y16302" s="501"/>
    </row>
    <row r="16303" spans="25:25" hidden="1" x14ac:dyDescent="0.25">
      <c r="Y16303" s="501"/>
    </row>
    <row r="16304" spans="25:25" hidden="1" x14ac:dyDescent="0.25">
      <c r="Y16304" s="501"/>
    </row>
    <row r="16305" spans="25:25" hidden="1" x14ac:dyDescent="0.25">
      <c r="Y16305" s="501"/>
    </row>
    <row r="16306" spans="25:25" hidden="1" x14ac:dyDescent="0.25">
      <c r="Y16306" s="501"/>
    </row>
    <row r="16307" spans="25:25" hidden="1" x14ac:dyDescent="0.25">
      <c r="Y16307" s="501"/>
    </row>
    <row r="16308" spans="25:25" hidden="1" x14ac:dyDescent="0.25">
      <c r="Y16308" s="501"/>
    </row>
    <row r="16309" spans="25:25" hidden="1" x14ac:dyDescent="0.25">
      <c r="Y16309" s="501"/>
    </row>
    <row r="16310" spans="25:25" hidden="1" x14ac:dyDescent="0.25">
      <c r="Y16310" s="501"/>
    </row>
    <row r="16311" spans="25:25" hidden="1" x14ac:dyDescent="0.25">
      <c r="Y16311" s="501"/>
    </row>
    <row r="16312" spans="25:25" hidden="1" x14ac:dyDescent="0.25">
      <c r="Y16312" s="501"/>
    </row>
    <row r="16313" spans="25:25" hidden="1" x14ac:dyDescent="0.25">
      <c r="Y16313" s="501"/>
    </row>
    <row r="16314" spans="25:25" hidden="1" x14ac:dyDescent="0.25">
      <c r="Y16314" s="501"/>
    </row>
    <row r="16315" spans="25:25" hidden="1" x14ac:dyDescent="0.25">
      <c r="Y16315" s="501"/>
    </row>
    <row r="16316" spans="25:25" hidden="1" x14ac:dyDescent="0.25">
      <c r="Y16316" s="501"/>
    </row>
    <row r="16317" spans="25:25" hidden="1" x14ac:dyDescent="0.25">
      <c r="Y16317" s="501"/>
    </row>
    <row r="16318" spans="25:25" hidden="1" x14ac:dyDescent="0.25">
      <c r="Y16318" s="501"/>
    </row>
    <row r="16319" spans="25:25" hidden="1" x14ac:dyDescent="0.25">
      <c r="Y16319" s="501"/>
    </row>
    <row r="16320" spans="25:25" hidden="1" x14ac:dyDescent="0.25">
      <c r="Y16320" s="501"/>
    </row>
    <row r="16321" spans="25:25" hidden="1" x14ac:dyDescent="0.25">
      <c r="Y16321" s="501"/>
    </row>
    <row r="16322" spans="25:25" hidden="1" x14ac:dyDescent="0.25">
      <c r="Y16322" s="501"/>
    </row>
    <row r="16323" spans="25:25" hidden="1" x14ac:dyDescent="0.25">
      <c r="Y16323" s="501"/>
    </row>
    <row r="16324" spans="25:25" hidden="1" x14ac:dyDescent="0.25">
      <c r="Y16324" s="501"/>
    </row>
    <row r="16325" spans="25:25" hidden="1" x14ac:dyDescent="0.25">
      <c r="Y16325" s="501"/>
    </row>
    <row r="16326" spans="25:25" hidden="1" x14ac:dyDescent="0.25">
      <c r="Y16326" s="501"/>
    </row>
    <row r="16327" spans="25:25" hidden="1" x14ac:dyDescent="0.25">
      <c r="Y16327" s="501"/>
    </row>
    <row r="16328" spans="25:25" hidden="1" x14ac:dyDescent="0.25">
      <c r="Y16328" s="501"/>
    </row>
    <row r="16329" spans="25:25" hidden="1" x14ac:dyDescent="0.25">
      <c r="Y16329" s="501"/>
    </row>
    <row r="16330" spans="25:25" hidden="1" x14ac:dyDescent="0.25">
      <c r="Y16330" s="501"/>
    </row>
    <row r="16331" spans="25:25" hidden="1" x14ac:dyDescent="0.25">
      <c r="Y16331" s="501"/>
    </row>
    <row r="16332" spans="25:25" hidden="1" x14ac:dyDescent="0.25">
      <c r="Y16332" s="501"/>
    </row>
    <row r="16333" spans="25:25" hidden="1" x14ac:dyDescent="0.25">
      <c r="Y16333" s="501"/>
    </row>
    <row r="16334" spans="25:25" hidden="1" x14ac:dyDescent="0.25">
      <c r="Y16334" s="501"/>
    </row>
    <row r="16335" spans="25:25" hidden="1" x14ac:dyDescent="0.25">
      <c r="Y16335" s="501"/>
    </row>
    <row r="16336" spans="25:25" hidden="1" x14ac:dyDescent="0.25">
      <c r="Y16336" s="501"/>
    </row>
    <row r="16337" spans="25:25" hidden="1" x14ac:dyDescent="0.25">
      <c r="Y16337" s="501"/>
    </row>
    <row r="16338" spans="25:25" hidden="1" x14ac:dyDescent="0.25">
      <c r="Y16338" s="501"/>
    </row>
    <row r="16339" spans="25:25" hidden="1" x14ac:dyDescent="0.25">
      <c r="Y16339" s="501"/>
    </row>
    <row r="16340" spans="25:25" hidden="1" x14ac:dyDescent="0.25">
      <c r="Y16340" s="501"/>
    </row>
    <row r="16341" spans="25:25" hidden="1" x14ac:dyDescent="0.25">
      <c r="Y16341" s="501"/>
    </row>
    <row r="16342" spans="25:25" hidden="1" x14ac:dyDescent="0.25">
      <c r="Y16342" s="501"/>
    </row>
    <row r="16343" spans="25:25" hidden="1" x14ac:dyDescent="0.25">
      <c r="Y16343" s="501"/>
    </row>
    <row r="16344" spans="25:25" hidden="1" x14ac:dyDescent="0.25">
      <c r="Y16344" s="501"/>
    </row>
    <row r="16345" spans="25:25" hidden="1" x14ac:dyDescent="0.25">
      <c r="Y16345" s="501"/>
    </row>
    <row r="16346" spans="25:25" hidden="1" x14ac:dyDescent="0.25">
      <c r="Y16346" s="501"/>
    </row>
    <row r="16347" spans="25:25" hidden="1" x14ac:dyDescent="0.25">
      <c r="Y16347" s="501"/>
    </row>
    <row r="16348" spans="25:25" hidden="1" x14ac:dyDescent="0.25">
      <c r="Y16348" s="501"/>
    </row>
    <row r="16349" spans="25:25" hidden="1" x14ac:dyDescent="0.25">
      <c r="Y16349" s="501"/>
    </row>
    <row r="16350" spans="25:25" hidden="1" x14ac:dyDescent="0.25">
      <c r="Y16350" s="501"/>
    </row>
    <row r="16351" spans="25:25" hidden="1" x14ac:dyDescent="0.25">
      <c r="Y16351" s="501"/>
    </row>
    <row r="16352" spans="25:25" hidden="1" x14ac:dyDescent="0.25">
      <c r="Y16352" s="501"/>
    </row>
    <row r="16353" spans="25:25" hidden="1" x14ac:dyDescent="0.25">
      <c r="Y16353" s="501"/>
    </row>
    <row r="16354" spans="25:25" hidden="1" x14ac:dyDescent="0.25">
      <c r="Y16354" s="501"/>
    </row>
    <row r="16355" spans="25:25" hidden="1" x14ac:dyDescent="0.25">
      <c r="Y16355" s="501"/>
    </row>
    <row r="16356" spans="25:25" hidden="1" x14ac:dyDescent="0.25">
      <c r="Y16356" s="501"/>
    </row>
    <row r="16357" spans="25:25" hidden="1" x14ac:dyDescent="0.25">
      <c r="Y16357" s="501"/>
    </row>
    <row r="16358" spans="25:25" hidden="1" x14ac:dyDescent="0.25">
      <c r="Y16358" s="501"/>
    </row>
    <row r="16359" spans="25:25" hidden="1" x14ac:dyDescent="0.25">
      <c r="Y16359" s="501"/>
    </row>
    <row r="16360" spans="25:25" hidden="1" x14ac:dyDescent="0.25">
      <c r="Y16360" s="501"/>
    </row>
    <row r="16361" spans="25:25" hidden="1" x14ac:dyDescent="0.25">
      <c r="Y16361" s="501"/>
    </row>
    <row r="16362" spans="25:25" hidden="1" x14ac:dyDescent="0.25">
      <c r="Y16362" s="501"/>
    </row>
    <row r="16363" spans="25:25" hidden="1" x14ac:dyDescent="0.25">
      <c r="Y16363" s="501"/>
    </row>
    <row r="16364" spans="25:25" hidden="1" x14ac:dyDescent="0.25">
      <c r="Y16364" s="501"/>
    </row>
    <row r="16365" spans="25:25" hidden="1" x14ac:dyDescent="0.25">
      <c r="Y16365" s="501"/>
    </row>
    <row r="16366" spans="25:25" hidden="1" x14ac:dyDescent="0.25">
      <c r="Y16366" s="501"/>
    </row>
    <row r="16367" spans="25:25" hidden="1" x14ac:dyDescent="0.25">
      <c r="Y16367" s="501"/>
    </row>
    <row r="16368" spans="25:25" hidden="1" x14ac:dyDescent="0.25">
      <c r="Y16368" s="501"/>
    </row>
    <row r="16369" spans="25:25" hidden="1" x14ac:dyDescent="0.25">
      <c r="Y16369" s="501"/>
    </row>
    <row r="16370" spans="25:25" hidden="1" x14ac:dyDescent="0.25">
      <c r="Y16370" s="501"/>
    </row>
    <row r="16371" spans="25:25" hidden="1" x14ac:dyDescent="0.25">
      <c r="Y16371" s="501"/>
    </row>
    <row r="16372" spans="25:25" hidden="1" x14ac:dyDescent="0.25">
      <c r="Y16372" s="501"/>
    </row>
    <row r="16373" spans="25:25" hidden="1" x14ac:dyDescent="0.25">
      <c r="Y16373" s="501"/>
    </row>
    <row r="16374" spans="25:25" hidden="1" x14ac:dyDescent="0.25">
      <c r="Y16374" s="501"/>
    </row>
    <row r="16375" spans="25:25" hidden="1" x14ac:dyDescent="0.25">
      <c r="Y16375" s="501"/>
    </row>
    <row r="16376" spans="25:25" hidden="1" x14ac:dyDescent="0.25">
      <c r="Y16376" s="501"/>
    </row>
    <row r="16377" spans="25:25" hidden="1" x14ac:dyDescent="0.25">
      <c r="Y16377" s="501"/>
    </row>
    <row r="16378" spans="25:25" hidden="1" x14ac:dyDescent="0.25">
      <c r="Y16378" s="501"/>
    </row>
    <row r="16379" spans="25:25" hidden="1" x14ac:dyDescent="0.25">
      <c r="Y16379" s="501"/>
    </row>
    <row r="16380" spans="25:25" hidden="1" x14ac:dyDescent="0.25">
      <c r="Y16380" s="501"/>
    </row>
    <row r="16381" spans="25:25" hidden="1" x14ac:dyDescent="0.25">
      <c r="Y16381" s="501"/>
    </row>
    <row r="16382" spans="25:25" hidden="1" x14ac:dyDescent="0.25">
      <c r="Y16382" s="501"/>
    </row>
    <row r="16383" spans="25:25" hidden="1" x14ac:dyDescent="0.25">
      <c r="Y16383" s="501"/>
    </row>
    <row r="16384" spans="25:25" hidden="1" x14ac:dyDescent="0.25">
      <c r="Y16384" s="501"/>
    </row>
    <row r="16385" spans="25:25" hidden="1" x14ac:dyDescent="0.25">
      <c r="Y16385" s="501"/>
    </row>
    <row r="16386" spans="25:25" hidden="1" x14ac:dyDescent="0.25">
      <c r="Y16386" s="501"/>
    </row>
    <row r="16387" spans="25:25" hidden="1" x14ac:dyDescent="0.25">
      <c r="Y16387" s="501"/>
    </row>
    <row r="16388" spans="25:25" hidden="1" x14ac:dyDescent="0.25">
      <c r="Y16388" s="501"/>
    </row>
    <row r="16389" spans="25:25" hidden="1" x14ac:dyDescent="0.25">
      <c r="Y16389" s="501"/>
    </row>
    <row r="16390" spans="25:25" hidden="1" x14ac:dyDescent="0.25">
      <c r="Y16390" s="501"/>
    </row>
    <row r="16391" spans="25:25" hidden="1" x14ac:dyDescent="0.25">
      <c r="Y16391" s="501"/>
    </row>
    <row r="16392" spans="25:25" hidden="1" x14ac:dyDescent="0.25">
      <c r="Y16392" s="501"/>
    </row>
    <row r="16393" spans="25:25" hidden="1" x14ac:dyDescent="0.25">
      <c r="Y16393" s="501"/>
    </row>
    <row r="16394" spans="25:25" hidden="1" x14ac:dyDescent="0.25">
      <c r="Y16394" s="501"/>
    </row>
    <row r="16395" spans="25:25" hidden="1" x14ac:dyDescent="0.25">
      <c r="Y16395" s="501"/>
    </row>
    <row r="16396" spans="25:25" hidden="1" x14ac:dyDescent="0.25">
      <c r="Y16396" s="501"/>
    </row>
    <row r="16397" spans="25:25" hidden="1" x14ac:dyDescent="0.25">
      <c r="Y16397" s="501"/>
    </row>
    <row r="16398" spans="25:25" hidden="1" x14ac:dyDescent="0.25">
      <c r="Y16398" s="501"/>
    </row>
    <row r="16399" spans="25:25" hidden="1" x14ac:dyDescent="0.25">
      <c r="Y16399" s="501"/>
    </row>
    <row r="16400" spans="25:25" hidden="1" x14ac:dyDescent="0.25">
      <c r="Y16400" s="501"/>
    </row>
    <row r="16401" spans="25:25" hidden="1" x14ac:dyDescent="0.25">
      <c r="Y16401" s="501"/>
    </row>
    <row r="16402" spans="25:25" hidden="1" x14ac:dyDescent="0.25">
      <c r="Y16402" s="501"/>
    </row>
    <row r="16403" spans="25:25" hidden="1" x14ac:dyDescent="0.25">
      <c r="Y16403" s="501"/>
    </row>
    <row r="16404" spans="25:25" hidden="1" x14ac:dyDescent="0.25">
      <c r="Y16404" s="501"/>
    </row>
    <row r="16405" spans="25:25" hidden="1" x14ac:dyDescent="0.25">
      <c r="Y16405" s="501"/>
    </row>
    <row r="16406" spans="25:25" hidden="1" x14ac:dyDescent="0.25">
      <c r="Y16406" s="501"/>
    </row>
    <row r="16407" spans="25:25" hidden="1" x14ac:dyDescent="0.25">
      <c r="Y16407" s="501"/>
    </row>
    <row r="16408" spans="25:25" hidden="1" x14ac:dyDescent="0.25">
      <c r="Y16408" s="501"/>
    </row>
    <row r="16409" spans="25:25" hidden="1" x14ac:dyDescent="0.25">
      <c r="Y16409" s="501"/>
    </row>
    <row r="16410" spans="25:25" hidden="1" x14ac:dyDescent="0.25">
      <c r="Y16410" s="501"/>
    </row>
    <row r="16411" spans="25:25" hidden="1" x14ac:dyDescent="0.25">
      <c r="Y16411" s="501"/>
    </row>
    <row r="16412" spans="25:25" hidden="1" x14ac:dyDescent="0.25">
      <c r="Y16412" s="501"/>
    </row>
    <row r="16413" spans="25:25" hidden="1" x14ac:dyDescent="0.25">
      <c r="Y16413" s="501"/>
    </row>
    <row r="16414" spans="25:25" hidden="1" x14ac:dyDescent="0.25">
      <c r="Y16414" s="501"/>
    </row>
    <row r="16415" spans="25:25" hidden="1" x14ac:dyDescent="0.25">
      <c r="Y16415" s="501"/>
    </row>
    <row r="16416" spans="25:25" hidden="1" x14ac:dyDescent="0.25">
      <c r="Y16416" s="501"/>
    </row>
    <row r="16417" spans="25:25" hidden="1" x14ac:dyDescent="0.25">
      <c r="Y16417" s="501"/>
    </row>
    <row r="16418" spans="25:25" hidden="1" x14ac:dyDescent="0.25">
      <c r="Y16418" s="501"/>
    </row>
    <row r="16419" spans="25:25" hidden="1" x14ac:dyDescent="0.25">
      <c r="Y16419" s="501"/>
    </row>
    <row r="16420" spans="25:25" hidden="1" x14ac:dyDescent="0.25">
      <c r="Y16420" s="501"/>
    </row>
    <row r="16421" spans="25:25" hidden="1" x14ac:dyDescent="0.25">
      <c r="Y16421" s="501"/>
    </row>
    <row r="16422" spans="25:25" hidden="1" x14ac:dyDescent="0.25">
      <c r="Y16422" s="501"/>
    </row>
    <row r="16423" spans="25:25" hidden="1" x14ac:dyDescent="0.25">
      <c r="Y16423" s="501"/>
    </row>
    <row r="16424" spans="25:25" hidden="1" x14ac:dyDescent="0.25">
      <c r="Y16424" s="501"/>
    </row>
    <row r="16425" spans="25:25" hidden="1" x14ac:dyDescent="0.25">
      <c r="Y16425" s="501"/>
    </row>
    <row r="16426" spans="25:25" hidden="1" x14ac:dyDescent="0.25">
      <c r="Y16426" s="501"/>
    </row>
    <row r="16427" spans="25:25" hidden="1" x14ac:dyDescent="0.25">
      <c r="Y16427" s="501"/>
    </row>
    <row r="16428" spans="25:25" hidden="1" x14ac:dyDescent="0.25">
      <c r="Y16428" s="501"/>
    </row>
    <row r="16429" spans="25:25" hidden="1" x14ac:dyDescent="0.25">
      <c r="Y16429" s="501"/>
    </row>
    <row r="16430" spans="25:25" hidden="1" x14ac:dyDescent="0.25">
      <c r="Y16430" s="501"/>
    </row>
    <row r="16431" spans="25:25" hidden="1" x14ac:dyDescent="0.25">
      <c r="Y16431" s="501"/>
    </row>
    <row r="16432" spans="25:25" hidden="1" x14ac:dyDescent="0.25">
      <c r="Y16432" s="501"/>
    </row>
    <row r="16433" spans="25:25" hidden="1" x14ac:dyDescent="0.25">
      <c r="Y16433" s="501"/>
    </row>
    <row r="16434" spans="25:25" hidden="1" x14ac:dyDescent="0.25">
      <c r="Y16434" s="501"/>
    </row>
    <row r="16435" spans="25:25" hidden="1" x14ac:dyDescent="0.25">
      <c r="Y16435" s="501"/>
    </row>
    <row r="16436" spans="25:25" hidden="1" x14ac:dyDescent="0.25">
      <c r="Y16436" s="501"/>
    </row>
    <row r="16437" spans="25:25" hidden="1" x14ac:dyDescent="0.25">
      <c r="Y16437" s="501"/>
    </row>
    <row r="16438" spans="25:25" hidden="1" x14ac:dyDescent="0.25">
      <c r="Y16438" s="501"/>
    </row>
    <row r="16439" spans="25:25" hidden="1" x14ac:dyDescent="0.25">
      <c r="Y16439" s="501"/>
    </row>
    <row r="16440" spans="25:25" hidden="1" x14ac:dyDescent="0.25">
      <c r="Y16440" s="501"/>
    </row>
    <row r="16441" spans="25:25" hidden="1" x14ac:dyDescent="0.25">
      <c r="Y16441" s="501"/>
    </row>
    <row r="16442" spans="25:25" hidden="1" x14ac:dyDescent="0.25">
      <c r="Y16442" s="501"/>
    </row>
    <row r="16443" spans="25:25" hidden="1" x14ac:dyDescent="0.25">
      <c r="Y16443" s="501"/>
    </row>
    <row r="16444" spans="25:25" hidden="1" x14ac:dyDescent="0.25">
      <c r="Y16444" s="501"/>
    </row>
    <row r="16445" spans="25:25" hidden="1" x14ac:dyDescent="0.25">
      <c r="Y16445" s="501"/>
    </row>
    <row r="16446" spans="25:25" hidden="1" x14ac:dyDescent="0.25">
      <c r="Y16446" s="501"/>
    </row>
    <row r="16447" spans="25:25" hidden="1" x14ac:dyDescent="0.25">
      <c r="Y16447" s="501"/>
    </row>
    <row r="16448" spans="25:25" hidden="1" x14ac:dyDescent="0.25">
      <c r="Y16448" s="501"/>
    </row>
    <row r="16449" spans="25:25" hidden="1" x14ac:dyDescent="0.25">
      <c r="Y16449" s="501"/>
    </row>
    <row r="16450" spans="25:25" hidden="1" x14ac:dyDescent="0.25">
      <c r="Y16450" s="501"/>
    </row>
    <row r="16451" spans="25:25" hidden="1" x14ac:dyDescent="0.25">
      <c r="Y16451" s="501"/>
    </row>
    <row r="16452" spans="25:25" hidden="1" x14ac:dyDescent="0.25">
      <c r="Y16452" s="501"/>
    </row>
    <row r="16453" spans="25:25" hidden="1" x14ac:dyDescent="0.25">
      <c r="Y16453" s="501"/>
    </row>
    <row r="16454" spans="25:25" hidden="1" x14ac:dyDescent="0.25">
      <c r="Y16454" s="501"/>
    </row>
    <row r="16455" spans="25:25" hidden="1" x14ac:dyDescent="0.25">
      <c r="Y16455" s="501"/>
    </row>
    <row r="16456" spans="25:25" hidden="1" x14ac:dyDescent="0.25">
      <c r="Y16456" s="501"/>
    </row>
    <row r="16457" spans="25:25" hidden="1" x14ac:dyDescent="0.25">
      <c r="Y16457" s="501"/>
    </row>
    <row r="16458" spans="25:25" hidden="1" x14ac:dyDescent="0.25">
      <c r="Y16458" s="501"/>
    </row>
    <row r="16459" spans="25:25" hidden="1" x14ac:dyDescent="0.25">
      <c r="Y16459" s="501"/>
    </row>
    <row r="16460" spans="25:25" hidden="1" x14ac:dyDescent="0.25">
      <c r="Y16460" s="501"/>
    </row>
    <row r="16461" spans="25:25" hidden="1" x14ac:dyDescent="0.25">
      <c r="Y16461" s="501"/>
    </row>
    <row r="16462" spans="25:25" hidden="1" x14ac:dyDescent="0.25">
      <c r="Y16462" s="501"/>
    </row>
    <row r="16463" spans="25:25" hidden="1" x14ac:dyDescent="0.25">
      <c r="Y16463" s="501"/>
    </row>
    <row r="16464" spans="25:25" hidden="1" x14ac:dyDescent="0.25">
      <c r="Y16464" s="501"/>
    </row>
    <row r="16465" spans="25:25" hidden="1" x14ac:dyDescent="0.25">
      <c r="Y16465" s="501"/>
    </row>
    <row r="16466" spans="25:25" hidden="1" x14ac:dyDescent="0.25">
      <c r="Y16466" s="501"/>
    </row>
    <row r="16467" spans="25:25" hidden="1" x14ac:dyDescent="0.25">
      <c r="Y16467" s="501"/>
    </row>
    <row r="16468" spans="25:25" hidden="1" x14ac:dyDescent="0.25">
      <c r="Y16468" s="501"/>
    </row>
    <row r="16469" spans="25:25" hidden="1" x14ac:dyDescent="0.25">
      <c r="Y16469" s="501"/>
    </row>
    <row r="16470" spans="25:25" hidden="1" x14ac:dyDescent="0.25">
      <c r="Y16470" s="501"/>
    </row>
    <row r="16471" spans="25:25" hidden="1" x14ac:dyDescent="0.25">
      <c r="Y16471" s="501"/>
    </row>
    <row r="16472" spans="25:25" hidden="1" x14ac:dyDescent="0.25">
      <c r="Y16472" s="501"/>
    </row>
    <row r="16473" spans="25:25" hidden="1" x14ac:dyDescent="0.25">
      <c r="Y16473" s="501"/>
    </row>
    <row r="16474" spans="25:25" hidden="1" x14ac:dyDescent="0.25">
      <c r="Y16474" s="501"/>
    </row>
    <row r="16475" spans="25:25" hidden="1" x14ac:dyDescent="0.25">
      <c r="Y16475" s="501"/>
    </row>
    <row r="16476" spans="25:25" hidden="1" x14ac:dyDescent="0.25">
      <c r="Y16476" s="501"/>
    </row>
    <row r="16477" spans="25:25" hidden="1" x14ac:dyDescent="0.25">
      <c r="Y16477" s="501"/>
    </row>
    <row r="16478" spans="25:25" hidden="1" x14ac:dyDescent="0.25">
      <c r="Y16478" s="501"/>
    </row>
    <row r="16479" spans="25:25" hidden="1" x14ac:dyDescent="0.25">
      <c r="Y16479" s="501"/>
    </row>
    <row r="16480" spans="25:25" hidden="1" x14ac:dyDescent="0.25">
      <c r="Y16480" s="501"/>
    </row>
    <row r="16481" spans="25:25" hidden="1" x14ac:dyDescent="0.25">
      <c r="Y16481" s="501"/>
    </row>
    <row r="16482" spans="25:25" hidden="1" x14ac:dyDescent="0.25">
      <c r="Y16482" s="501"/>
    </row>
    <row r="16483" spans="25:25" hidden="1" x14ac:dyDescent="0.25">
      <c r="Y16483" s="501"/>
    </row>
    <row r="16484" spans="25:25" hidden="1" x14ac:dyDescent="0.25">
      <c r="Y16484" s="501"/>
    </row>
    <row r="16485" spans="25:25" hidden="1" x14ac:dyDescent="0.25">
      <c r="Y16485" s="501"/>
    </row>
    <row r="16486" spans="25:25" hidden="1" x14ac:dyDescent="0.25">
      <c r="Y16486" s="501"/>
    </row>
    <row r="16487" spans="25:25" hidden="1" x14ac:dyDescent="0.25">
      <c r="Y16487" s="501"/>
    </row>
    <row r="16488" spans="25:25" hidden="1" x14ac:dyDescent="0.25">
      <c r="Y16488" s="501"/>
    </row>
    <row r="16489" spans="25:25" hidden="1" x14ac:dyDescent="0.25">
      <c r="Y16489" s="501"/>
    </row>
    <row r="16490" spans="25:25" hidden="1" x14ac:dyDescent="0.25">
      <c r="Y16490" s="501"/>
    </row>
    <row r="16491" spans="25:25" hidden="1" x14ac:dyDescent="0.25">
      <c r="Y16491" s="501"/>
    </row>
    <row r="16492" spans="25:25" hidden="1" x14ac:dyDescent="0.25">
      <c r="Y16492" s="501"/>
    </row>
    <row r="16493" spans="25:25" hidden="1" x14ac:dyDescent="0.25">
      <c r="Y16493" s="501"/>
    </row>
    <row r="16494" spans="25:25" hidden="1" x14ac:dyDescent="0.25">
      <c r="Y16494" s="501"/>
    </row>
    <row r="16495" spans="25:25" hidden="1" x14ac:dyDescent="0.25">
      <c r="Y16495" s="501"/>
    </row>
    <row r="16496" spans="25:25" hidden="1" x14ac:dyDescent="0.25">
      <c r="Y16496" s="501"/>
    </row>
    <row r="16497" spans="25:25" hidden="1" x14ac:dyDescent="0.25">
      <c r="Y16497" s="501"/>
    </row>
    <row r="16498" spans="25:25" hidden="1" x14ac:dyDescent="0.25">
      <c r="Y16498" s="501"/>
    </row>
    <row r="16499" spans="25:25" hidden="1" x14ac:dyDescent="0.25">
      <c r="Y16499" s="501"/>
    </row>
    <row r="16500" spans="25:25" hidden="1" x14ac:dyDescent="0.25">
      <c r="Y16500" s="501"/>
    </row>
    <row r="16501" spans="25:25" hidden="1" x14ac:dyDescent="0.25">
      <c r="Y16501" s="501"/>
    </row>
    <row r="16502" spans="25:25" hidden="1" x14ac:dyDescent="0.25">
      <c r="Y16502" s="501"/>
    </row>
    <row r="16503" spans="25:25" hidden="1" x14ac:dyDescent="0.25">
      <c r="Y16503" s="501"/>
    </row>
    <row r="16504" spans="25:25" hidden="1" x14ac:dyDescent="0.25">
      <c r="Y16504" s="501"/>
    </row>
    <row r="16505" spans="25:25" hidden="1" x14ac:dyDescent="0.25">
      <c r="Y16505" s="501"/>
    </row>
    <row r="16506" spans="25:25" hidden="1" x14ac:dyDescent="0.25">
      <c r="Y16506" s="501"/>
    </row>
    <row r="16507" spans="25:25" hidden="1" x14ac:dyDescent="0.25">
      <c r="Y16507" s="501"/>
    </row>
    <row r="16508" spans="25:25" hidden="1" x14ac:dyDescent="0.25">
      <c r="Y16508" s="501"/>
    </row>
    <row r="16509" spans="25:25" hidden="1" x14ac:dyDescent="0.25">
      <c r="Y16509" s="501"/>
    </row>
    <row r="16510" spans="25:25" hidden="1" x14ac:dyDescent="0.25">
      <c r="Y16510" s="501"/>
    </row>
    <row r="16511" spans="25:25" hidden="1" x14ac:dyDescent="0.25">
      <c r="Y16511" s="501"/>
    </row>
    <row r="16512" spans="25:25" hidden="1" x14ac:dyDescent="0.25">
      <c r="Y16512" s="501"/>
    </row>
    <row r="16513" spans="25:25" hidden="1" x14ac:dyDescent="0.25">
      <c r="Y16513" s="501"/>
    </row>
    <row r="16514" spans="25:25" hidden="1" x14ac:dyDescent="0.25">
      <c r="Y16514" s="501"/>
    </row>
    <row r="16515" spans="25:25" hidden="1" x14ac:dyDescent="0.25">
      <c r="Y16515" s="501"/>
    </row>
    <row r="16516" spans="25:25" hidden="1" x14ac:dyDescent="0.25">
      <c r="Y16516" s="501"/>
    </row>
    <row r="16517" spans="25:25" hidden="1" x14ac:dyDescent="0.25">
      <c r="Y16517" s="501"/>
    </row>
    <row r="16518" spans="25:25" hidden="1" x14ac:dyDescent="0.25">
      <c r="Y16518" s="501"/>
    </row>
    <row r="16519" spans="25:25" hidden="1" x14ac:dyDescent="0.25">
      <c r="Y16519" s="501"/>
    </row>
    <row r="16520" spans="25:25" hidden="1" x14ac:dyDescent="0.25">
      <c r="Y16520" s="501"/>
    </row>
    <row r="16521" spans="25:25" hidden="1" x14ac:dyDescent="0.25">
      <c r="Y16521" s="501"/>
    </row>
    <row r="16522" spans="25:25" hidden="1" x14ac:dyDescent="0.25">
      <c r="Y16522" s="501"/>
    </row>
    <row r="16523" spans="25:25" hidden="1" x14ac:dyDescent="0.25">
      <c r="Y16523" s="501"/>
    </row>
    <row r="16524" spans="25:25" hidden="1" x14ac:dyDescent="0.25">
      <c r="Y16524" s="501"/>
    </row>
    <row r="16525" spans="25:25" hidden="1" x14ac:dyDescent="0.25">
      <c r="Y16525" s="501"/>
    </row>
    <row r="16526" spans="25:25" hidden="1" x14ac:dyDescent="0.25">
      <c r="Y16526" s="501"/>
    </row>
    <row r="16527" spans="25:25" hidden="1" x14ac:dyDescent="0.25">
      <c r="Y16527" s="501"/>
    </row>
    <row r="16528" spans="25:25" hidden="1" x14ac:dyDescent="0.25">
      <c r="Y16528" s="501"/>
    </row>
    <row r="16529" spans="25:25" hidden="1" x14ac:dyDescent="0.25">
      <c r="Y16529" s="501"/>
    </row>
    <row r="16530" spans="25:25" hidden="1" x14ac:dyDescent="0.25">
      <c r="Y16530" s="501"/>
    </row>
    <row r="16531" spans="25:25" hidden="1" x14ac:dyDescent="0.25">
      <c r="Y16531" s="501"/>
    </row>
    <row r="16532" spans="25:25" hidden="1" x14ac:dyDescent="0.25">
      <c r="Y16532" s="501"/>
    </row>
    <row r="16533" spans="25:25" hidden="1" x14ac:dyDescent="0.25">
      <c r="Y16533" s="501"/>
    </row>
    <row r="16534" spans="25:25" hidden="1" x14ac:dyDescent="0.25">
      <c r="Y16534" s="501"/>
    </row>
    <row r="16535" spans="25:25" hidden="1" x14ac:dyDescent="0.25">
      <c r="Y16535" s="501"/>
    </row>
    <row r="16536" spans="25:25" hidden="1" x14ac:dyDescent="0.25">
      <c r="Y16536" s="501"/>
    </row>
    <row r="16537" spans="25:25" hidden="1" x14ac:dyDescent="0.25">
      <c r="Y16537" s="501"/>
    </row>
    <row r="16538" spans="25:25" hidden="1" x14ac:dyDescent="0.25">
      <c r="Y16538" s="501"/>
    </row>
    <row r="16539" spans="25:25" hidden="1" x14ac:dyDescent="0.25">
      <c r="Y16539" s="501"/>
    </row>
    <row r="16540" spans="25:25" hidden="1" x14ac:dyDescent="0.25">
      <c r="Y16540" s="501"/>
    </row>
    <row r="16541" spans="25:25" hidden="1" x14ac:dyDescent="0.25">
      <c r="Y16541" s="501"/>
    </row>
    <row r="16542" spans="25:25" hidden="1" x14ac:dyDescent="0.25">
      <c r="Y16542" s="501"/>
    </row>
    <row r="16543" spans="25:25" hidden="1" x14ac:dyDescent="0.25">
      <c r="Y16543" s="501"/>
    </row>
    <row r="16544" spans="25:25" hidden="1" x14ac:dyDescent="0.25">
      <c r="Y16544" s="501"/>
    </row>
    <row r="16545" spans="25:25" hidden="1" x14ac:dyDescent="0.25">
      <c r="Y16545" s="501"/>
    </row>
    <row r="16546" spans="25:25" hidden="1" x14ac:dyDescent="0.25">
      <c r="Y16546" s="501"/>
    </row>
    <row r="16547" spans="25:25" hidden="1" x14ac:dyDescent="0.25">
      <c r="Y16547" s="501"/>
    </row>
    <row r="16548" spans="25:25" hidden="1" x14ac:dyDescent="0.25">
      <c r="Y16548" s="501"/>
    </row>
    <row r="16549" spans="25:25" hidden="1" x14ac:dyDescent="0.25">
      <c r="Y16549" s="501"/>
    </row>
    <row r="16550" spans="25:25" hidden="1" x14ac:dyDescent="0.25">
      <c r="Y16550" s="501"/>
    </row>
    <row r="16551" spans="25:25" hidden="1" x14ac:dyDescent="0.25">
      <c r="Y16551" s="501"/>
    </row>
    <row r="16552" spans="25:25" hidden="1" x14ac:dyDescent="0.25">
      <c r="Y16552" s="501"/>
    </row>
    <row r="16553" spans="25:25" hidden="1" x14ac:dyDescent="0.25">
      <c r="Y16553" s="501"/>
    </row>
    <row r="16554" spans="25:25" hidden="1" x14ac:dyDescent="0.25">
      <c r="Y16554" s="501"/>
    </row>
    <row r="16555" spans="25:25" hidden="1" x14ac:dyDescent="0.25">
      <c r="Y16555" s="501"/>
    </row>
    <row r="16556" spans="25:25" hidden="1" x14ac:dyDescent="0.25">
      <c r="Y16556" s="501"/>
    </row>
    <row r="16557" spans="25:25" hidden="1" x14ac:dyDescent="0.25">
      <c r="Y16557" s="501"/>
    </row>
    <row r="16558" spans="25:25" hidden="1" x14ac:dyDescent="0.25">
      <c r="Y16558" s="501"/>
    </row>
    <row r="16559" spans="25:25" hidden="1" x14ac:dyDescent="0.25">
      <c r="Y16559" s="501"/>
    </row>
    <row r="16560" spans="25:25" hidden="1" x14ac:dyDescent="0.25">
      <c r="Y16560" s="501"/>
    </row>
    <row r="16561" spans="25:25" hidden="1" x14ac:dyDescent="0.25">
      <c r="Y16561" s="501"/>
    </row>
    <row r="16562" spans="25:25" hidden="1" x14ac:dyDescent="0.25">
      <c r="Y16562" s="501"/>
    </row>
    <row r="16563" spans="25:25" hidden="1" x14ac:dyDescent="0.25">
      <c r="Y16563" s="501"/>
    </row>
    <row r="16564" spans="25:25" hidden="1" x14ac:dyDescent="0.25">
      <c r="Y16564" s="501"/>
    </row>
    <row r="16565" spans="25:25" hidden="1" x14ac:dyDescent="0.25">
      <c r="Y16565" s="501"/>
    </row>
    <row r="16566" spans="25:25" hidden="1" x14ac:dyDescent="0.25">
      <c r="Y16566" s="501"/>
    </row>
    <row r="16567" spans="25:25" hidden="1" x14ac:dyDescent="0.25">
      <c r="Y16567" s="501"/>
    </row>
    <row r="16568" spans="25:25" hidden="1" x14ac:dyDescent="0.25">
      <c r="Y16568" s="501"/>
    </row>
    <row r="16569" spans="25:25" hidden="1" x14ac:dyDescent="0.25">
      <c r="Y16569" s="501"/>
    </row>
    <row r="16570" spans="25:25" hidden="1" x14ac:dyDescent="0.25">
      <c r="Y16570" s="501"/>
    </row>
    <row r="16571" spans="25:25" hidden="1" x14ac:dyDescent="0.25">
      <c r="Y16571" s="501"/>
    </row>
    <row r="16572" spans="25:25" hidden="1" x14ac:dyDescent="0.25">
      <c r="Y16572" s="501"/>
    </row>
    <row r="16573" spans="25:25" hidden="1" x14ac:dyDescent="0.25">
      <c r="Y16573" s="501"/>
    </row>
    <row r="16574" spans="25:25" hidden="1" x14ac:dyDescent="0.25">
      <c r="Y16574" s="501"/>
    </row>
    <row r="16575" spans="25:25" hidden="1" x14ac:dyDescent="0.25">
      <c r="Y16575" s="501"/>
    </row>
    <row r="16576" spans="25:25" hidden="1" x14ac:dyDescent="0.25">
      <c r="Y16576" s="501"/>
    </row>
    <row r="16577" spans="25:25" hidden="1" x14ac:dyDescent="0.25">
      <c r="Y16577" s="501"/>
    </row>
    <row r="16578" spans="25:25" hidden="1" x14ac:dyDescent="0.25">
      <c r="Y16578" s="501"/>
    </row>
    <row r="16579" spans="25:25" hidden="1" x14ac:dyDescent="0.25">
      <c r="Y16579" s="501"/>
    </row>
    <row r="16580" spans="25:25" hidden="1" x14ac:dyDescent="0.25">
      <c r="Y16580" s="501"/>
    </row>
    <row r="16581" spans="25:25" hidden="1" x14ac:dyDescent="0.25">
      <c r="Y16581" s="501"/>
    </row>
    <row r="16582" spans="25:25" hidden="1" x14ac:dyDescent="0.25">
      <c r="Y16582" s="501"/>
    </row>
    <row r="16583" spans="25:25" hidden="1" x14ac:dyDescent="0.25">
      <c r="Y16583" s="501"/>
    </row>
    <row r="16584" spans="25:25" hidden="1" x14ac:dyDescent="0.25">
      <c r="Y16584" s="501"/>
    </row>
    <row r="16585" spans="25:25" hidden="1" x14ac:dyDescent="0.25">
      <c r="Y16585" s="501"/>
    </row>
    <row r="16586" spans="25:25" hidden="1" x14ac:dyDescent="0.25">
      <c r="Y16586" s="501"/>
    </row>
    <row r="16587" spans="25:25" hidden="1" x14ac:dyDescent="0.25">
      <c r="Y16587" s="501"/>
    </row>
    <row r="16588" spans="25:25" hidden="1" x14ac:dyDescent="0.25">
      <c r="Y16588" s="501"/>
    </row>
    <row r="16589" spans="25:25" hidden="1" x14ac:dyDescent="0.25">
      <c r="Y16589" s="501"/>
    </row>
    <row r="16590" spans="25:25" hidden="1" x14ac:dyDescent="0.25">
      <c r="Y16590" s="501"/>
    </row>
    <row r="16591" spans="25:25" hidden="1" x14ac:dyDescent="0.25">
      <c r="Y16591" s="501"/>
    </row>
    <row r="16592" spans="25:25" hidden="1" x14ac:dyDescent="0.25">
      <c r="Y16592" s="501"/>
    </row>
    <row r="16593" spans="25:25" hidden="1" x14ac:dyDescent="0.25">
      <c r="Y16593" s="501"/>
    </row>
    <row r="16594" spans="25:25" hidden="1" x14ac:dyDescent="0.25">
      <c r="Y16594" s="501"/>
    </row>
    <row r="16595" spans="25:25" hidden="1" x14ac:dyDescent="0.25">
      <c r="Y16595" s="501"/>
    </row>
    <row r="16596" spans="25:25" hidden="1" x14ac:dyDescent="0.25">
      <c r="Y16596" s="501"/>
    </row>
    <row r="16597" spans="25:25" hidden="1" x14ac:dyDescent="0.25">
      <c r="Y16597" s="501"/>
    </row>
    <row r="16598" spans="25:25" hidden="1" x14ac:dyDescent="0.25">
      <c r="Y16598" s="501"/>
    </row>
    <row r="16599" spans="25:25" hidden="1" x14ac:dyDescent="0.25">
      <c r="Y16599" s="501"/>
    </row>
    <row r="16600" spans="25:25" hidden="1" x14ac:dyDescent="0.25">
      <c r="Y16600" s="501"/>
    </row>
    <row r="16601" spans="25:25" hidden="1" x14ac:dyDescent="0.25">
      <c r="Y16601" s="501"/>
    </row>
    <row r="16602" spans="25:25" hidden="1" x14ac:dyDescent="0.25">
      <c r="Y16602" s="501"/>
    </row>
    <row r="16603" spans="25:25" hidden="1" x14ac:dyDescent="0.25">
      <c r="Y16603" s="501"/>
    </row>
    <row r="16604" spans="25:25" hidden="1" x14ac:dyDescent="0.25">
      <c r="Y16604" s="501"/>
    </row>
    <row r="16605" spans="25:25" hidden="1" x14ac:dyDescent="0.25">
      <c r="Y16605" s="501"/>
    </row>
    <row r="16606" spans="25:25" hidden="1" x14ac:dyDescent="0.25">
      <c r="Y16606" s="501"/>
    </row>
    <row r="16607" spans="25:25" hidden="1" x14ac:dyDescent="0.25">
      <c r="Y16607" s="501"/>
    </row>
    <row r="16608" spans="25:25" hidden="1" x14ac:dyDescent="0.25">
      <c r="Y16608" s="501"/>
    </row>
    <row r="16609" spans="25:25" hidden="1" x14ac:dyDescent="0.25">
      <c r="Y16609" s="501"/>
    </row>
    <row r="16610" spans="25:25" hidden="1" x14ac:dyDescent="0.25">
      <c r="Y16610" s="501"/>
    </row>
    <row r="16611" spans="25:25" hidden="1" x14ac:dyDescent="0.25">
      <c r="Y16611" s="501"/>
    </row>
    <row r="16612" spans="25:25" hidden="1" x14ac:dyDescent="0.25">
      <c r="Y16612" s="501"/>
    </row>
    <row r="16613" spans="25:25" hidden="1" x14ac:dyDescent="0.25">
      <c r="Y16613" s="501"/>
    </row>
    <row r="16614" spans="25:25" hidden="1" x14ac:dyDescent="0.25">
      <c r="Y16614" s="501"/>
    </row>
    <row r="16615" spans="25:25" hidden="1" x14ac:dyDescent="0.25">
      <c r="Y16615" s="501"/>
    </row>
    <row r="16616" spans="25:25" hidden="1" x14ac:dyDescent="0.25">
      <c r="Y16616" s="501"/>
    </row>
    <row r="16617" spans="25:25" hidden="1" x14ac:dyDescent="0.25">
      <c r="Y16617" s="501"/>
    </row>
    <row r="16618" spans="25:25" hidden="1" x14ac:dyDescent="0.25">
      <c r="Y16618" s="501"/>
    </row>
    <row r="16619" spans="25:25" hidden="1" x14ac:dyDescent="0.25">
      <c r="Y16619" s="501"/>
    </row>
    <row r="16620" spans="25:25" hidden="1" x14ac:dyDescent="0.25">
      <c r="Y16620" s="501"/>
    </row>
    <row r="16621" spans="25:25" hidden="1" x14ac:dyDescent="0.25">
      <c r="Y16621" s="501"/>
    </row>
    <row r="16622" spans="25:25" hidden="1" x14ac:dyDescent="0.25">
      <c r="Y16622" s="501"/>
    </row>
    <row r="16623" spans="25:25" hidden="1" x14ac:dyDescent="0.25">
      <c r="Y16623" s="501"/>
    </row>
    <row r="16624" spans="25:25" hidden="1" x14ac:dyDescent="0.25">
      <c r="Y16624" s="501"/>
    </row>
    <row r="16625" spans="25:25" hidden="1" x14ac:dyDescent="0.25">
      <c r="Y16625" s="501"/>
    </row>
    <row r="16626" spans="25:25" hidden="1" x14ac:dyDescent="0.25">
      <c r="Y16626" s="501"/>
    </row>
    <row r="16627" spans="25:25" hidden="1" x14ac:dyDescent="0.25">
      <c r="Y16627" s="501"/>
    </row>
    <row r="16628" spans="25:25" hidden="1" x14ac:dyDescent="0.25">
      <c r="Y16628" s="501"/>
    </row>
    <row r="16629" spans="25:25" hidden="1" x14ac:dyDescent="0.25">
      <c r="Y16629" s="501"/>
    </row>
    <row r="16630" spans="25:25" hidden="1" x14ac:dyDescent="0.25">
      <c r="Y16630" s="501"/>
    </row>
    <row r="16631" spans="25:25" hidden="1" x14ac:dyDescent="0.25">
      <c r="Y16631" s="501"/>
    </row>
    <row r="16632" spans="25:25" hidden="1" x14ac:dyDescent="0.25">
      <c r="Y16632" s="501"/>
    </row>
    <row r="16633" spans="25:25" hidden="1" x14ac:dyDescent="0.25">
      <c r="Y16633" s="501"/>
    </row>
    <row r="16634" spans="25:25" hidden="1" x14ac:dyDescent="0.25">
      <c r="Y16634" s="501"/>
    </row>
    <row r="16635" spans="25:25" hidden="1" x14ac:dyDescent="0.25">
      <c r="Y16635" s="501"/>
    </row>
    <row r="16636" spans="25:25" hidden="1" x14ac:dyDescent="0.25">
      <c r="Y16636" s="501"/>
    </row>
    <row r="16637" spans="25:25" hidden="1" x14ac:dyDescent="0.25">
      <c r="Y16637" s="501"/>
    </row>
    <row r="16638" spans="25:25" hidden="1" x14ac:dyDescent="0.25">
      <c r="Y16638" s="501"/>
    </row>
    <row r="16639" spans="25:25" hidden="1" x14ac:dyDescent="0.25">
      <c r="Y16639" s="501"/>
    </row>
    <row r="16640" spans="25:25" hidden="1" x14ac:dyDescent="0.25">
      <c r="Y16640" s="501"/>
    </row>
    <row r="16641" spans="25:25" hidden="1" x14ac:dyDescent="0.25">
      <c r="Y16641" s="501"/>
    </row>
    <row r="16642" spans="25:25" hidden="1" x14ac:dyDescent="0.25">
      <c r="Y16642" s="501"/>
    </row>
    <row r="16643" spans="25:25" hidden="1" x14ac:dyDescent="0.25">
      <c r="Y16643" s="501"/>
    </row>
    <row r="16644" spans="25:25" hidden="1" x14ac:dyDescent="0.25">
      <c r="Y16644" s="501"/>
    </row>
    <row r="16645" spans="25:25" hidden="1" x14ac:dyDescent="0.25">
      <c r="Y16645" s="501"/>
    </row>
    <row r="16646" spans="25:25" hidden="1" x14ac:dyDescent="0.25">
      <c r="Y16646" s="501"/>
    </row>
    <row r="16647" spans="25:25" hidden="1" x14ac:dyDescent="0.25">
      <c r="Y16647" s="501"/>
    </row>
    <row r="16648" spans="25:25" hidden="1" x14ac:dyDescent="0.25">
      <c r="Y16648" s="501"/>
    </row>
    <row r="16649" spans="25:25" hidden="1" x14ac:dyDescent="0.25">
      <c r="Y16649" s="501"/>
    </row>
    <row r="16650" spans="25:25" hidden="1" x14ac:dyDescent="0.25">
      <c r="Y16650" s="501"/>
    </row>
    <row r="16651" spans="25:25" hidden="1" x14ac:dyDescent="0.25">
      <c r="Y16651" s="501"/>
    </row>
    <row r="16652" spans="25:25" hidden="1" x14ac:dyDescent="0.25">
      <c r="Y16652" s="501"/>
    </row>
    <row r="16653" spans="25:25" hidden="1" x14ac:dyDescent="0.25">
      <c r="Y16653" s="501"/>
    </row>
    <row r="16654" spans="25:25" hidden="1" x14ac:dyDescent="0.25">
      <c r="Y16654" s="501"/>
    </row>
    <row r="16655" spans="25:25" hidden="1" x14ac:dyDescent="0.25">
      <c r="Y16655" s="501"/>
    </row>
    <row r="16656" spans="25:25" hidden="1" x14ac:dyDescent="0.25">
      <c r="Y16656" s="501"/>
    </row>
    <row r="16657" spans="25:25" hidden="1" x14ac:dyDescent="0.25">
      <c r="Y16657" s="501"/>
    </row>
    <row r="16658" spans="25:25" hidden="1" x14ac:dyDescent="0.25">
      <c r="Y16658" s="501"/>
    </row>
    <row r="16659" spans="25:25" hidden="1" x14ac:dyDescent="0.25">
      <c r="Y16659" s="501"/>
    </row>
    <row r="16660" spans="25:25" hidden="1" x14ac:dyDescent="0.25">
      <c r="Y16660" s="501"/>
    </row>
    <row r="16661" spans="25:25" hidden="1" x14ac:dyDescent="0.25">
      <c r="Y16661" s="501"/>
    </row>
    <row r="16662" spans="25:25" hidden="1" x14ac:dyDescent="0.25">
      <c r="Y16662" s="501"/>
    </row>
    <row r="16663" spans="25:25" hidden="1" x14ac:dyDescent="0.25">
      <c r="Y16663" s="501"/>
    </row>
    <row r="16664" spans="25:25" hidden="1" x14ac:dyDescent="0.25">
      <c r="Y16664" s="501"/>
    </row>
    <row r="16665" spans="25:25" hidden="1" x14ac:dyDescent="0.25">
      <c r="Y16665" s="501"/>
    </row>
    <row r="16666" spans="25:25" hidden="1" x14ac:dyDescent="0.25">
      <c r="Y16666" s="501"/>
    </row>
    <row r="16667" spans="25:25" hidden="1" x14ac:dyDescent="0.25">
      <c r="Y16667" s="501"/>
    </row>
    <row r="16668" spans="25:25" hidden="1" x14ac:dyDescent="0.25">
      <c r="Y16668" s="501"/>
    </row>
    <row r="16669" spans="25:25" hidden="1" x14ac:dyDescent="0.25">
      <c r="Y16669" s="501"/>
    </row>
    <row r="16670" spans="25:25" hidden="1" x14ac:dyDescent="0.25">
      <c r="Y16670" s="501"/>
    </row>
    <row r="16671" spans="25:25" hidden="1" x14ac:dyDescent="0.25">
      <c r="Y16671" s="501"/>
    </row>
    <row r="16672" spans="25:25" hidden="1" x14ac:dyDescent="0.25">
      <c r="Y16672" s="501"/>
    </row>
    <row r="16673" spans="25:25" hidden="1" x14ac:dyDescent="0.25">
      <c r="Y16673" s="501"/>
    </row>
    <row r="16674" spans="25:25" hidden="1" x14ac:dyDescent="0.25">
      <c r="Y16674" s="501"/>
    </row>
    <row r="16675" spans="25:25" hidden="1" x14ac:dyDescent="0.25">
      <c r="Y16675" s="501"/>
    </row>
    <row r="16676" spans="25:25" hidden="1" x14ac:dyDescent="0.25">
      <c r="Y16676" s="501"/>
    </row>
    <row r="16677" spans="25:25" hidden="1" x14ac:dyDescent="0.25">
      <c r="Y16677" s="501"/>
    </row>
    <row r="16678" spans="25:25" hidden="1" x14ac:dyDescent="0.25">
      <c r="Y16678" s="501"/>
    </row>
    <row r="16679" spans="25:25" hidden="1" x14ac:dyDescent="0.25">
      <c r="Y16679" s="501"/>
    </row>
    <row r="16680" spans="25:25" hidden="1" x14ac:dyDescent="0.25">
      <c r="Y16680" s="501"/>
    </row>
    <row r="16681" spans="25:25" hidden="1" x14ac:dyDescent="0.25">
      <c r="Y16681" s="501"/>
    </row>
    <row r="16682" spans="25:25" hidden="1" x14ac:dyDescent="0.25">
      <c r="Y16682" s="501"/>
    </row>
    <row r="16683" spans="25:25" hidden="1" x14ac:dyDescent="0.25">
      <c r="Y16683" s="501"/>
    </row>
    <row r="16684" spans="25:25" hidden="1" x14ac:dyDescent="0.25">
      <c r="Y16684" s="501"/>
    </row>
    <row r="16685" spans="25:25" hidden="1" x14ac:dyDescent="0.25">
      <c r="Y16685" s="501"/>
    </row>
    <row r="16686" spans="25:25" hidden="1" x14ac:dyDescent="0.25">
      <c r="Y16686" s="501"/>
    </row>
    <row r="16687" spans="25:25" hidden="1" x14ac:dyDescent="0.25">
      <c r="Y16687" s="501"/>
    </row>
    <row r="16688" spans="25:25" hidden="1" x14ac:dyDescent="0.25">
      <c r="Y16688" s="501"/>
    </row>
    <row r="16689" spans="25:25" hidden="1" x14ac:dyDescent="0.25">
      <c r="Y16689" s="501"/>
    </row>
    <row r="16690" spans="25:25" hidden="1" x14ac:dyDescent="0.25">
      <c r="Y16690" s="501"/>
    </row>
    <row r="16691" spans="25:25" hidden="1" x14ac:dyDescent="0.25">
      <c r="Y16691" s="501"/>
    </row>
    <row r="16692" spans="25:25" hidden="1" x14ac:dyDescent="0.25">
      <c r="Y16692" s="501"/>
    </row>
    <row r="16693" spans="25:25" hidden="1" x14ac:dyDescent="0.25">
      <c r="Y16693" s="501"/>
    </row>
    <row r="16694" spans="25:25" hidden="1" x14ac:dyDescent="0.25">
      <c r="Y16694" s="501"/>
    </row>
    <row r="16695" spans="25:25" hidden="1" x14ac:dyDescent="0.25">
      <c r="Y16695" s="501"/>
    </row>
    <row r="16696" spans="25:25" hidden="1" x14ac:dyDescent="0.25">
      <c r="Y16696" s="501"/>
    </row>
    <row r="16697" spans="25:25" hidden="1" x14ac:dyDescent="0.25">
      <c r="Y16697" s="501"/>
    </row>
    <row r="16698" spans="25:25" hidden="1" x14ac:dyDescent="0.25">
      <c r="Y16698" s="501"/>
    </row>
    <row r="16699" spans="25:25" hidden="1" x14ac:dyDescent="0.25">
      <c r="Y16699" s="501"/>
    </row>
    <row r="16700" spans="25:25" hidden="1" x14ac:dyDescent="0.25">
      <c r="Y16700" s="501"/>
    </row>
    <row r="16701" spans="25:25" hidden="1" x14ac:dyDescent="0.25">
      <c r="Y16701" s="501"/>
    </row>
    <row r="16702" spans="25:25" hidden="1" x14ac:dyDescent="0.25">
      <c r="Y16702" s="501"/>
    </row>
    <row r="16703" spans="25:25" hidden="1" x14ac:dyDescent="0.25">
      <c r="Y16703" s="501"/>
    </row>
    <row r="16704" spans="25:25" hidden="1" x14ac:dyDescent="0.25">
      <c r="Y16704" s="501"/>
    </row>
    <row r="16705" spans="25:25" hidden="1" x14ac:dyDescent="0.25">
      <c r="Y16705" s="501"/>
    </row>
    <row r="16706" spans="25:25" hidden="1" x14ac:dyDescent="0.25">
      <c r="Y16706" s="501"/>
    </row>
    <row r="16707" spans="25:25" hidden="1" x14ac:dyDescent="0.25">
      <c r="Y16707" s="501"/>
    </row>
    <row r="16708" spans="25:25" hidden="1" x14ac:dyDescent="0.25">
      <c r="Y16708" s="501"/>
    </row>
    <row r="16709" spans="25:25" hidden="1" x14ac:dyDescent="0.25">
      <c r="Y16709" s="501"/>
    </row>
    <row r="16710" spans="25:25" hidden="1" x14ac:dyDescent="0.25">
      <c r="Y16710" s="501"/>
    </row>
    <row r="16711" spans="25:25" hidden="1" x14ac:dyDescent="0.25">
      <c r="Y16711" s="501"/>
    </row>
    <row r="16712" spans="25:25" hidden="1" x14ac:dyDescent="0.25">
      <c r="Y16712" s="501"/>
    </row>
    <row r="16713" spans="25:25" hidden="1" x14ac:dyDescent="0.25">
      <c r="Y16713" s="501"/>
    </row>
    <row r="16714" spans="25:25" hidden="1" x14ac:dyDescent="0.25">
      <c r="Y16714" s="501"/>
    </row>
    <row r="16715" spans="25:25" hidden="1" x14ac:dyDescent="0.25">
      <c r="Y16715" s="501"/>
    </row>
    <row r="16716" spans="25:25" hidden="1" x14ac:dyDescent="0.25">
      <c r="Y16716" s="501"/>
    </row>
    <row r="16717" spans="25:25" hidden="1" x14ac:dyDescent="0.25">
      <c r="Y16717" s="501"/>
    </row>
    <row r="16718" spans="25:25" hidden="1" x14ac:dyDescent="0.25">
      <c r="Y16718" s="501"/>
    </row>
    <row r="16719" spans="25:25" hidden="1" x14ac:dyDescent="0.25">
      <c r="Y16719" s="501"/>
    </row>
    <row r="16720" spans="25:25" hidden="1" x14ac:dyDescent="0.25">
      <c r="Y16720" s="501"/>
    </row>
    <row r="16721" spans="25:25" hidden="1" x14ac:dyDescent="0.25">
      <c r="Y16721" s="501"/>
    </row>
    <row r="16722" spans="25:25" hidden="1" x14ac:dyDescent="0.25">
      <c r="Y16722" s="501"/>
    </row>
    <row r="16723" spans="25:25" hidden="1" x14ac:dyDescent="0.25">
      <c r="Y16723" s="501"/>
    </row>
    <row r="16724" spans="25:25" hidden="1" x14ac:dyDescent="0.25">
      <c r="Y16724" s="501"/>
    </row>
    <row r="16725" spans="25:25" hidden="1" x14ac:dyDescent="0.25">
      <c r="Y16725" s="501"/>
    </row>
    <row r="16726" spans="25:25" hidden="1" x14ac:dyDescent="0.25">
      <c r="Y16726" s="501"/>
    </row>
    <row r="16727" spans="25:25" hidden="1" x14ac:dyDescent="0.25">
      <c r="Y16727" s="501"/>
    </row>
    <row r="16728" spans="25:25" hidden="1" x14ac:dyDescent="0.25">
      <c r="Y16728" s="501"/>
    </row>
    <row r="16729" spans="25:25" hidden="1" x14ac:dyDescent="0.25">
      <c r="Y16729" s="501"/>
    </row>
    <row r="16730" spans="25:25" hidden="1" x14ac:dyDescent="0.25">
      <c r="Y16730" s="501"/>
    </row>
    <row r="16731" spans="25:25" hidden="1" x14ac:dyDescent="0.25">
      <c r="Y16731" s="501"/>
    </row>
    <row r="16732" spans="25:25" hidden="1" x14ac:dyDescent="0.25">
      <c r="Y16732" s="501"/>
    </row>
    <row r="16733" spans="25:25" hidden="1" x14ac:dyDescent="0.25">
      <c r="Y16733" s="501"/>
    </row>
    <row r="16734" spans="25:25" hidden="1" x14ac:dyDescent="0.25">
      <c r="Y16734" s="501"/>
    </row>
    <row r="16735" spans="25:25" hidden="1" x14ac:dyDescent="0.25">
      <c r="Y16735" s="501"/>
    </row>
    <row r="16736" spans="25:25" hidden="1" x14ac:dyDescent="0.25">
      <c r="Y16736" s="501"/>
    </row>
    <row r="16737" spans="25:25" hidden="1" x14ac:dyDescent="0.25">
      <c r="Y16737" s="501"/>
    </row>
    <row r="16738" spans="25:25" hidden="1" x14ac:dyDescent="0.25">
      <c r="Y16738" s="501"/>
    </row>
    <row r="16739" spans="25:25" hidden="1" x14ac:dyDescent="0.25">
      <c r="Y16739" s="501"/>
    </row>
    <row r="16740" spans="25:25" hidden="1" x14ac:dyDescent="0.25">
      <c r="Y16740" s="501"/>
    </row>
    <row r="16741" spans="25:25" hidden="1" x14ac:dyDescent="0.25">
      <c r="Y16741" s="501"/>
    </row>
    <row r="16742" spans="25:25" hidden="1" x14ac:dyDescent="0.25">
      <c r="Y16742" s="501"/>
    </row>
    <row r="16743" spans="25:25" hidden="1" x14ac:dyDescent="0.25">
      <c r="Y16743" s="501"/>
    </row>
    <row r="16744" spans="25:25" hidden="1" x14ac:dyDescent="0.25">
      <c r="Y16744" s="501"/>
    </row>
    <row r="16745" spans="25:25" hidden="1" x14ac:dyDescent="0.25">
      <c r="Y16745" s="501"/>
    </row>
    <row r="16746" spans="25:25" hidden="1" x14ac:dyDescent="0.25">
      <c r="Y16746" s="501"/>
    </row>
    <row r="16747" spans="25:25" hidden="1" x14ac:dyDescent="0.25">
      <c r="Y16747" s="501"/>
    </row>
    <row r="16748" spans="25:25" hidden="1" x14ac:dyDescent="0.25">
      <c r="Y16748" s="501"/>
    </row>
    <row r="16749" spans="25:25" hidden="1" x14ac:dyDescent="0.25">
      <c r="Y16749" s="501"/>
    </row>
    <row r="16750" spans="25:25" hidden="1" x14ac:dyDescent="0.25">
      <c r="Y16750" s="501"/>
    </row>
    <row r="16751" spans="25:25" hidden="1" x14ac:dyDescent="0.25">
      <c r="Y16751" s="501"/>
    </row>
    <row r="16752" spans="25:25" hidden="1" x14ac:dyDescent="0.25">
      <c r="Y16752" s="501"/>
    </row>
    <row r="16753" spans="25:25" hidden="1" x14ac:dyDescent="0.25">
      <c r="Y16753" s="501"/>
    </row>
    <row r="16754" spans="25:25" hidden="1" x14ac:dyDescent="0.25">
      <c r="Y16754" s="501"/>
    </row>
    <row r="16755" spans="25:25" hidden="1" x14ac:dyDescent="0.25">
      <c r="Y16755" s="501"/>
    </row>
    <row r="16756" spans="25:25" hidden="1" x14ac:dyDescent="0.25">
      <c r="Y16756" s="501"/>
    </row>
    <row r="16757" spans="25:25" hidden="1" x14ac:dyDescent="0.25">
      <c r="Y16757" s="501"/>
    </row>
    <row r="16758" spans="25:25" hidden="1" x14ac:dyDescent="0.25">
      <c r="Y16758" s="501"/>
    </row>
    <row r="16759" spans="25:25" hidden="1" x14ac:dyDescent="0.25">
      <c r="Y16759" s="501"/>
    </row>
    <row r="16760" spans="25:25" hidden="1" x14ac:dyDescent="0.25">
      <c r="Y16760" s="501"/>
    </row>
    <row r="16761" spans="25:25" hidden="1" x14ac:dyDescent="0.25">
      <c r="Y16761" s="501"/>
    </row>
    <row r="16762" spans="25:25" hidden="1" x14ac:dyDescent="0.25">
      <c r="Y16762" s="501"/>
    </row>
    <row r="16763" spans="25:25" hidden="1" x14ac:dyDescent="0.25">
      <c r="Y16763" s="501"/>
    </row>
    <row r="16764" spans="25:25" hidden="1" x14ac:dyDescent="0.25">
      <c r="Y16764" s="501"/>
    </row>
    <row r="16765" spans="25:25" hidden="1" x14ac:dyDescent="0.25">
      <c r="Y16765" s="501"/>
    </row>
    <row r="16766" spans="25:25" hidden="1" x14ac:dyDescent="0.25">
      <c r="Y16766" s="501"/>
    </row>
    <row r="16767" spans="25:25" hidden="1" x14ac:dyDescent="0.25">
      <c r="Y16767" s="501"/>
    </row>
    <row r="16768" spans="25:25" hidden="1" x14ac:dyDescent="0.25">
      <c r="Y16768" s="501"/>
    </row>
    <row r="16769" spans="25:25" hidden="1" x14ac:dyDescent="0.25">
      <c r="Y16769" s="501"/>
    </row>
    <row r="16770" spans="25:25" hidden="1" x14ac:dyDescent="0.25">
      <c r="Y16770" s="501"/>
    </row>
    <row r="16771" spans="25:25" hidden="1" x14ac:dyDescent="0.25">
      <c r="Y16771" s="501"/>
    </row>
    <row r="16772" spans="25:25" hidden="1" x14ac:dyDescent="0.25">
      <c r="Y16772" s="501"/>
    </row>
    <row r="16773" spans="25:25" hidden="1" x14ac:dyDescent="0.25">
      <c r="Y16773" s="501"/>
    </row>
    <row r="16774" spans="25:25" hidden="1" x14ac:dyDescent="0.25">
      <c r="Y16774" s="501"/>
    </row>
    <row r="16775" spans="25:25" hidden="1" x14ac:dyDescent="0.25">
      <c r="Y16775" s="501"/>
    </row>
    <row r="16776" spans="25:25" hidden="1" x14ac:dyDescent="0.25">
      <c r="Y16776" s="501"/>
    </row>
    <row r="16777" spans="25:25" hidden="1" x14ac:dyDescent="0.25">
      <c r="Y16777" s="501"/>
    </row>
    <row r="16778" spans="25:25" hidden="1" x14ac:dyDescent="0.25">
      <c r="Y16778" s="501"/>
    </row>
    <row r="16779" spans="25:25" hidden="1" x14ac:dyDescent="0.25">
      <c r="Y16779" s="501"/>
    </row>
    <row r="16780" spans="25:25" hidden="1" x14ac:dyDescent="0.25">
      <c r="Y16780" s="501"/>
    </row>
    <row r="16781" spans="25:25" hidden="1" x14ac:dyDescent="0.25">
      <c r="Y16781" s="501"/>
    </row>
    <row r="16782" spans="25:25" hidden="1" x14ac:dyDescent="0.25">
      <c r="Y16782" s="501"/>
    </row>
    <row r="16783" spans="25:25" hidden="1" x14ac:dyDescent="0.25">
      <c r="Y16783" s="501"/>
    </row>
    <row r="16784" spans="25:25" hidden="1" x14ac:dyDescent="0.25">
      <c r="Y16784" s="501"/>
    </row>
    <row r="16785" spans="25:25" hidden="1" x14ac:dyDescent="0.25">
      <c r="Y16785" s="501"/>
    </row>
    <row r="16786" spans="25:25" hidden="1" x14ac:dyDescent="0.25">
      <c r="Y16786" s="501"/>
    </row>
    <row r="16787" spans="25:25" hidden="1" x14ac:dyDescent="0.25">
      <c r="Y16787" s="501"/>
    </row>
    <row r="16788" spans="25:25" hidden="1" x14ac:dyDescent="0.25">
      <c r="Y16788" s="501"/>
    </row>
    <row r="16789" spans="25:25" hidden="1" x14ac:dyDescent="0.25">
      <c r="Y16789" s="501"/>
    </row>
    <row r="16790" spans="25:25" hidden="1" x14ac:dyDescent="0.25">
      <c r="Y16790" s="501"/>
    </row>
    <row r="16791" spans="25:25" hidden="1" x14ac:dyDescent="0.25">
      <c r="Y16791" s="501"/>
    </row>
    <row r="16792" spans="25:25" hidden="1" x14ac:dyDescent="0.25">
      <c r="Y16792" s="501"/>
    </row>
    <row r="16793" spans="25:25" hidden="1" x14ac:dyDescent="0.25">
      <c r="Y16793" s="501"/>
    </row>
    <row r="16794" spans="25:25" hidden="1" x14ac:dyDescent="0.25">
      <c r="Y16794" s="501"/>
    </row>
    <row r="16795" spans="25:25" hidden="1" x14ac:dyDescent="0.25">
      <c r="Y16795" s="501"/>
    </row>
    <row r="16796" spans="25:25" hidden="1" x14ac:dyDescent="0.25">
      <c r="Y16796" s="501"/>
    </row>
    <row r="16797" spans="25:25" hidden="1" x14ac:dyDescent="0.25">
      <c r="Y16797" s="501"/>
    </row>
    <row r="16798" spans="25:25" hidden="1" x14ac:dyDescent="0.25">
      <c r="Y16798" s="501"/>
    </row>
    <row r="16799" spans="25:25" hidden="1" x14ac:dyDescent="0.25">
      <c r="Y16799" s="501"/>
    </row>
    <row r="16800" spans="25:25" hidden="1" x14ac:dyDescent="0.25">
      <c r="Y16800" s="501"/>
    </row>
    <row r="16801" spans="25:25" hidden="1" x14ac:dyDescent="0.25">
      <c r="Y16801" s="501"/>
    </row>
    <row r="16802" spans="25:25" hidden="1" x14ac:dyDescent="0.25">
      <c r="Y16802" s="501"/>
    </row>
    <row r="16803" spans="25:25" hidden="1" x14ac:dyDescent="0.25">
      <c r="Y16803" s="501"/>
    </row>
    <row r="16804" spans="25:25" hidden="1" x14ac:dyDescent="0.25">
      <c r="Y16804" s="501"/>
    </row>
    <row r="16805" spans="25:25" hidden="1" x14ac:dyDescent="0.25">
      <c r="Y16805" s="501"/>
    </row>
    <row r="16806" spans="25:25" hidden="1" x14ac:dyDescent="0.25">
      <c r="Y16806" s="501"/>
    </row>
    <row r="16807" spans="25:25" hidden="1" x14ac:dyDescent="0.25">
      <c r="Y16807" s="501"/>
    </row>
    <row r="16808" spans="25:25" hidden="1" x14ac:dyDescent="0.25">
      <c r="Y16808" s="501"/>
    </row>
    <row r="16809" spans="25:25" hidden="1" x14ac:dyDescent="0.25">
      <c r="Y16809" s="501"/>
    </row>
    <row r="16810" spans="25:25" hidden="1" x14ac:dyDescent="0.25">
      <c r="Y16810" s="501"/>
    </row>
    <row r="16811" spans="25:25" hidden="1" x14ac:dyDescent="0.25">
      <c r="Y16811" s="501"/>
    </row>
    <row r="16812" spans="25:25" hidden="1" x14ac:dyDescent="0.25">
      <c r="Y16812" s="501"/>
    </row>
    <row r="16813" spans="25:25" hidden="1" x14ac:dyDescent="0.25">
      <c r="Y16813" s="501"/>
    </row>
    <row r="16814" spans="25:25" hidden="1" x14ac:dyDescent="0.25">
      <c r="Y16814" s="501"/>
    </row>
    <row r="16815" spans="25:25" hidden="1" x14ac:dyDescent="0.25">
      <c r="Y16815" s="501"/>
    </row>
    <row r="16816" spans="25:25" hidden="1" x14ac:dyDescent="0.25">
      <c r="Y16816" s="501"/>
    </row>
    <row r="16817" spans="25:25" hidden="1" x14ac:dyDescent="0.25">
      <c r="Y16817" s="501"/>
    </row>
    <row r="16818" spans="25:25" hidden="1" x14ac:dyDescent="0.25">
      <c r="Y16818" s="501"/>
    </row>
    <row r="16819" spans="25:25" hidden="1" x14ac:dyDescent="0.25">
      <c r="Y16819" s="501"/>
    </row>
    <row r="16820" spans="25:25" hidden="1" x14ac:dyDescent="0.25">
      <c r="Y16820" s="501"/>
    </row>
    <row r="16821" spans="25:25" hidden="1" x14ac:dyDescent="0.25">
      <c r="Y16821" s="501"/>
    </row>
    <row r="16822" spans="25:25" hidden="1" x14ac:dyDescent="0.25">
      <c r="Y16822" s="501"/>
    </row>
    <row r="16823" spans="25:25" hidden="1" x14ac:dyDescent="0.25">
      <c r="Y16823" s="501"/>
    </row>
    <row r="16824" spans="25:25" hidden="1" x14ac:dyDescent="0.25">
      <c r="Y16824" s="501"/>
    </row>
    <row r="16825" spans="25:25" hidden="1" x14ac:dyDescent="0.25">
      <c r="Y16825" s="501"/>
    </row>
    <row r="16826" spans="25:25" hidden="1" x14ac:dyDescent="0.25">
      <c r="Y16826" s="501"/>
    </row>
    <row r="16827" spans="25:25" hidden="1" x14ac:dyDescent="0.25">
      <c r="Y16827" s="501"/>
    </row>
    <row r="16828" spans="25:25" hidden="1" x14ac:dyDescent="0.25">
      <c r="Y16828" s="501"/>
    </row>
    <row r="16829" spans="25:25" hidden="1" x14ac:dyDescent="0.25">
      <c r="Y16829" s="501"/>
    </row>
    <row r="16830" spans="25:25" hidden="1" x14ac:dyDescent="0.25">
      <c r="Y16830" s="501"/>
    </row>
    <row r="16831" spans="25:25" hidden="1" x14ac:dyDescent="0.25">
      <c r="Y16831" s="501"/>
    </row>
    <row r="16832" spans="25:25" hidden="1" x14ac:dyDescent="0.25">
      <c r="Y16832" s="501"/>
    </row>
    <row r="16833" spans="25:25" hidden="1" x14ac:dyDescent="0.25">
      <c r="Y16833" s="501"/>
    </row>
    <row r="16834" spans="25:25" hidden="1" x14ac:dyDescent="0.25">
      <c r="Y16834" s="501"/>
    </row>
    <row r="16835" spans="25:25" hidden="1" x14ac:dyDescent="0.25">
      <c r="Y16835" s="501"/>
    </row>
    <row r="16836" spans="25:25" hidden="1" x14ac:dyDescent="0.25">
      <c r="Y16836" s="501"/>
    </row>
    <row r="16837" spans="25:25" hidden="1" x14ac:dyDescent="0.25">
      <c r="Y16837" s="501"/>
    </row>
    <row r="16838" spans="25:25" hidden="1" x14ac:dyDescent="0.25">
      <c r="Y16838" s="501"/>
    </row>
    <row r="16839" spans="25:25" hidden="1" x14ac:dyDescent="0.25">
      <c r="Y16839" s="501"/>
    </row>
    <row r="16840" spans="25:25" hidden="1" x14ac:dyDescent="0.25">
      <c r="Y16840" s="501"/>
    </row>
    <row r="16841" spans="25:25" hidden="1" x14ac:dyDescent="0.25">
      <c r="Y16841" s="501"/>
    </row>
    <row r="16842" spans="25:25" hidden="1" x14ac:dyDescent="0.25">
      <c r="Y16842" s="501"/>
    </row>
    <row r="16843" spans="25:25" hidden="1" x14ac:dyDescent="0.25">
      <c r="Y16843" s="501"/>
    </row>
    <row r="16844" spans="25:25" hidden="1" x14ac:dyDescent="0.25">
      <c r="Y16844" s="501"/>
    </row>
    <row r="16845" spans="25:25" hidden="1" x14ac:dyDescent="0.25">
      <c r="Y16845" s="501"/>
    </row>
    <row r="16846" spans="25:25" hidden="1" x14ac:dyDescent="0.25">
      <c r="Y16846" s="501"/>
    </row>
    <row r="16847" spans="25:25" hidden="1" x14ac:dyDescent="0.25">
      <c r="Y16847" s="501"/>
    </row>
    <row r="16848" spans="25:25" hidden="1" x14ac:dyDescent="0.25">
      <c r="Y16848" s="501"/>
    </row>
    <row r="16849" spans="25:25" hidden="1" x14ac:dyDescent="0.25">
      <c r="Y16849" s="501"/>
    </row>
    <row r="16850" spans="25:25" hidden="1" x14ac:dyDescent="0.25">
      <c r="Y16850" s="501"/>
    </row>
    <row r="16851" spans="25:25" hidden="1" x14ac:dyDescent="0.25">
      <c r="Y16851" s="501"/>
    </row>
    <row r="16852" spans="25:25" hidden="1" x14ac:dyDescent="0.25">
      <c r="Y16852" s="501"/>
    </row>
    <row r="16853" spans="25:25" hidden="1" x14ac:dyDescent="0.25">
      <c r="Y16853" s="501"/>
    </row>
    <row r="16854" spans="25:25" hidden="1" x14ac:dyDescent="0.25">
      <c r="Y16854" s="501"/>
    </row>
    <row r="16855" spans="25:25" hidden="1" x14ac:dyDescent="0.25">
      <c r="Y16855" s="501"/>
    </row>
    <row r="16856" spans="25:25" hidden="1" x14ac:dyDescent="0.25">
      <c r="Y16856" s="501"/>
    </row>
    <row r="16857" spans="25:25" hidden="1" x14ac:dyDescent="0.25">
      <c r="Y16857" s="501"/>
    </row>
    <row r="16858" spans="25:25" hidden="1" x14ac:dyDescent="0.25">
      <c r="Y16858" s="501"/>
    </row>
    <row r="16859" spans="25:25" hidden="1" x14ac:dyDescent="0.25">
      <c r="Y16859" s="501"/>
    </row>
    <row r="16860" spans="25:25" hidden="1" x14ac:dyDescent="0.25">
      <c r="Y16860" s="501"/>
    </row>
    <row r="16861" spans="25:25" hidden="1" x14ac:dyDescent="0.25">
      <c r="Y16861" s="501"/>
    </row>
    <row r="16862" spans="25:25" hidden="1" x14ac:dyDescent="0.25">
      <c r="Y16862" s="501"/>
    </row>
    <row r="16863" spans="25:25" hidden="1" x14ac:dyDescent="0.25">
      <c r="Y16863" s="501"/>
    </row>
    <row r="16864" spans="25:25" hidden="1" x14ac:dyDescent="0.25">
      <c r="Y16864" s="501"/>
    </row>
    <row r="16865" spans="25:25" hidden="1" x14ac:dyDescent="0.25">
      <c r="Y16865" s="501"/>
    </row>
    <row r="16866" spans="25:25" hidden="1" x14ac:dyDescent="0.25">
      <c r="Y16866" s="501"/>
    </row>
    <row r="16867" spans="25:25" hidden="1" x14ac:dyDescent="0.25">
      <c r="Y16867" s="501"/>
    </row>
    <row r="16868" spans="25:25" hidden="1" x14ac:dyDescent="0.25">
      <c r="Y16868" s="501"/>
    </row>
    <row r="16869" spans="25:25" hidden="1" x14ac:dyDescent="0.25">
      <c r="Y16869" s="501"/>
    </row>
    <row r="16870" spans="25:25" hidden="1" x14ac:dyDescent="0.25">
      <c r="Y16870" s="501"/>
    </row>
    <row r="16871" spans="25:25" hidden="1" x14ac:dyDescent="0.25">
      <c r="Y16871" s="501"/>
    </row>
    <row r="16872" spans="25:25" hidden="1" x14ac:dyDescent="0.25">
      <c r="Y16872" s="501"/>
    </row>
    <row r="16873" spans="25:25" hidden="1" x14ac:dyDescent="0.25">
      <c r="Y16873" s="501"/>
    </row>
    <row r="16874" spans="25:25" hidden="1" x14ac:dyDescent="0.25">
      <c r="Y16874" s="501"/>
    </row>
    <row r="16875" spans="25:25" hidden="1" x14ac:dyDescent="0.25">
      <c r="Y16875" s="501"/>
    </row>
    <row r="16876" spans="25:25" hidden="1" x14ac:dyDescent="0.25">
      <c r="Y16876" s="501"/>
    </row>
    <row r="16877" spans="25:25" hidden="1" x14ac:dyDescent="0.25">
      <c r="Y16877" s="501"/>
    </row>
    <row r="16878" spans="25:25" hidden="1" x14ac:dyDescent="0.25">
      <c r="Y16878" s="501"/>
    </row>
    <row r="16879" spans="25:25" hidden="1" x14ac:dyDescent="0.25">
      <c r="Y16879" s="501"/>
    </row>
    <row r="16880" spans="25:25" hidden="1" x14ac:dyDescent="0.25">
      <c r="Y16880" s="501"/>
    </row>
    <row r="16881" spans="25:25" hidden="1" x14ac:dyDescent="0.25">
      <c r="Y16881" s="501"/>
    </row>
    <row r="16882" spans="25:25" hidden="1" x14ac:dyDescent="0.25">
      <c r="Y16882" s="501"/>
    </row>
    <row r="16883" spans="25:25" hidden="1" x14ac:dyDescent="0.25">
      <c r="Y16883" s="501"/>
    </row>
    <row r="16884" spans="25:25" hidden="1" x14ac:dyDescent="0.25">
      <c r="Y16884" s="501"/>
    </row>
    <row r="16885" spans="25:25" hidden="1" x14ac:dyDescent="0.25">
      <c r="Y16885" s="501"/>
    </row>
    <row r="16886" spans="25:25" hidden="1" x14ac:dyDescent="0.25">
      <c r="Y16886" s="501"/>
    </row>
    <row r="16887" spans="25:25" hidden="1" x14ac:dyDescent="0.25">
      <c r="Y16887" s="501"/>
    </row>
    <row r="16888" spans="25:25" hidden="1" x14ac:dyDescent="0.25">
      <c r="Y16888" s="501"/>
    </row>
    <row r="16889" spans="25:25" hidden="1" x14ac:dyDescent="0.25">
      <c r="Y16889" s="501"/>
    </row>
    <row r="16890" spans="25:25" hidden="1" x14ac:dyDescent="0.25">
      <c r="Y16890" s="501"/>
    </row>
    <row r="16891" spans="25:25" hidden="1" x14ac:dyDescent="0.25">
      <c r="Y16891" s="501"/>
    </row>
    <row r="16892" spans="25:25" hidden="1" x14ac:dyDescent="0.25">
      <c r="Y16892" s="501"/>
    </row>
    <row r="16893" spans="25:25" hidden="1" x14ac:dyDescent="0.25">
      <c r="Y16893" s="501"/>
    </row>
    <row r="16894" spans="25:25" hidden="1" x14ac:dyDescent="0.25">
      <c r="Y16894" s="501"/>
    </row>
    <row r="16895" spans="25:25" hidden="1" x14ac:dyDescent="0.25">
      <c r="Y16895" s="501"/>
    </row>
    <row r="16896" spans="25:25" hidden="1" x14ac:dyDescent="0.25">
      <c r="Y16896" s="501"/>
    </row>
    <row r="16897" spans="25:25" hidden="1" x14ac:dyDescent="0.25">
      <c r="Y16897" s="501"/>
    </row>
    <row r="16898" spans="25:25" hidden="1" x14ac:dyDescent="0.25">
      <c r="Y16898" s="501"/>
    </row>
    <row r="16899" spans="25:25" hidden="1" x14ac:dyDescent="0.25">
      <c r="Y16899" s="501"/>
    </row>
    <row r="16900" spans="25:25" hidden="1" x14ac:dyDescent="0.25">
      <c r="Y16900" s="501"/>
    </row>
    <row r="16901" spans="25:25" hidden="1" x14ac:dyDescent="0.25">
      <c r="Y16901" s="501"/>
    </row>
    <row r="16902" spans="25:25" hidden="1" x14ac:dyDescent="0.25">
      <c r="Y16902" s="501"/>
    </row>
    <row r="16903" spans="25:25" hidden="1" x14ac:dyDescent="0.25">
      <c r="Y16903" s="501"/>
    </row>
    <row r="16904" spans="25:25" hidden="1" x14ac:dyDescent="0.25">
      <c r="Y16904" s="501"/>
    </row>
    <row r="16905" spans="25:25" hidden="1" x14ac:dyDescent="0.25">
      <c r="Y16905" s="501"/>
    </row>
    <row r="16906" spans="25:25" hidden="1" x14ac:dyDescent="0.25">
      <c r="Y16906" s="501"/>
    </row>
    <row r="16907" spans="25:25" hidden="1" x14ac:dyDescent="0.25">
      <c r="Y16907" s="501"/>
    </row>
    <row r="16908" spans="25:25" hidden="1" x14ac:dyDescent="0.25">
      <c r="Y16908" s="501"/>
    </row>
    <row r="16909" spans="25:25" hidden="1" x14ac:dyDescent="0.25">
      <c r="Y16909" s="501"/>
    </row>
    <row r="16910" spans="25:25" hidden="1" x14ac:dyDescent="0.25">
      <c r="Y16910" s="501"/>
    </row>
    <row r="16911" spans="25:25" hidden="1" x14ac:dyDescent="0.25">
      <c r="Y16911" s="501"/>
    </row>
    <row r="16912" spans="25:25" hidden="1" x14ac:dyDescent="0.25">
      <c r="Y16912" s="501"/>
    </row>
    <row r="16913" spans="25:25" hidden="1" x14ac:dyDescent="0.25">
      <c r="Y16913" s="501"/>
    </row>
    <row r="16914" spans="25:25" hidden="1" x14ac:dyDescent="0.25">
      <c r="Y16914" s="501"/>
    </row>
    <row r="16915" spans="25:25" hidden="1" x14ac:dyDescent="0.25">
      <c r="Y16915" s="501"/>
    </row>
    <row r="16916" spans="25:25" hidden="1" x14ac:dyDescent="0.25">
      <c r="Y16916" s="501"/>
    </row>
    <row r="16917" spans="25:25" hidden="1" x14ac:dyDescent="0.25">
      <c r="Y16917" s="501"/>
    </row>
    <row r="16918" spans="25:25" hidden="1" x14ac:dyDescent="0.25">
      <c r="Y16918" s="501"/>
    </row>
    <row r="16919" spans="25:25" hidden="1" x14ac:dyDescent="0.25">
      <c r="Y16919" s="501"/>
    </row>
    <row r="16920" spans="25:25" hidden="1" x14ac:dyDescent="0.25">
      <c r="Y16920" s="501"/>
    </row>
    <row r="16921" spans="25:25" hidden="1" x14ac:dyDescent="0.25">
      <c r="Y16921" s="501"/>
    </row>
    <row r="16922" spans="25:25" hidden="1" x14ac:dyDescent="0.25">
      <c r="Y16922" s="501"/>
    </row>
    <row r="16923" spans="25:25" hidden="1" x14ac:dyDescent="0.25">
      <c r="Y16923" s="501"/>
    </row>
    <row r="16924" spans="25:25" hidden="1" x14ac:dyDescent="0.25">
      <c r="Y16924" s="501"/>
    </row>
    <row r="16925" spans="25:25" hidden="1" x14ac:dyDescent="0.25">
      <c r="Y16925" s="501"/>
    </row>
    <row r="16926" spans="25:25" hidden="1" x14ac:dyDescent="0.25">
      <c r="Y16926" s="501"/>
    </row>
    <row r="16927" spans="25:25" hidden="1" x14ac:dyDescent="0.25">
      <c r="Y16927" s="501"/>
    </row>
    <row r="16928" spans="25:25" hidden="1" x14ac:dyDescent="0.25">
      <c r="Y16928" s="501"/>
    </row>
    <row r="16929" spans="25:25" hidden="1" x14ac:dyDescent="0.25">
      <c r="Y16929" s="501"/>
    </row>
    <row r="16930" spans="25:25" hidden="1" x14ac:dyDescent="0.25">
      <c r="Y16930" s="501"/>
    </row>
    <row r="16931" spans="25:25" hidden="1" x14ac:dyDescent="0.25">
      <c r="Y16931" s="501"/>
    </row>
    <row r="16932" spans="25:25" hidden="1" x14ac:dyDescent="0.25">
      <c r="Y16932" s="501"/>
    </row>
    <row r="16933" spans="25:25" hidden="1" x14ac:dyDescent="0.25">
      <c r="Y16933" s="501"/>
    </row>
    <row r="16934" spans="25:25" hidden="1" x14ac:dyDescent="0.25">
      <c r="Y16934" s="501"/>
    </row>
    <row r="16935" spans="25:25" hidden="1" x14ac:dyDescent="0.25">
      <c r="Y16935" s="501"/>
    </row>
    <row r="16936" spans="25:25" hidden="1" x14ac:dyDescent="0.25">
      <c r="Y16936" s="501"/>
    </row>
    <row r="16937" spans="25:25" hidden="1" x14ac:dyDescent="0.25">
      <c r="Y16937" s="501"/>
    </row>
    <row r="16938" spans="25:25" hidden="1" x14ac:dyDescent="0.25">
      <c r="Y16938" s="501"/>
    </row>
    <row r="16939" spans="25:25" hidden="1" x14ac:dyDescent="0.25">
      <c r="Y16939" s="501"/>
    </row>
    <row r="16940" spans="25:25" hidden="1" x14ac:dyDescent="0.25">
      <c r="Y16940" s="501"/>
    </row>
    <row r="16941" spans="25:25" hidden="1" x14ac:dyDescent="0.25">
      <c r="Y16941" s="501"/>
    </row>
    <row r="16942" spans="25:25" hidden="1" x14ac:dyDescent="0.25">
      <c r="Y16942" s="501"/>
    </row>
    <row r="16943" spans="25:25" hidden="1" x14ac:dyDescent="0.25">
      <c r="Y16943" s="501"/>
    </row>
    <row r="16944" spans="25:25" hidden="1" x14ac:dyDescent="0.25">
      <c r="Y16944" s="501"/>
    </row>
    <row r="16945" spans="25:25" hidden="1" x14ac:dyDescent="0.25">
      <c r="Y16945" s="501"/>
    </row>
    <row r="16946" spans="25:25" hidden="1" x14ac:dyDescent="0.25">
      <c r="Y16946" s="501"/>
    </row>
    <row r="16947" spans="25:25" hidden="1" x14ac:dyDescent="0.25">
      <c r="Y16947" s="501"/>
    </row>
    <row r="16948" spans="25:25" hidden="1" x14ac:dyDescent="0.25">
      <c r="Y16948" s="501"/>
    </row>
    <row r="16949" spans="25:25" hidden="1" x14ac:dyDescent="0.25">
      <c r="Y16949" s="501"/>
    </row>
    <row r="16950" spans="25:25" hidden="1" x14ac:dyDescent="0.25">
      <c r="Y16950" s="501"/>
    </row>
    <row r="16951" spans="25:25" hidden="1" x14ac:dyDescent="0.25">
      <c r="Y16951" s="501"/>
    </row>
    <row r="16952" spans="25:25" hidden="1" x14ac:dyDescent="0.25">
      <c r="Y16952" s="501"/>
    </row>
    <row r="16953" spans="25:25" hidden="1" x14ac:dyDescent="0.25">
      <c r="Y16953" s="501"/>
    </row>
    <row r="16954" spans="25:25" hidden="1" x14ac:dyDescent="0.25">
      <c r="Y16954" s="501"/>
    </row>
    <row r="16955" spans="25:25" hidden="1" x14ac:dyDescent="0.25">
      <c r="Y16955" s="501"/>
    </row>
    <row r="16956" spans="25:25" hidden="1" x14ac:dyDescent="0.25">
      <c r="Y16956" s="501"/>
    </row>
    <row r="16957" spans="25:25" hidden="1" x14ac:dyDescent="0.25">
      <c r="Y16957" s="501"/>
    </row>
    <row r="16958" spans="25:25" hidden="1" x14ac:dyDescent="0.25">
      <c r="Y16958" s="501"/>
    </row>
    <row r="16959" spans="25:25" hidden="1" x14ac:dyDescent="0.25">
      <c r="Y16959" s="501"/>
    </row>
    <row r="16960" spans="25:25" hidden="1" x14ac:dyDescent="0.25">
      <c r="Y16960" s="501"/>
    </row>
    <row r="16961" spans="25:25" hidden="1" x14ac:dyDescent="0.25">
      <c r="Y16961" s="501"/>
    </row>
    <row r="16962" spans="25:25" hidden="1" x14ac:dyDescent="0.25">
      <c r="Y16962" s="501"/>
    </row>
    <row r="16963" spans="25:25" hidden="1" x14ac:dyDescent="0.25">
      <c r="Y16963" s="501"/>
    </row>
    <row r="16964" spans="25:25" hidden="1" x14ac:dyDescent="0.25">
      <c r="Y16964" s="501"/>
    </row>
    <row r="16965" spans="25:25" hidden="1" x14ac:dyDescent="0.25">
      <c r="Y16965" s="501"/>
    </row>
    <row r="16966" spans="25:25" hidden="1" x14ac:dyDescent="0.25">
      <c r="Y16966" s="501"/>
    </row>
    <row r="16967" spans="25:25" hidden="1" x14ac:dyDescent="0.25">
      <c r="Y16967" s="501"/>
    </row>
    <row r="16968" spans="25:25" hidden="1" x14ac:dyDescent="0.25">
      <c r="Y16968" s="501"/>
    </row>
    <row r="16969" spans="25:25" hidden="1" x14ac:dyDescent="0.25">
      <c r="Y16969" s="501"/>
    </row>
    <row r="16970" spans="25:25" hidden="1" x14ac:dyDescent="0.25">
      <c r="Y16970" s="501"/>
    </row>
    <row r="16971" spans="25:25" hidden="1" x14ac:dyDescent="0.25">
      <c r="Y16971" s="501"/>
    </row>
    <row r="16972" spans="25:25" hidden="1" x14ac:dyDescent="0.25">
      <c r="Y16972" s="501"/>
    </row>
    <row r="16973" spans="25:25" hidden="1" x14ac:dyDescent="0.25">
      <c r="Y16973" s="501"/>
    </row>
    <row r="16974" spans="25:25" hidden="1" x14ac:dyDescent="0.25">
      <c r="Y16974" s="501"/>
    </row>
    <row r="16975" spans="25:25" hidden="1" x14ac:dyDescent="0.25">
      <c r="Y16975" s="501"/>
    </row>
    <row r="16976" spans="25:25" hidden="1" x14ac:dyDescent="0.25">
      <c r="Y16976" s="501"/>
    </row>
    <row r="16977" spans="25:25" hidden="1" x14ac:dyDescent="0.25">
      <c r="Y16977" s="501"/>
    </row>
    <row r="16978" spans="25:25" hidden="1" x14ac:dyDescent="0.25">
      <c r="Y16978" s="501"/>
    </row>
    <row r="16979" spans="25:25" hidden="1" x14ac:dyDescent="0.25">
      <c r="Y16979" s="501"/>
    </row>
    <row r="16980" spans="25:25" hidden="1" x14ac:dyDescent="0.25">
      <c r="Y16980" s="501"/>
    </row>
    <row r="16981" spans="25:25" hidden="1" x14ac:dyDescent="0.25">
      <c r="Y16981" s="501"/>
    </row>
    <row r="16982" spans="25:25" hidden="1" x14ac:dyDescent="0.25">
      <c r="Y16982" s="501"/>
    </row>
    <row r="16983" spans="25:25" hidden="1" x14ac:dyDescent="0.25">
      <c r="Y16983" s="501"/>
    </row>
    <row r="16984" spans="25:25" hidden="1" x14ac:dyDescent="0.25">
      <c r="Y16984" s="501"/>
    </row>
    <row r="16985" spans="25:25" hidden="1" x14ac:dyDescent="0.25">
      <c r="Y16985" s="501"/>
    </row>
    <row r="16986" spans="25:25" hidden="1" x14ac:dyDescent="0.25">
      <c r="Y16986" s="501"/>
    </row>
    <row r="16987" spans="25:25" hidden="1" x14ac:dyDescent="0.25">
      <c r="Y16987" s="501"/>
    </row>
    <row r="16988" spans="25:25" hidden="1" x14ac:dyDescent="0.25">
      <c r="Y16988" s="501"/>
    </row>
    <row r="16989" spans="25:25" hidden="1" x14ac:dyDescent="0.25">
      <c r="Y16989" s="501"/>
    </row>
    <row r="16990" spans="25:25" hidden="1" x14ac:dyDescent="0.25">
      <c r="Y16990" s="501"/>
    </row>
    <row r="16991" spans="25:25" hidden="1" x14ac:dyDescent="0.25">
      <c r="Y16991" s="501"/>
    </row>
    <row r="16992" spans="25:25" hidden="1" x14ac:dyDescent="0.25">
      <c r="Y16992" s="501"/>
    </row>
    <row r="16993" spans="25:25" hidden="1" x14ac:dyDescent="0.25">
      <c r="Y16993" s="501"/>
    </row>
    <row r="16994" spans="25:25" hidden="1" x14ac:dyDescent="0.25">
      <c r="Y16994" s="501"/>
    </row>
    <row r="16995" spans="25:25" hidden="1" x14ac:dyDescent="0.25">
      <c r="Y16995" s="501"/>
    </row>
    <row r="16996" spans="25:25" hidden="1" x14ac:dyDescent="0.25">
      <c r="Y16996" s="501"/>
    </row>
    <row r="16997" spans="25:25" hidden="1" x14ac:dyDescent="0.25">
      <c r="Y16997" s="501"/>
    </row>
    <row r="16998" spans="25:25" hidden="1" x14ac:dyDescent="0.25">
      <c r="Y16998" s="501"/>
    </row>
    <row r="16999" spans="25:25" hidden="1" x14ac:dyDescent="0.25">
      <c r="Y16999" s="501"/>
    </row>
    <row r="17000" spans="25:25" hidden="1" x14ac:dyDescent="0.25">
      <c r="Y17000" s="501"/>
    </row>
    <row r="17001" spans="25:25" hidden="1" x14ac:dyDescent="0.25">
      <c r="Y17001" s="501"/>
    </row>
    <row r="17002" spans="25:25" hidden="1" x14ac:dyDescent="0.25">
      <c r="Y17002" s="501"/>
    </row>
    <row r="17003" spans="25:25" hidden="1" x14ac:dyDescent="0.25">
      <c r="Y17003" s="501"/>
    </row>
    <row r="17004" spans="25:25" hidden="1" x14ac:dyDescent="0.25">
      <c r="Y17004" s="501"/>
    </row>
    <row r="17005" spans="25:25" hidden="1" x14ac:dyDescent="0.25">
      <c r="Y17005" s="501"/>
    </row>
    <row r="17006" spans="25:25" hidden="1" x14ac:dyDescent="0.25">
      <c r="Y17006" s="501"/>
    </row>
    <row r="17007" spans="25:25" hidden="1" x14ac:dyDescent="0.25">
      <c r="Y17007" s="501"/>
    </row>
    <row r="17008" spans="25:25" hidden="1" x14ac:dyDescent="0.25">
      <c r="Y17008" s="501"/>
    </row>
    <row r="17009" spans="25:25" hidden="1" x14ac:dyDescent="0.25">
      <c r="Y17009" s="501"/>
    </row>
    <row r="17010" spans="25:25" hidden="1" x14ac:dyDescent="0.25">
      <c r="Y17010" s="501"/>
    </row>
    <row r="17011" spans="25:25" hidden="1" x14ac:dyDescent="0.25">
      <c r="Y17011" s="501"/>
    </row>
    <row r="17012" spans="25:25" hidden="1" x14ac:dyDescent="0.25">
      <c r="Y17012" s="501"/>
    </row>
    <row r="17013" spans="25:25" hidden="1" x14ac:dyDescent="0.25">
      <c r="Y17013" s="501"/>
    </row>
    <row r="17014" spans="25:25" hidden="1" x14ac:dyDescent="0.25">
      <c r="Y17014" s="501"/>
    </row>
    <row r="17015" spans="25:25" hidden="1" x14ac:dyDescent="0.25">
      <c r="Y17015" s="501"/>
    </row>
    <row r="17016" spans="25:25" hidden="1" x14ac:dyDescent="0.25">
      <c r="Y17016" s="501"/>
    </row>
    <row r="17017" spans="25:25" hidden="1" x14ac:dyDescent="0.25">
      <c r="Y17017" s="501"/>
    </row>
    <row r="17018" spans="25:25" hidden="1" x14ac:dyDescent="0.25">
      <c r="Y17018" s="501"/>
    </row>
    <row r="17019" spans="25:25" hidden="1" x14ac:dyDescent="0.25">
      <c r="Y17019" s="501"/>
    </row>
    <row r="17020" spans="25:25" hidden="1" x14ac:dyDescent="0.25">
      <c r="Y17020" s="501"/>
    </row>
    <row r="17021" spans="25:25" hidden="1" x14ac:dyDescent="0.25">
      <c r="Y17021" s="501"/>
    </row>
    <row r="17022" spans="25:25" hidden="1" x14ac:dyDescent="0.25">
      <c r="Y17022" s="501"/>
    </row>
    <row r="17023" spans="25:25" hidden="1" x14ac:dyDescent="0.25">
      <c r="Y17023" s="501"/>
    </row>
    <row r="17024" spans="25:25" hidden="1" x14ac:dyDescent="0.25">
      <c r="Y17024" s="501"/>
    </row>
    <row r="17025" spans="25:25" hidden="1" x14ac:dyDescent="0.25">
      <c r="Y17025" s="501"/>
    </row>
    <row r="17026" spans="25:25" hidden="1" x14ac:dyDescent="0.25">
      <c r="Y17026" s="501"/>
    </row>
    <row r="17027" spans="25:25" hidden="1" x14ac:dyDescent="0.25">
      <c r="Y17027" s="501"/>
    </row>
    <row r="17028" spans="25:25" hidden="1" x14ac:dyDescent="0.25">
      <c r="Y17028" s="501"/>
    </row>
    <row r="17029" spans="25:25" hidden="1" x14ac:dyDescent="0.25">
      <c r="Y17029" s="501"/>
    </row>
    <row r="17030" spans="25:25" hidden="1" x14ac:dyDescent="0.25">
      <c r="Y17030" s="501"/>
    </row>
    <row r="17031" spans="25:25" hidden="1" x14ac:dyDescent="0.25">
      <c r="Y17031" s="501"/>
    </row>
    <row r="17032" spans="25:25" hidden="1" x14ac:dyDescent="0.25">
      <c r="Y17032" s="501"/>
    </row>
    <row r="17033" spans="25:25" hidden="1" x14ac:dyDescent="0.25">
      <c r="Y17033" s="501"/>
    </row>
    <row r="17034" spans="25:25" hidden="1" x14ac:dyDescent="0.25">
      <c r="Y17034" s="501"/>
    </row>
    <row r="17035" spans="25:25" hidden="1" x14ac:dyDescent="0.25">
      <c r="Y17035" s="501"/>
    </row>
    <row r="17036" spans="25:25" hidden="1" x14ac:dyDescent="0.25">
      <c r="Y17036" s="501"/>
    </row>
    <row r="17037" spans="25:25" hidden="1" x14ac:dyDescent="0.25">
      <c r="Y17037" s="501"/>
    </row>
    <row r="17038" spans="25:25" hidden="1" x14ac:dyDescent="0.25">
      <c r="Y17038" s="501"/>
    </row>
    <row r="17039" spans="25:25" hidden="1" x14ac:dyDescent="0.25">
      <c r="Y17039" s="501"/>
    </row>
    <row r="17040" spans="25:25" hidden="1" x14ac:dyDescent="0.25">
      <c r="Y17040" s="501"/>
    </row>
    <row r="17041" spans="25:25" hidden="1" x14ac:dyDescent="0.25">
      <c r="Y17041" s="501"/>
    </row>
    <row r="17042" spans="25:25" hidden="1" x14ac:dyDescent="0.25">
      <c r="Y17042" s="501"/>
    </row>
    <row r="17043" spans="25:25" hidden="1" x14ac:dyDescent="0.25">
      <c r="Y17043" s="501"/>
    </row>
    <row r="17044" spans="25:25" hidden="1" x14ac:dyDescent="0.25">
      <c r="Y17044" s="501"/>
    </row>
    <row r="17045" spans="25:25" hidden="1" x14ac:dyDescent="0.25">
      <c r="Y17045" s="501"/>
    </row>
    <row r="17046" spans="25:25" hidden="1" x14ac:dyDescent="0.25">
      <c r="Y17046" s="501"/>
    </row>
    <row r="17047" spans="25:25" hidden="1" x14ac:dyDescent="0.25">
      <c r="Y17047" s="501"/>
    </row>
    <row r="17048" spans="25:25" hidden="1" x14ac:dyDescent="0.25">
      <c r="Y17048" s="501"/>
    </row>
    <row r="17049" spans="25:25" hidden="1" x14ac:dyDescent="0.25">
      <c r="Y17049" s="501"/>
    </row>
    <row r="17050" spans="25:25" hidden="1" x14ac:dyDescent="0.25">
      <c r="Y17050" s="501"/>
    </row>
    <row r="17051" spans="25:25" hidden="1" x14ac:dyDescent="0.25">
      <c r="Y17051" s="501"/>
    </row>
    <row r="17052" spans="25:25" hidden="1" x14ac:dyDescent="0.25">
      <c r="Y17052" s="501"/>
    </row>
    <row r="17053" spans="25:25" hidden="1" x14ac:dyDescent="0.25">
      <c r="Y17053" s="501"/>
    </row>
    <row r="17054" spans="25:25" hidden="1" x14ac:dyDescent="0.25">
      <c r="Y17054" s="501"/>
    </row>
    <row r="17055" spans="25:25" hidden="1" x14ac:dyDescent="0.25">
      <c r="Y17055" s="501"/>
    </row>
    <row r="17056" spans="25:25" hidden="1" x14ac:dyDescent="0.25">
      <c r="Y17056" s="501"/>
    </row>
    <row r="17057" spans="25:25" hidden="1" x14ac:dyDescent="0.25">
      <c r="Y17057" s="501"/>
    </row>
    <row r="17058" spans="25:25" hidden="1" x14ac:dyDescent="0.25">
      <c r="Y17058" s="501"/>
    </row>
    <row r="17059" spans="25:25" hidden="1" x14ac:dyDescent="0.25">
      <c r="Y17059" s="501"/>
    </row>
    <row r="17060" spans="25:25" hidden="1" x14ac:dyDescent="0.25">
      <c r="Y17060" s="501"/>
    </row>
    <row r="17061" spans="25:25" hidden="1" x14ac:dyDescent="0.25">
      <c r="Y17061" s="501"/>
    </row>
    <row r="17062" spans="25:25" hidden="1" x14ac:dyDescent="0.25">
      <c r="Y17062" s="501"/>
    </row>
    <row r="17063" spans="25:25" hidden="1" x14ac:dyDescent="0.25">
      <c r="Y17063" s="501"/>
    </row>
    <row r="17064" spans="25:25" hidden="1" x14ac:dyDescent="0.25">
      <c r="Y17064" s="501"/>
    </row>
    <row r="17065" spans="25:25" hidden="1" x14ac:dyDescent="0.25">
      <c r="Y17065" s="501"/>
    </row>
    <row r="17066" spans="25:25" hidden="1" x14ac:dyDescent="0.25">
      <c r="Y17066" s="501"/>
    </row>
    <row r="17067" spans="25:25" hidden="1" x14ac:dyDescent="0.25">
      <c r="Y17067" s="501"/>
    </row>
    <row r="17068" spans="25:25" hidden="1" x14ac:dyDescent="0.25">
      <c r="Y17068" s="501"/>
    </row>
    <row r="17069" spans="25:25" hidden="1" x14ac:dyDescent="0.25">
      <c r="Y17069" s="501"/>
    </row>
    <row r="17070" spans="25:25" hidden="1" x14ac:dyDescent="0.25">
      <c r="Y17070" s="501"/>
    </row>
    <row r="17071" spans="25:25" hidden="1" x14ac:dyDescent="0.25">
      <c r="Y17071" s="501"/>
    </row>
    <row r="17072" spans="25:25" hidden="1" x14ac:dyDescent="0.25">
      <c r="Y17072" s="501"/>
    </row>
    <row r="17073" spans="25:25" hidden="1" x14ac:dyDescent="0.25">
      <c r="Y17073" s="501"/>
    </row>
    <row r="17074" spans="25:25" hidden="1" x14ac:dyDescent="0.25">
      <c r="Y17074" s="501"/>
    </row>
    <row r="17075" spans="25:25" hidden="1" x14ac:dyDescent="0.25">
      <c r="Y17075" s="501"/>
    </row>
    <row r="17076" spans="25:25" hidden="1" x14ac:dyDescent="0.25">
      <c r="Y17076" s="501"/>
    </row>
    <row r="17077" spans="25:25" hidden="1" x14ac:dyDescent="0.25">
      <c r="Y17077" s="501"/>
    </row>
    <row r="17078" spans="25:25" hidden="1" x14ac:dyDescent="0.25">
      <c r="Y17078" s="501"/>
    </row>
    <row r="17079" spans="25:25" hidden="1" x14ac:dyDescent="0.25">
      <c r="Y17079" s="501"/>
    </row>
    <row r="17080" spans="25:25" hidden="1" x14ac:dyDescent="0.25">
      <c r="Y17080" s="501"/>
    </row>
    <row r="17081" spans="25:25" hidden="1" x14ac:dyDescent="0.25">
      <c r="Y17081" s="501"/>
    </row>
    <row r="17082" spans="25:25" hidden="1" x14ac:dyDescent="0.25">
      <c r="Y17082" s="501"/>
    </row>
    <row r="17083" spans="25:25" hidden="1" x14ac:dyDescent="0.25">
      <c r="Y17083" s="501"/>
    </row>
    <row r="17084" spans="25:25" hidden="1" x14ac:dyDescent="0.25">
      <c r="Y17084" s="501"/>
    </row>
    <row r="17085" spans="25:25" hidden="1" x14ac:dyDescent="0.25">
      <c r="Y17085" s="501"/>
    </row>
    <row r="17086" spans="25:25" hidden="1" x14ac:dyDescent="0.25">
      <c r="Y17086" s="501"/>
    </row>
    <row r="17087" spans="25:25" hidden="1" x14ac:dyDescent="0.25">
      <c r="Y17087" s="501"/>
    </row>
    <row r="17088" spans="25:25" hidden="1" x14ac:dyDescent="0.25">
      <c r="Y17088" s="501"/>
    </row>
    <row r="17089" spans="25:25" hidden="1" x14ac:dyDescent="0.25">
      <c r="Y17089" s="501"/>
    </row>
    <row r="17090" spans="25:25" hidden="1" x14ac:dyDescent="0.25">
      <c r="Y17090" s="501"/>
    </row>
    <row r="17091" spans="25:25" hidden="1" x14ac:dyDescent="0.25">
      <c r="Y17091" s="501"/>
    </row>
    <row r="17092" spans="25:25" hidden="1" x14ac:dyDescent="0.25">
      <c r="Y17092" s="501"/>
    </row>
    <row r="17093" spans="25:25" hidden="1" x14ac:dyDescent="0.25">
      <c r="Y17093" s="501"/>
    </row>
    <row r="17094" spans="25:25" hidden="1" x14ac:dyDescent="0.25">
      <c r="Y17094" s="501"/>
    </row>
    <row r="17095" spans="25:25" hidden="1" x14ac:dyDescent="0.25">
      <c r="Y17095" s="501"/>
    </row>
    <row r="17096" spans="25:25" hidden="1" x14ac:dyDescent="0.25">
      <c r="Y17096" s="501"/>
    </row>
    <row r="17097" spans="25:25" hidden="1" x14ac:dyDescent="0.25">
      <c r="Y17097" s="501"/>
    </row>
    <row r="17098" spans="25:25" hidden="1" x14ac:dyDescent="0.25">
      <c r="Y17098" s="501"/>
    </row>
    <row r="17099" spans="25:25" hidden="1" x14ac:dyDescent="0.25">
      <c r="Y17099" s="501"/>
    </row>
    <row r="17100" spans="25:25" hidden="1" x14ac:dyDescent="0.25">
      <c r="Y17100" s="501"/>
    </row>
    <row r="17101" spans="25:25" hidden="1" x14ac:dyDescent="0.25">
      <c r="Y17101" s="501"/>
    </row>
    <row r="17102" spans="25:25" hidden="1" x14ac:dyDescent="0.25">
      <c r="Y17102" s="501"/>
    </row>
    <row r="17103" spans="25:25" hidden="1" x14ac:dyDescent="0.25">
      <c r="Y17103" s="501"/>
    </row>
    <row r="17104" spans="25:25" hidden="1" x14ac:dyDescent="0.25">
      <c r="Y17104" s="501"/>
    </row>
    <row r="17105" spans="25:25" hidden="1" x14ac:dyDescent="0.25">
      <c r="Y17105" s="501"/>
    </row>
    <row r="17106" spans="25:25" hidden="1" x14ac:dyDescent="0.25">
      <c r="Y17106" s="501"/>
    </row>
    <row r="17107" spans="25:25" hidden="1" x14ac:dyDescent="0.25">
      <c r="Y17107" s="501"/>
    </row>
    <row r="17108" spans="25:25" hidden="1" x14ac:dyDescent="0.25">
      <c r="Y17108" s="501"/>
    </row>
    <row r="17109" spans="25:25" hidden="1" x14ac:dyDescent="0.25">
      <c r="Y17109" s="501"/>
    </row>
    <row r="17110" spans="25:25" hidden="1" x14ac:dyDescent="0.25">
      <c r="Y17110" s="501"/>
    </row>
    <row r="17111" spans="25:25" hidden="1" x14ac:dyDescent="0.25">
      <c r="Y17111" s="501"/>
    </row>
    <row r="17112" spans="25:25" hidden="1" x14ac:dyDescent="0.25">
      <c r="Y17112" s="501"/>
    </row>
    <row r="17113" spans="25:25" hidden="1" x14ac:dyDescent="0.25">
      <c r="Y17113" s="501"/>
    </row>
    <row r="17114" spans="25:25" hidden="1" x14ac:dyDescent="0.25">
      <c r="Y17114" s="501"/>
    </row>
    <row r="17115" spans="25:25" hidden="1" x14ac:dyDescent="0.25">
      <c r="Y17115" s="501"/>
    </row>
    <row r="17116" spans="25:25" hidden="1" x14ac:dyDescent="0.25">
      <c r="Y17116" s="501"/>
    </row>
    <row r="17117" spans="25:25" hidden="1" x14ac:dyDescent="0.25">
      <c r="Y17117" s="501"/>
    </row>
    <row r="17118" spans="25:25" hidden="1" x14ac:dyDescent="0.25">
      <c r="Y17118" s="501"/>
    </row>
    <row r="17119" spans="25:25" hidden="1" x14ac:dyDescent="0.25">
      <c r="Y17119" s="501"/>
    </row>
    <row r="17120" spans="25:25" hidden="1" x14ac:dyDescent="0.25">
      <c r="Y17120" s="501"/>
    </row>
    <row r="17121" spans="25:25" hidden="1" x14ac:dyDescent="0.25">
      <c r="Y17121" s="501"/>
    </row>
    <row r="17122" spans="25:25" hidden="1" x14ac:dyDescent="0.25">
      <c r="Y17122" s="501"/>
    </row>
    <row r="17123" spans="25:25" hidden="1" x14ac:dyDescent="0.25">
      <c r="Y17123" s="501"/>
    </row>
    <row r="17124" spans="25:25" hidden="1" x14ac:dyDescent="0.25">
      <c r="Y17124" s="501"/>
    </row>
    <row r="17125" spans="25:25" hidden="1" x14ac:dyDescent="0.25">
      <c r="Y17125" s="501"/>
    </row>
    <row r="17126" spans="25:25" hidden="1" x14ac:dyDescent="0.25">
      <c r="Y17126" s="501"/>
    </row>
    <row r="17127" spans="25:25" hidden="1" x14ac:dyDescent="0.25">
      <c r="Y17127" s="501"/>
    </row>
    <row r="17128" spans="25:25" hidden="1" x14ac:dyDescent="0.25">
      <c r="Y17128" s="501"/>
    </row>
    <row r="17129" spans="25:25" hidden="1" x14ac:dyDescent="0.25">
      <c r="Y17129" s="501"/>
    </row>
    <row r="17130" spans="25:25" hidden="1" x14ac:dyDescent="0.25">
      <c r="Y17130" s="501"/>
    </row>
    <row r="17131" spans="25:25" hidden="1" x14ac:dyDescent="0.25">
      <c r="Y17131" s="501"/>
    </row>
    <row r="17132" spans="25:25" hidden="1" x14ac:dyDescent="0.25">
      <c r="Y17132" s="501"/>
    </row>
    <row r="17133" spans="25:25" hidden="1" x14ac:dyDescent="0.25">
      <c r="Y17133" s="501"/>
    </row>
    <row r="17134" spans="25:25" hidden="1" x14ac:dyDescent="0.25">
      <c r="Y17134" s="501"/>
    </row>
    <row r="17135" spans="25:25" hidden="1" x14ac:dyDescent="0.25">
      <c r="Y17135" s="501"/>
    </row>
    <row r="17136" spans="25:25" hidden="1" x14ac:dyDescent="0.25">
      <c r="Y17136" s="501"/>
    </row>
    <row r="17137" spans="25:25" hidden="1" x14ac:dyDescent="0.25">
      <c r="Y17137" s="501"/>
    </row>
    <row r="17138" spans="25:25" hidden="1" x14ac:dyDescent="0.25">
      <c r="Y17138" s="501"/>
    </row>
    <row r="17139" spans="25:25" hidden="1" x14ac:dyDescent="0.25">
      <c r="Y17139" s="501"/>
    </row>
    <row r="17140" spans="25:25" hidden="1" x14ac:dyDescent="0.25">
      <c r="Y17140" s="501"/>
    </row>
    <row r="17141" spans="25:25" hidden="1" x14ac:dyDescent="0.25">
      <c r="Y17141" s="501"/>
    </row>
    <row r="17142" spans="25:25" hidden="1" x14ac:dyDescent="0.25">
      <c r="Y17142" s="501"/>
    </row>
    <row r="17143" spans="25:25" hidden="1" x14ac:dyDescent="0.25">
      <c r="Y17143" s="501"/>
    </row>
    <row r="17144" spans="25:25" hidden="1" x14ac:dyDescent="0.25">
      <c r="Y17144" s="501"/>
    </row>
    <row r="17145" spans="25:25" hidden="1" x14ac:dyDescent="0.25">
      <c r="Y17145" s="501"/>
    </row>
    <row r="17146" spans="25:25" hidden="1" x14ac:dyDescent="0.25">
      <c r="Y17146" s="501"/>
    </row>
    <row r="17147" spans="25:25" hidden="1" x14ac:dyDescent="0.25">
      <c r="Y17147" s="501"/>
    </row>
    <row r="17148" spans="25:25" hidden="1" x14ac:dyDescent="0.25">
      <c r="Y17148" s="501"/>
    </row>
    <row r="17149" spans="25:25" hidden="1" x14ac:dyDescent="0.25">
      <c r="Y17149" s="501"/>
    </row>
    <row r="17150" spans="25:25" hidden="1" x14ac:dyDescent="0.25">
      <c r="Y17150" s="501"/>
    </row>
    <row r="17151" spans="25:25" hidden="1" x14ac:dyDescent="0.25">
      <c r="Y17151" s="501"/>
    </row>
    <row r="17152" spans="25:25" hidden="1" x14ac:dyDescent="0.25">
      <c r="Y17152" s="501"/>
    </row>
    <row r="17153" spans="25:25" hidden="1" x14ac:dyDescent="0.25">
      <c r="Y17153" s="501"/>
    </row>
    <row r="17154" spans="25:25" hidden="1" x14ac:dyDescent="0.25">
      <c r="Y17154" s="501"/>
    </row>
    <row r="17155" spans="25:25" hidden="1" x14ac:dyDescent="0.25">
      <c r="Y17155" s="501"/>
    </row>
    <row r="17156" spans="25:25" hidden="1" x14ac:dyDescent="0.25">
      <c r="Y17156" s="501"/>
    </row>
    <row r="17157" spans="25:25" hidden="1" x14ac:dyDescent="0.25">
      <c r="Y17157" s="501"/>
    </row>
    <row r="17158" spans="25:25" hidden="1" x14ac:dyDescent="0.25">
      <c r="Y17158" s="501"/>
    </row>
    <row r="17159" spans="25:25" hidden="1" x14ac:dyDescent="0.25">
      <c r="Y17159" s="501"/>
    </row>
    <row r="17160" spans="25:25" hidden="1" x14ac:dyDescent="0.25">
      <c r="Y17160" s="501"/>
    </row>
    <row r="17161" spans="25:25" hidden="1" x14ac:dyDescent="0.25">
      <c r="Y17161" s="501"/>
    </row>
    <row r="17162" spans="25:25" hidden="1" x14ac:dyDescent="0.25">
      <c r="Y17162" s="501"/>
    </row>
    <row r="17163" spans="25:25" hidden="1" x14ac:dyDescent="0.25">
      <c r="Y17163" s="501"/>
    </row>
    <row r="17164" spans="25:25" hidden="1" x14ac:dyDescent="0.25">
      <c r="Y17164" s="501"/>
    </row>
    <row r="17165" spans="25:25" hidden="1" x14ac:dyDescent="0.25">
      <c r="Y17165" s="501"/>
    </row>
    <row r="17166" spans="25:25" hidden="1" x14ac:dyDescent="0.25">
      <c r="Y17166" s="501"/>
    </row>
    <row r="17167" spans="25:25" hidden="1" x14ac:dyDescent="0.25">
      <c r="Y17167" s="501"/>
    </row>
    <row r="17168" spans="25:25" hidden="1" x14ac:dyDescent="0.25">
      <c r="Y17168" s="501"/>
    </row>
    <row r="17169" spans="25:25" hidden="1" x14ac:dyDescent="0.25">
      <c r="Y17169" s="501"/>
    </row>
    <row r="17170" spans="25:25" hidden="1" x14ac:dyDescent="0.25">
      <c r="Y17170" s="501"/>
    </row>
    <row r="17171" spans="25:25" hidden="1" x14ac:dyDescent="0.25">
      <c r="Y17171" s="501"/>
    </row>
    <row r="17172" spans="25:25" hidden="1" x14ac:dyDescent="0.25">
      <c r="Y17172" s="501"/>
    </row>
    <row r="17173" spans="25:25" hidden="1" x14ac:dyDescent="0.25">
      <c r="Y17173" s="501"/>
    </row>
    <row r="17174" spans="25:25" hidden="1" x14ac:dyDescent="0.25">
      <c r="Y17174" s="501"/>
    </row>
    <row r="17175" spans="25:25" hidden="1" x14ac:dyDescent="0.25">
      <c r="Y17175" s="501"/>
    </row>
    <row r="17176" spans="25:25" hidden="1" x14ac:dyDescent="0.25">
      <c r="Y17176" s="501"/>
    </row>
    <row r="17177" spans="25:25" hidden="1" x14ac:dyDescent="0.25">
      <c r="Y17177" s="501"/>
    </row>
    <row r="17178" spans="25:25" hidden="1" x14ac:dyDescent="0.25">
      <c r="Y17178" s="501"/>
    </row>
    <row r="17179" spans="25:25" hidden="1" x14ac:dyDescent="0.25">
      <c r="Y17179" s="501"/>
    </row>
    <row r="17180" spans="25:25" hidden="1" x14ac:dyDescent="0.25">
      <c r="Y17180" s="501"/>
    </row>
    <row r="17181" spans="25:25" hidden="1" x14ac:dyDescent="0.25">
      <c r="Y17181" s="501"/>
    </row>
    <row r="17182" spans="25:25" hidden="1" x14ac:dyDescent="0.25">
      <c r="Y17182" s="501"/>
    </row>
    <row r="17183" spans="25:25" hidden="1" x14ac:dyDescent="0.25">
      <c r="Y17183" s="501"/>
    </row>
    <row r="17184" spans="25:25" hidden="1" x14ac:dyDescent="0.25">
      <c r="Y17184" s="501"/>
    </row>
    <row r="17185" spans="25:25" hidden="1" x14ac:dyDescent="0.25">
      <c r="Y17185" s="501"/>
    </row>
    <row r="17186" spans="25:25" hidden="1" x14ac:dyDescent="0.25">
      <c r="Y17186" s="501"/>
    </row>
    <row r="17187" spans="25:25" hidden="1" x14ac:dyDescent="0.25">
      <c r="Y17187" s="501"/>
    </row>
    <row r="17188" spans="25:25" hidden="1" x14ac:dyDescent="0.25">
      <c r="Y17188" s="501"/>
    </row>
    <row r="17189" spans="25:25" hidden="1" x14ac:dyDescent="0.25">
      <c r="Y17189" s="501"/>
    </row>
    <row r="17190" spans="25:25" hidden="1" x14ac:dyDescent="0.25">
      <c r="Y17190" s="501"/>
    </row>
    <row r="17191" spans="25:25" hidden="1" x14ac:dyDescent="0.25">
      <c r="Y17191" s="501"/>
    </row>
    <row r="17192" spans="25:25" hidden="1" x14ac:dyDescent="0.25">
      <c r="Y17192" s="501"/>
    </row>
    <row r="17193" spans="25:25" hidden="1" x14ac:dyDescent="0.25">
      <c r="Y17193" s="501"/>
    </row>
    <row r="17194" spans="25:25" hidden="1" x14ac:dyDescent="0.25">
      <c r="Y17194" s="501"/>
    </row>
    <row r="17195" spans="25:25" hidden="1" x14ac:dyDescent="0.25">
      <c r="Y17195" s="501"/>
    </row>
    <row r="17196" spans="25:25" hidden="1" x14ac:dyDescent="0.25">
      <c r="Y17196" s="501"/>
    </row>
    <row r="17197" spans="25:25" hidden="1" x14ac:dyDescent="0.25">
      <c r="Y17197" s="501"/>
    </row>
    <row r="17198" spans="25:25" hidden="1" x14ac:dyDescent="0.25">
      <c r="Y17198" s="501"/>
    </row>
    <row r="17199" spans="25:25" hidden="1" x14ac:dyDescent="0.25">
      <c r="Y17199" s="501"/>
    </row>
    <row r="17200" spans="25:25" hidden="1" x14ac:dyDescent="0.25">
      <c r="Y17200" s="501"/>
    </row>
    <row r="17201" spans="25:25" hidden="1" x14ac:dyDescent="0.25">
      <c r="Y17201" s="501"/>
    </row>
    <row r="17202" spans="25:25" hidden="1" x14ac:dyDescent="0.25">
      <c r="Y17202" s="501"/>
    </row>
    <row r="17203" spans="25:25" hidden="1" x14ac:dyDescent="0.25">
      <c r="Y17203" s="501"/>
    </row>
    <row r="17204" spans="25:25" hidden="1" x14ac:dyDescent="0.25">
      <c r="Y17204" s="501"/>
    </row>
    <row r="17205" spans="25:25" hidden="1" x14ac:dyDescent="0.25">
      <c r="Y17205" s="501"/>
    </row>
    <row r="17206" spans="25:25" hidden="1" x14ac:dyDescent="0.25">
      <c r="Y17206" s="501"/>
    </row>
    <row r="17207" spans="25:25" hidden="1" x14ac:dyDescent="0.25">
      <c r="Y17207" s="501"/>
    </row>
    <row r="17208" spans="25:25" hidden="1" x14ac:dyDescent="0.25">
      <c r="Y17208" s="501"/>
    </row>
    <row r="17209" spans="25:25" hidden="1" x14ac:dyDescent="0.25">
      <c r="Y17209" s="501"/>
    </row>
    <row r="17210" spans="25:25" hidden="1" x14ac:dyDescent="0.25">
      <c r="Y17210" s="501"/>
    </row>
    <row r="17211" spans="25:25" hidden="1" x14ac:dyDescent="0.25">
      <c r="Y17211" s="501"/>
    </row>
    <row r="17212" spans="25:25" hidden="1" x14ac:dyDescent="0.25">
      <c r="Y17212" s="501"/>
    </row>
    <row r="17213" spans="25:25" hidden="1" x14ac:dyDescent="0.25">
      <c r="Y17213" s="501"/>
    </row>
    <row r="17214" spans="25:25" hidden="1" x14ac:dyDescent="0.25">
      <c r="Y17214" s="501"/>
    </row>
    <row r="17215" spans="25:25" hidden="1" x14ac:dyDescent="0.25">
      <c r="Y17215" s="501"/>
    </row>
    <row r="17216" spans="25:25" hidden="1" x14ac:dyDescent="0.25">
      <c r="Y17216" s="501"/>
    </row>
    <row r="17217" spans="25:25" hidden="1" x14ac:dyDescent="0.25">
      <c r="Y17217" s="501"/>
    </row>
    <row r="17218" spans="25:25" hidden="1" x14ac:dyDescent="0.25">
      <c r="Y17218" s="501"/>
    </row>
    <row r="17219" spans="25:25" hidden="1" x14ac:dyDescent="0.25">
      <c r="Y17219" s="501"/>
    </row>
    <row r="17220" spans="25:25" hidden="1" x14ac:dyDescent="0.25">
      <c r="Y17220" s="501"/>
    </row>
    <row r="17221" spans="25:25" hidden="1" x14ac:dyDescent="0.25">
      <c r="Y17221" s="501"/>
    </row>
    <row r="17222" spans="25:25" hidden="1" x14ac:dyDescent="0.25">
      <c r="Y17222" s="501"/>
    </row>
    <row r="17223" spans="25:25" hidden="1" x14ac:dyDescent="0.25">
      <c r="Y17223" s="501"/>
    </row>
    <row r="17224" spans="25:25" hidden="1" x14ac:dyDescent="0.25">
      <c r="Y17224" s="501"/>
    </row>
    <row r="17225" spans="25:25" hidden="1" x14ac:dyDescent="0.25">
      <c r="Y17225" s="501"/>
    </row>
    <row r="17226" spans="25:25" hidden="1" x14ac:dyDescent="0.25">
      <c r="Y17226" s="501"/>
    </row>
    <row r="17227" spans="25:25" hidden="1" x14ac:dyDescent="0.25">
      <c r="Y17227" s="501"/>
    </row>
    <row r="17228" spans="25:25" hidden="1" x14ac:dyDescent="0.25">
      <c r="Y17228" s="501"/>
    </row>
    <row r="17229" spans="25:25" hidden="1" x14ac:dyDescent="0.25">
      <c r="Y17229" s="501"/>
    </row>
    <row r="17230" spans="25:25" hidden="1" x14ac:dyDescent="0.25">
      <c r="Y17230" s="501"/>
    </row>
    <row r="17231" spans="25:25" hidden="1" x14ac:dyDescent="0.25">
      <c r="Y17231" s="501"/>
    </row>
    <row r="17232" spans="25:25" hidden="1" x14ac:dyDescent="0.25">
      <c r="Y17232" s="501"/>
    </row>
    <row r="17233" spans="25:25" hidden="1" x14ac:dyDescent="0.25">
      <c r="Y17233" s="501"/>
    </row>
    <row r="17234" spans="25:25" hidden="1" x14ac:dyDescent="0.25">
      <c r="Y17234" s="501"/>
    </row>
    <row r="17235" spans="25:25" hidden="1" x14ac:dyDescent="0.25">
      <c r="Y17235" s="501"/>
    </row>
    <row r="17236" spans="25:25" hidden="1" x14ac:dyDescent="0.25">
      <c r="Y17236" s="501"/>
    </row>
    <row r="17237" spans="25:25" hidden="1" x14ac:dyDescent="0.25">
      <c r="Y17237" s="501"/>
    </row>
    <row r="17238" spans="25:25" hidden="1" x14ac:dyDescent="0.25">
      <c r="Y17238" s="501"/>
    </row>
    <row r="17239" spans="25:25" hidden="1" x14ac:dyDescent="0.25">
      <c r="Y17239" s="501"/>
    </row>
    <row r="17240" spans="25:25" hidden="1" x14ac:dyDescent="0.25">
      <c r="Y17240" s="501"/>
    </row>
    <row r="17241" spans="25:25" hidden="1" x14ac:dyDescent="0.25">
      <c r="Y17241" s="501"/>
    </row>
    <row r="17242" spans="25:25" hidden="1" x14ac:dyDescent="0.25">
      <c r="Y17242" s="501"/>
    </row>
    <row r="17243" spans="25:25" hidden="1" x14ac:dyDescent="0.25">
      <c r="Y17243" s="501"/>
    </row>
    <row r="17244" spans="25:25" hidden="1" x14ac:dyDescent="0.25">
      <c r="Y17244" s="501"/>
    </row>
    <row r="17245" spans="25:25" hidden="1" x14ac:dyDescent="0.25">
      <c r="Y17245" s="501"/>
    </row>
    <row r="17246" spans="25:25" hidden="1" x14ac:dyDescent="0.25">
      <c r="Y17246" s="501"/>
    </row>
    <row r="17247" spans="25:25" hidden="1" x14ac:dyDescent="0.25">
      <c r="Y17247" s="501"/>
    </row>
    <row r="17248" spans="25:25" hidden="1" x14ac:dyDescent="0.25">
      <c r="Y17248" s="501"/>
    </row>
    <row r="17249" spans="25:25" hidden="1" x14ac:dyDescent="0.25">
      <c r="Y17249" s="501"/>
    </row>
    <row r="17250" spans="25:25" hidden="1" x14ac:dyDescent="0.25">
      <c r="Y17250" s="501"/>
    </row>
    <row r="17251" spans="25:25" hidden="1" x14ac:dyDescent="0.25">
      <c r="Y17251" s="501"/>
    </row>
    <row r="17252" spans="25:25" hidden="1" x14ac:dyDescent="0.25">
      <c r="Y17252" s="501"/>
    </row>
    <row r="17253" spans="25:25" hidden="1" x14ac:dyDescent="0.25">
      <c r="Y17253" s="501"/>
    </row>
    <row r="17254" spans="25:25" hidden="1" x14ac:dyDescent="0.25">
      <c r="Y17254" s="501"/>
    </row>
    <row r="17255" spans="25:25" hidden="1" x14ac:dyDescent="0.25">
      <c r="Y17255" s="501"/>
    </row>
    <row r="17256" spans="25:25" hidden="1" x14ac:dyDescent="0.25">
      <c r="Y17256" s="501"/>
    </row>
    <row r="17257" spans="25:25" hidden="1" x14ac:dyDescent="0.25">
      <c r="Y17257" s="501"/>
    </row>
    <row r="17258" spans="25:25" hidden="1" x14ac:dyDescent="0.25">
      <c r="Y17258" s="501"/>
    </row>
    <row r="17259" spans="25:25" hidden="1" x14ac:dyDescent="0.25">
      <c r="Y17259" s="501"/>
    </row>
    <row r="17260" spans="25:25" hidden="1" x14ac:dyDescent="0.25">
      <c r="Y17260" s="501"/>
    </row>
    <row r="17261" spans="25:25" hidden="1" x14ac:dyDescent="0.25">
      <c r="Y17261" s="501"/>
    </row>
    <row r="17262" spans="25:25" hidden="1" x14ac:dyDescent="0.25">
      <c r="Y17262" s="501"/>
    </row>
    <row r="17263" spans="25:25" hidden="1" x14ac:dyDescent="0.25">
      <c r="Y17263" s="501"/>
    </row>
    <row r="17264" spans="25:25" hidden="1" x14ac:dyDescent="0.25">
      <c r="Y17264" s="501"/>
    </row>
    <row r="17265" spans="25:25" hidden="1" x14ac:dyDescent="0.25">
      <c r="Y17265" s="501"/>
    </row>
    <row r="17266" spans="25:25" hidden="1" x14ac:dyDescent="0.25">
      <c r="Y17266" s="501"/>
    </row>
    <row r="17267" spans="25:25" hidden="1" x14ac:dyDescent="0.25">
      <c r="Y17267" s="501"/>
    </row>
    <row r="17268" spans="25:25" hidden="1" x14ac:dyDescent="0.25">
      <c r="Y17268" s="501"/>
    </row>
    <row r="17269" spans="25:25" hidden="1" x14ac:dyDescent="0.25">
      <c r="Y17269" s="501"/>
    </row>
    <row r="17270" spans="25:25" hidden="1" x14ac:dyDescent="0.25">
      <c r="Y17270" s="501"/>
    </row>
    <row r="17271" spans="25:25" hidden="1" x14ac:dyDescent="0.25">
      <c r="Y17271" s="501"/>
    </row>
    <row r="17272" spans="25:25" hidden="1" x14ac:dyDescent="0.25">
      <c r="Y17272" s="501"/>
    </row>
    <row r="17273" spans="25:25" hidden="1" x14ac:dyDescent="0.25">
      <c r="Y17273" s="501"/>
    </row>
    <row r="17274" spans="25:25" hidden="1" x14ac:dyDescent="0.25">
      <c r="Y17274" s="501"/>
    </row>
    <row r="17275" spans="25:25" hidden="1" x14ac:dyDescent="0.25">
      <c r="Y17275" s="501"/>
    </row>
    <row r="17276" spans="25:25" hidden="1" x14ac:dyDescent="0.25">
      <c r="Y17276" s="501"/>
    </row>
    <row r="17277" spans="25:25" hidden="1" x14ac:dyDescent="0.25">
      <c r="Y17277" s="501"/>
    </row>
    <row r="17278" spans="25:25" hidden="1" x14ac:dyDescent="0.25">
      <c r="Y17278" s="501"/>
    </row>
    <row r="17279" spans="25:25" hidden="1" x14ac:dyDescent="0.25">
      <c r="Y17279" s="501"/>
    </row>
    <row r="17280" spans="25:25" hidden="1" x14ac:dyDescent="0.25">
      <c r="Y17280" s="501"/>
    </row>
    <row r="17281" spans="25:25" hidden="1" x14ac:dyDescent="0.25">
      <c r="Y17281" s="501"/>
    </row>
    <row r="17282" spans="25:25" hidden="1" x14ac:dyDescent="0.25">
      <c r="Y17282" s="501"/>
    </row>
    <row r="17283" spans="25:25" hidden="1" x14ac:dyDescent="0.25">
      <c r="Y17283" s="501"/>
    </row>
    <row r="17284" spans="25:25" hidden="1" x14ac:dyDescent="0.25">
      <c r="Y17284" s="501"/>
    </row>
    <row r="17285" spans="25:25" hidden="1" x14ac:dyDescent="0.25">
      <c r="Y17285" s="501"/>
    </row>
    <row r="17286" spans="25:25" hidden="1" x14ac:dyDescent="0.25">
      <c r="Y17286" s="501"/>
    </row>
    <row r="17287" spans="25:25" hidden="1" x14ac:dyDescent="0.25">
      <c r="Y17287" s="501"/>
    </row>
    <row r="17288" spans="25:25" hidden="1" x14ac:dyDescent="0.25">
      <c r="Y17288" s="501"/>
    </row>
    <row r="17289" spans="25:25" hidden="1" x14ac:dyDescent="0.25">
      <c r="Y17289" s="501"/>
    </row>
    <row r="17290" spans="25:25" hidden="1" x14ac:dyDescent="0.25">
      <c r="Y17290" s="501"/>
    </row>
    <row r="17291" spans="25:25" hidden="1" x14ac:dyDescent="0.25">
      <c r="Y17291" s="501"/>
    </row>
    <row r="17292" spans="25:25" hidden="1" x14ac:dyDescent="0.25">
      <c r="Y17292" s="501"/>
    </row>
    <row r="17293" spans="25:25" hidden="1" x14ac:dyDescent="0.25">
      <c r="Y17293" s="501"/>
    </row>
    <row r="17294" spans="25:25" hidden="1" x14ac:dyDescent="0.25">
      <c r="Y17294" s="501"/>
    </row>
    <row r="17295" spans="25:25" hidden="1" x14ac:dyDescent="0.25">
      <c r="Y17295" s="501"/>
    </row>
    <row r="17296" spans="25:25" hidden="1" x14ac:dyDescent="0.25">
      <c r="Y17296" s="501"/>
    </row>
    <row r="17297" spans="25:25" hidden="1" x14ac:dyDescent="0.25">
      <c r="Y17297" s="501"/>
    </row>
    <row r="17298" spans="25:25" hidden="1" x14ac:dyDescent="0.25">
      <c r="Y17298" s="501"/>
    </row>
    <row r="17299" spans="25:25" hidden="1" x14ac:dyDescent="0.25">
      <c r="Y17299" s="501"/>
    </row>
    <row r="17300" spans="25:25" hidden="1" x14ac:dyDescent="0.25">
      <c r="Y17300" s="501"/>
    </row>
    <row r="17301" spans="25:25" hidden="1" x14ac:dyDescent="0.25">
      <c r="Y17301" s="501"/>
    </row>
    <row r="17302" spans="25:25" hidden="1" x14ac:dyDescent="0.25">
      <c r="Y17302" s="501"/>
    </row>
    <row r="17303" spans="25:25" hidden="1" x14ac:dyDescent="0.25">
      <c r="Y17303" s="501"/>
    </row>
    <row r="17304" spans="25:25" hidden="1" x14ac:dyDescent="0.25">
      <c r="Y17304" s="501"/>
    </row>
    <row r="17305" spans="25:25" hidden="1" x14ac:dyDescent="0.25">
      <c r="Y17305" s="501"/>
    </row>
    <row r="17306" spans="25:25" hidden="1" x14ac:dyDescent="0.25">
      <c r="Y17306" s="501"/>
    </row>
    <row r="17307" spans="25:25" hidden="1" x14ac:dyDescent="0.25">
      <c r="Y17307" s="501"/>
    </row>
    <row r="17308" spans="25:25" hidden="1" x14ac:dyDescent="0.25">
      <c r="Y17308" s="501"/>
    </row>
    <row r="17309" spans="25:25" hidden="1" x14ac:dyDescent="0.25">
      <c r="Y17309" s="501"/>
    </row>
    <row r="17310" spans="25:25" hidden="1" x14ac:dyDescent="0.25">
      <c r="Y17310" s="501"/>
    </row>
    <row r="17311" spans="25:25" hidden="1" x14ac:dyDescent="0.25">
      <c r="Y17311" s="501"/>
    </row>
    <row r="17312" spans="25:25" hidden="1" x14ac:dyDescent="0.25">
      <c r="Y17312" s="501"/>
    </row>
    <row r="17313" spans="25:25" hidden="1" x14ac:dyDescent="0.25">
      <c r="Y17313" s="501"/>
    </row>
    <row r="17314" spans="25:25" hidden="1" x14ac:dyDescent="0.25">
      <c r="Y17314" s="501"/>
    </row>
    <row r="17315" spans="25:25" hidden="1" x14ac:dyDescent="0.25">
      <c r="Y17315" s="501"/>
    </row>
    <row r="17316" spans="25:25" hidden="1" x14ac:dyDescent="0.25">
      <c r="Y17316" s="501"/>
    </row>
    <row r="17317" spans="25:25" hidden="1" x14ac:dyDescent="0.25">
      <c r="Y17317" s="501"/>
    </row>
    <row r="17318" spans="25:25" hidden="1" x14ac:dyDescent="0.25">
      <c r="Y17318" s="501"/>
    </row>
    <row r="17319" spans="25:25" hidden="1" x14ac:dyDescent="0.25">
      <c r="Y17319" s="501"/>
    </row>
    <row r="17320" spans="25:25" hidden="1" x14ac:dyDescent="0.25">
      <c r="Y17320" s="501"/>
    </row>
    <row r="17321" spans="25:25" hidden="1" x14ac:dyDescent="0.25">
      <c r="Y17321" s="501"/>
    </row>
    <row r="17322" spans="25:25" hidden="1" x14ac:dyDescent="0.25">
      <c r="Y17322" s="501"/>
    </row>
    <row r="17323" spans="25:25" hidden="1" x14ac:dyDescent="0.25">
      <c r="Y17323" s="501"/>
    </row>
    <row r="17324" spans="25:25" hidden="1" x14ac:dyDescent="0.25">
      <c r="Y17324" s="501"/>
    </row>
    <row r="17325" spans="25:25" hidden="1" x14ac:dyDescent="0.25">
      <c r="Y17325" s="501"/>
    </row>
    <row r="17326" spans="25:25" hidden="1" x14ac:dyDescent="0.25">
      <c r="Y17326" s="501"/>
    </row>
    <row r="17327" spans="25:25" hidden="1" x14ac:dyDescent="0.25">
      <c r="Y17327" s="501"/>
    </row>
    <row r="17328" spans="25:25" hidden="1" x14ac:dyDescent="0.25">
      <c r="Y17328" s="501"/>
    </row>
    <row r="17329" spans="25:25" hidden="1" x14ac:dyDescent="0.25">
      <c r="Y17329" s="501"/>
    </row>
    <row r="17330" spans="25:25" hidden="1" x14ac:dyDescent="0.25">
      <c r="Y17330" s="501"/>
    </row>
    <row r="17331" spans="25:25" hidden="1" x14ac:dyDescent="0.25">
      <c r="Y17331" s="501"/>
    </row>
    <row r="17332" spans="25:25" hidden="1" x14ac:dyDescent="0.25">
      <c r="Y17332" s="501"/>
    </row>
    <row r="17333" spans="25:25" hidden="1" x14ac:dyDescent="0.25">
      <c r="Y17333" s="501"/>
    </row>
    <row r="17334" spans="25:25" hidden="1" x14ac:dyDescent="0.25">
      <c r="Y17334" s="501"/>
    </row>
    <row r="17335" spans="25:25" hidden="1" x14ac:dyDescent="0.25">
      <c r="Y17335" s="501"/>
    </row>
    <row r="17336" spans="25:25" hidden="1" x14ac:dyDescent="0.25">
      <c r="Y17336" s="501"/>
    </row>
    <row r="17337" spans="25:25" hidden="1" x14ac:dyDescent="0.25">
      <c r="Y17337" s="501"/>
    </row>
    <row r="17338" spans="25:25" hidden="1" x14ac:dyDescent="0.25">
      <c r="Y17338" s="501"/>
    </row>
    <row r="17339" spans="25:25" hidden="1" x14ac:dyDescent="0.25">
      <c r="Y17339" s="501"/>
    </row>
    <row r="17340" spans="25:25" hidden="1" x14ac:dyDescent="0.25">
      <c r="Y17340" s="501"/>
    </row>
    <row r="17341" spans="25:25" hidden="1" x14ac:dyDescent="0.25">
      <c r="Y17341" s="501"/>
    </row>
    <row r="17342" spans="25:25" hidden="1" x14ac:dyDescent="0.25">
      <c r="Y17342" s="501"/>
    </row>
    <row r="17343" spans="25:25" hidden="1" x14ac:dyDescent="0.25">
      <c r="Y17343" s="501"/>
    </row>
    <row r="17344" spans="25:25" hidden="1" x14ac:dyDescent="0.25">
      <c r="Y17344" s="501"/>
    </row>
    <row r="17345" spans="25:25" hidden="1" x14ac:dyDescent="0.25">
      <c r="Y17345" s="501"/>
    </row>
    <row r="17346" spans="25:25" hidden="1" x14ac:dyDescent="0.25">
      <c r="Y17346" s="501"/>
    </row>
    <row r="17347" spans="25:25" hidden="1" x14ac:dyDescent="0.25">
      <c r="Y17347" s="501"/>
    </row>
    <row r="17348" spans="25:25" hidden="1" x14ac:dyDescent="0.25">
      <c r="Y17348" s="501"/>
    </row>
    <row r="17349" spans="25:25" hidden="1" x14ac:dyDescent="0.25">
      <c r="Y17349" s="501"/>
    </row>
    <row r="17350" spans="25:25" hidden="1" x14ac:dyDescent="0.25">
      <c r="Y17350" s="501"/>
    </row>
    <row r="17351" spans="25:25" hidden="1" x14ac:dyDescent="0.25">
      <c r="Y17351" s="501"/>
    </row>
    <row r="17352" spans="25:25" hidden="1" x14ac:dyDescent="0.25">
      <c r="Y17352" s="501"/>
    </row>
    <row r="17353" spans="25:25" hidden="1" x14ac:dyDescent="0.25">
      <c r="Y17353" s="501"/>
    </row>
    <row r="17354" spans="25:25" hidden="1" x14ac:dyDescent="0.25">
      <c r="Y17354" s="501"/>
    </row>
    <row r="17355" spans="25:25" hidden="1" x14ac:dyDescent="0.25">
      <c r="Y17355" s="501"/>
    </row>
    <row r="17356" spans="25:25" hidden="1" x14ac:dyDescent="0.25">
      <c r="Y17356" s="501"/>
    </row>
    <row r="17357" spans="25:25" hidden="1" x14ac:dyDescent="0.25">
      <c r="Y17357" s="501"/>
    </row>
    <row r="17358" spans="25:25" hidden="1" x14ac:dyDescent="0.25">
      <c r="Y17358" s="501"/>
    </row>
    <row r="17359" spans="25:25" hidden="1" x14ac:dyDescent="0.25">
      <c r="Y17359" s="501"/>
    </row>
    <row r="17360" spans="25:25" hidden="1" x14ac:dyDescent="0.25">
      <c r="Y17360" s="501"/>
    </row>
    <row r="17361" spans="25:25" hidden="1" x14ac:dyDescent="0.25">
      <c r="Y17361" s="501"/>
    </row>
    <row r="17362" spans="25:25" hidden="1" x14ac:dyDescent="0.25">
      <c r="Y17362" s="501"/>
    </row>
    <row r="17363" spans="25:25" hidden="1" x14ac:dyDescent="0.25">
      <c r="Y17363" s="501"/>
    </row>
    <row r="17364" spans="25:25" hidden="1" x14ac:dyDescent="0.25">
      <c r="Y17364" s="501"/>
    </row>
    <row r="17365" spans="25:25" hidden="1" x14ac:dyDescent="0.25">
      <c r="Y17365" s="501"/>
    </row>
    <row r="17366" spans="25:25" hidden="1" x14ac:dyDescent="0.25">
      <c r="Y17366" s="501"/>
    </row>
    <row r="17367" spans="25:25" hidden="1" x14ac:dyDescent="0.25">
      <c r="Y17367" s="501"/>
    </row>
    <row r="17368" spans="25:25" hidden="1" x14ac:dyDescent="0.25">
      <c r="Y17368" s="501"/>
    </row>
    <row r="17369" spans="25:25" hidden="1" x14ac:dyDescent="0.25">
      <c r="Y17369" s="501"/>
    </row>
    <row r="17370" spans="25:25" hidden="1" x14ac:dyDescent="0.25">
      <c r="Y17370" s="501"/>
    </row>
    <row r="17371" spans="25:25" hidden="1" x14ac:dyDescent="0.25">
      <c r="Y17371" s="501"/>
    </row>
    <row r="17372" spans="25:25" hidden="1" x14ac:dyDescent="0.25">
      <c r="Y17372" s="501"/>
    </row>
    <row r="17373" spans="25:25" hidden="1" x14ac:dyDescent="0.25">
      <c r="Y17373" s="501"/>
    </row>
    <row r="17374" spans="25:25" hidden="1" x14ac:dyDescent="0.25">
      <c r="Y17374" s="501"/>
    </row>
    <row r="17375" spans="25:25" hidden="1" x14ac:dyDescent="0.25">
      <c r="Y17375" s="501"/>
    </row>
    <row r="17376" spans="25:25" hidden="1" x14ac:dyDescent="0.25">
      <c r="Y17376" s="501"/>
    </row>
    <row r="17377" spans="25:25" hidden="1" x14ac:dyDescent="0.25">
      <c r="Y17377" s="501"/>
    </row>
    <row r="17378" spans="25:25" hidden="1" x14ac:dyDescent="0.25">
      <c r="Y17378" s="501"/>
    </row>
    <row r="17379" spans="25:25" hidden="1" x14ac:dyDescent="0.25">
      <c r="Y17379" s="501"/>
    </row>
    <row r="17380" spans="25:25" hidden="1" x14ac:dyDescent="0.25">
      <c r="Y17380" s="501"/>
    </row>
    <row r="17381" spans="25:25" hidden="1" x14ac:dyDescent="0.25">
      <c r="Y17381" s="501"/>
    </row>
    <row r="17382" spans="25:25" hidden="1" x14ac:dyDescent="0.25">
      <c r="Y17382" s="501"/>
    </row>
    <row r="17383" spans="25:25" hidden="1" x14ac:dyDescent="0.25">
      <c r="Y17383" s="501"/>
    </row>
    <row r="17384" spans="25:25" hidden="1" x14ac:dyDescent="0.25">
      <c r="Y17384" s="501"/>
    </row>
    <row r="17385" spans="25:25" hidden="1" x14ac:dyDescent="0.25">
      <c r="Y17385" s="501"/>
    </row>
    <row r="17386" spans="25:25" hidden="1" x14ac:dyDescent="0.25">
      <c r="Y17386" s="501"/>
    </row>
    <row r="17387" spans="25:25" hidden="1" x14ac:dyDescent="0.25">
      <c r="Y17387" s="501"/>
    </row>
    <row r="17388" spans="25:25" hidden="1" x14ac:dyDescent="0.25">
      <c r="Y17388" s="501"/>
    </row>
    <row r="17389" spans="25:25" hidden="1" x14ac:dyDescent="0.25">
      <c r="Y17389" s="501"/>
    </row>
    <row r="17390" spans="25:25" hidden="1" x14ac:dyDescent="0.25">
      <c r="Y17390" s="501"/>
    </row>
    <row r="17391" spans="25:25" hidden="1" x14ac:dyDescent="0.25">
      <c r="Y17391" s="501"/>
    </row>
    <row r="17392" spans="25:25" hidden="1" x14ac:dyDescent="0.25">
      <c r="Y17392" s="501"/>
    </row>
    <row r="17393" spans="25:25" hidden="1" x14ac:dyDescent="0.25">
      <c r="Y17393" s="501"/>
    </row>
    <row r="17394" spans="25:25" hidden="1" x14ac:dyDescent="0.25">
      <c r="Y17394" s="501"/>
    </row>
    <row r="17395" spans="25:25" hidden="1" x14ac:dyDescent="0.25">
      <c r="Y17395" s="501"/>
    </row>
    <row r="17396" spans="25:25" hidden="1" x14ac:dyDescent="0.25">
      <c r="Y17396" s="501"/>
    </row>
    <row r="17397" spans="25:25" hidden="1" x14ac:dyDescent="0.25">
      <c r="Y17397" s="501"/>
    </row>
    <row r="17398" spans="25:25" hidden="1" x14ac:dyDescent="0.25">
      <c r="Y17398" s="501"/>
    </row>
    <row r="17399" spans="25:25" hidden="1" x14ac:dyDescent="0.25">
      <c r="Y17399" s="501"/>
    </row>
    <row r="17400" spans="25:25" hidden="1" x14ac:dyDescent="0.25">
      <c r="Y17400" s="501"/>
    </row>
    <row r="17401" spans="25:25" hidden="1" x14ac:dyDescent="0.25">
      <c r="Y17401" s="501"/>
    </row>
    <row r="17402" spans="25:25" hidden="1" x14ac:dyDescent="0.25">
      <c r="Y17402" s="501"/>
    </row>
    <row r="17403" spans="25:25" hidden="1" x14ac:dyDescent="0.25">
      <c r="Y17403" s="501"/>
    </row>
    <row r="17404" spans="25:25" hidden="1" x14ac:dyDescent="0.25">
      <c r="Y17404" s="501"/>
    </row>
    <row r="17405" spans="25:25" hidden="1" x14ac:dyDescent="0.25">
      <c r="Y17405" s="501"/>
    </row>
    <row r="17406" spans="25:25" hidden="1" x14ac:dyDescent="0.25">
      <c r="Y17406" s="501"/>
    </row>
    <row r="17407" spans="25:25" hidden="1" x14ac:dyDescent="0.25">
      <c r="Y17407" s="501"/>
    </row>
    <row r="17408" spans="25:25" hidden="1" x14ac:dyDescent="0.25">
      <c r="Y17408" s="501"/>
    </row>
    <row r="17409" spans="25:25" hidden="1" x14ac:dyDescent="0.25">
      <c r="Y17409" s="501"/>
    </row>
    <row r="17410" spans="25:25" hidden="1" x14ac:dyDescent="0.25">
      <c r="Y17410" s="501"/>
    </row>
    <row r="17411" spans="25:25" hidden="1" x14ac:dyDescent="0.25">
      <c r="Y17411" s="501"/>
    </row>
    <row r="17412" spans="25:25" hidden="1" x14ac:dyDescent="0.25">
      <c r="Y17412" s="501"/>
    </row>
    <row r="17413" spans="25:25" hidden="1" x14ac:dyDescent="0.25">
      <c r="Y17413" s="501"/>
    </row>
    <row r="17414" spans="25:25" hidden="1" x14ac:dyDescent="0.25">
      <c r="Y17414" s="501"/>
    </row>
    <row r="17415" spans="25:25" hidden="1" x14ac:dyDescent="0.25">
      <c r="Y17415" s="501"/>
    </row>
    <row r="17416" spans="25:25" hidden="1" x14ac:dyDescent="0.25">
      <c r="Y17416" s="501"/>
    </row>
    <row r="17417" spans="25:25" hidden="1" x14ac:dyDescent="0.25">
      <c r="Y17417" s="501"/>
    </row>
    <row r="17418" spans="25:25" hidden="1" x14ac:dyDescent="0.25">
      <c r="Y17418" s="501"/>
    </row>
    <row r="17419" spans="25:25" hidden="1" x14ac:dyDescent="0.25">
      <c r="Y17419" s="501"/>
    </row>
    <row r="17420" spans="25:25" hidden="1" x14ac:dyDescent="0.25">
      <c r="Y17420" s="501"/>
    </row>
    <row r="17421" spans="25:25" hidden="1" x14ac:dyDescent="0.25">
      <c r="Y17421" s="501"/>
    </row>
    <row r="17422" spans="25:25" hidden="1" x14ac:dyDescent="0.25">
      <c r="Y17422" s="501"/>
    </row>
    <row r="17423" spans="25:25" hidden="1" x14ac:dyDescent="0.25">
      <c r="Y17423" s="501"/>
    </row>
    <row r="17424" spans="25:25" hidden="1" x14ac:dyDescent="0.25">
      <c r="Y17424" s="501"/>
    </row>
    <row r="17425" spans="25:25" hidden="1" x14ac:dyDescent="0.25">
      <c r="Y17425" s="501"/>
    </row>
    <row r="17426" spans="25:25" hidden="1" x14ac:dyDescent="0.25">
      <c r="Y17426" s="501"/>
    </row>
    <row r="17427" spans="25:25" hidden="1" x14ac:dyDescent="0.25">
      <c r="Y17427" s="501"/>
    </row>
    <row r="17428" spans="25:25" hidden="1" x14ac:dyDescent="0.25">
      <c r="Y17428" s="501"/>
    </row>
    <row r="17429" spans="25:25" hidden="1" x14ac:dyDescent="0.25">
      <c r="Y17429" s="501"/>
    </row>
    <row r="17430" spans="25:25" hidden="1" x14ac:dyDescent="0.25">
      <c r="Y17430" s="501"/>
    </row>
    <row r="17431" spans="25:25" hidden="1" x14ac:dyDescent="0.25">
      <c r="Y17431" s="501"/>
    </row>
    <row r="17432" spans="25:25" hidden="1" x14ac:dyDescent="0.25">
      <c r="Y17432" s="501"/>
    </row>
    <row r="17433" spans="25:25" hidden="1" x14ac:dyDescent="0.25">
      <c r="Y17433" s="501"/>
    </row>
    <row r="17434" spans="25:25" hidden="1" x14ac:dyDescent="0.25">
      <c r="Y17434" s="501"/>
    </row>
    <row r="17435" spans="25:25" hidden="1" x14ac:dyDescent="0.25">
      <c r="Y17435" s="501"/>
    </row>
    <row r="17436" spans="25:25" hidden="1" x14ac:dyDescent="0.25">
      <c r="Y17436" s="501"/>
    </row>
    <row r="17437" spans="25:25" hidden="1" x14ac:dyDescent="0.25">
      <c r="Y17437" s="501"/>
    </row>
    <row r="17438" spans="25:25" hidden="1" x14ac:dyDescent="0.25">
      <c r="Y17438" s="501"/>
    </row>
    <row r="17439" spans="25:25" hidden="1" x14ac:dyDescent="0.25">
      <c r="Y17439" s="501"/>
    </row>
    <row r="17440" spans="25:25" hidden="1" x14ac:dyDescent="0.25">
      <c r="Y17440" s="501"/>
    </row>
    <row r="17441" spans="25:25" hidden="1" x14ac:dyDescent="0.25">
      <c r="Y17441" s="501"/>
    </row>
    <row r="17442" spans="25:25" hidden="1" x14ac:dyDescent="0.25">
      <c r="Y17442" s="501"/>
    </row>
    <row r="17443" spans="25:25" hidden="1" x14ac:dyDescent="0.25">
      <c r="Y17443" s="501"/>
    </row>
    <row r="17444" spans="25:25" hidden="1" x14ac:dyDescent="0.25">
      <c r="Y17444" s="501"/>
    </row>
    <row r="17445" spans="25:25" hidden="1" x14ac:dyDescent="0.25">
      <c r="Y17445" s="501"/>
    </row>
    <row r="17446" spans="25:25" hidden="1" x14ac:dyDescent="0.25">
      <c r="Y17446" s="501"/>
    </row>
    <row r="17447" spans="25:25" hidden="1" x14ac:dyDescent="0.25">
      <c r="Y17447" s="501"/>
    </row>
    <row r="17448" spans="25:25" hidden="1" x14ac:dyDescent="0.25">
      <c r="Y17448" s="501"/>
    </row>
    <row r="17449" spans="25:25" hidden="1" x14ac:dyDescent="0.25">
      <c r="Y17449" s="501"/>
    </row>
    <row r="17450" spans="25:25" hidden="1" x14ac:dyDescent="0.25">
      <c r="Y17450" s="501"/>
    </row>
    <row r="17451" spans="25:25" hidden="1" x14ac:dyDescent="0.25">
      <c r="Y17451" s="501"/>
    </row>
    <row r="17452" spans="25:25" hidden="1" x14ac:dyDescent="0.25">
      <c r="Y17452" s="501"/>
    </row>
    <row r="17453" spans="25:25" hidden="1" x14ac:dyDescent="0.25">
      <c r="Y17453" s="501"/>
    </row>
    <row r="17454" spans="25:25" hidden="1" x14ac:dyDescent="0.25">
      <c r="Y17454" s="501"/>
    </row>
    <row r="17455" spans="25:25" hidden="1" x14ac:dyDescent="0.25">
      <c r="Y17455" s="501"/>
    </row>
    <row r="17456" spans="25:25" hidden="1" x14ac:dyDescent="0.25">
      <c r="Y17456" s="501"/>
    </row>
    <row r="17457" spans="25:25" hidden="1" x14ac:dyDescent="0.25">
      <c r="Y17457" s="501"/>
    </row>
    <row r="17458" spans="25:25" hidden="1" x14ac:dyDescent="0.25">
      <c r="Y17458" s="501"/>
    </row>
    <row r="17459" spans="25:25" hidden="1" x14ac:dyDescent="0.25">
      <c r="Y17459" s="501"/>
    </row>
    <row r="17460" spans="25:25" hidden="1" x14ac:dyDescent="0.25">
      <c r="Y17460" s="501"/>
    </row>
    <row r="17461" spans="25:25" hidden="1" x14ac:dyDescent="0.25">
      <c r="Y17461" s="501"/>
    </row>
    <row r="17462" spans="25:25" hidden="1" x14ac:dyDescent="0.25">
      <c r="Y17462" s="501"/>
    </row>
    <row r="17463" spans="25:25" hidden="1" x14ac:dyDescent="0.25">
      <c r="Y17463" s="501"/>
    </row>
    <row r="17464" spans="25:25" hidden="1" x14ac:dyDescent="0.25">
      <c r="Y17464" s="501"/>
    </row>
    <row r="17465" spans="25:25" hidden="1" x14ac:dyDescent="0.25">
      <c r="Y17465" s="501"/>
    </row>
    <row r="17466" spans="25:25" hidden="1" x14ac:dyDescent="0.25">
      <c r="Y17466" s="501"/>
    </row>
    <row r="17467" spans="25:25" hidden="1" x14ac:dyDescent="0.25">
      <c r="Y17467" s="501"/>
    </row>
    <row r="17468" spans="25:25" hidden="1" x14ac:dyDescent="0.25">
      <c r="Y17468" s="501"/>
    </row>
    <row r="17469" spans="25:25" hidden="1" x14ac:dyDescent="0.25">
      <c r="Y17469" s="501"/>
    </row>
    <row r="17470" spans="25:25" hidden="1" x14ac:dyDescent="0.25">
      <c r="Y17470" s="501"/>
    </row>
    <row r="17471" spans="25:25" hidden="1" x14ac:dyDescent="0.25">
      <c r="Y17471" s="501"/>
    </row>
    <row r="17472" spans="25:25" hidden="1" x14ac:dyDescent="0.25">
      <c r="Y17472" s="501"/>
    </row>
    <row r="17473" spans="25:25" hidden="1" x14ac:dyDescent="0.25">
      <c r="Y17473" s="501"/>
    </row>
    <row r="17474" spans="25:25" hidden="1" x14ac:dyDescent="0.25">
      <c r="Y17474" s="501"/>
    </row>
    <row r="17475" spans="25:25" hidden="1" x14ac:dyDescent="0.25">
      <c r="Y17475" s="501"/>
    </row>
    <row r="17476" spans="25:25" hidden="1" x14ac:dyDescent="0.25">
      <c r="Y17476" s="501"/>
    </row>
    <row r="17477" spans="25:25" hidden="1" x14ac:dyDescent="0.25">
      <c r="Y17477" s="501"/>
    </row>
    <row r="17478" spans="25:25" hidden="1" x14ac:dyDescent="0.25">
      <c r="Y17478" s="501"/>
    </row>
    <row r="17479" spans="25:25" hidden="1" x14ac:dyDescent="0.25">
      <c r="Y17479" s="501"/>
    </row>
    <row r="17480" spans="25:25" hidden="1" x14ac:dyDescent="0.25">
      <c r="Y17480" s="501"/>
    </row>
    <row r="17481" spans="25:25" hidden="1" x14ac:dyDescent="0.25">
      <c r="Y17481" s="501"/>
    </row>
    <row r="17482" spans="25:25" hidden="1" x14ac:dyDescent="0.25">
      <c r="Y17482" s="501"/>
    </row>
    <row r="17483" spans="25:25" hidden="1" x14ac:dyDescent="0.25">
      <c r="Y17483" s="501"/>
    </row>
    <row r="17484" spans="25:25" hidden="1" x14ac:dyDescent="0.25">
      <c r="Y17484" s="501"/>
    </row>
    <row r="17485" spans="25:25" hidden="1" x14ac:dyDescent="0.25">
      <c r="Y17485" s="501"/>
    </row>
    <row r="17486" spans="25:25" hidden="1" x14ac:dyDescent="0.25">
      <c r="Y17486" s="501"/>
    </row>
    <row r="17487" spans="25:25" hidden="1" x14ac:dyDescent="0.25">
      <c r="Y17487" s="501"/>
    </row>
    <row r="17488" spans="25:25" hidden="1" x14ac:dyDescent="0.25">
      <c r="Y17488" s="501"/>
    </row>
    <row r="17489" spans="25:25" hidden="1" x14ac:dyDescent="0.25">
      <c r="Y17489" s="501"/>
    </row>
    <row r="17490" spans="25:25" hidden="1" x14ac:dyDescent="0.25">
      <c r="Y17490" s="501"/>
    </row>
    <row r="17491" spans="25:25" hidden="1" x14ac:dyDescent="0.25">
      <c r="Y17491" s="501"/>
    </row>
    <row r="17492" spans="25:25" hidden="1" x14ac:dyDescent="0.25">
      <c r="Y17492" s="501"/>
    </row>
    <row r="17493" spans="25:25" hidden="1" x14ac:dyDescent="0.25">
      <c r="Y17493" s="501"/>
    </row>
    <row r="17494" spans="25:25" hidden="1" x14ac:dyDescent="0.25">
      <c r="Y17494" s="501"/>
    </row>
    <row r="17495" spans="25:25" hidden="1" x14ac:dyDescent="0.25">
      <c r="Y17495" s="501"/>
    </row>
    <row r="17496" spans="25:25" hidden="1" x14ac:dyDescent="0.25">
      <c r="Y17496" s="501"/>
    </row>
    <row r="17497" spans="25:25" hidden="1" x14ac:dyDescent="0.25">
      <c r="Y17497" s="501"/>
    </row>
    <row r="17498" spans="25:25" hidden="1" x14ac:dyDescent="0.25">
      <c r="Y17498" s="501"/>
    </row>
    <row r="17499" spans="25:25" hidden="1" x14ac:dyDescent="0.25">
      <c r="Y17499" s="501"/>
    </row>
    <row r="17500" spans="25:25" hidden="1" x14ac:dyDescent="0.25">
      <c r="Y17500" s="501"/>
    </row>
    <row r="17501" spans="25:25" hidden="1" x14ac:dyDescent="0.25">
      <c r="Y17501" s="501"/>
    </row>
    <row r="17502" spans="25:25" hidden="1" x14ac:dyDescent="0.25">
      <c r="Y17502" s="501"/>
    </row>
    <row r="17503" spans="25:25" hidden="1" x14ac:dyDescent="0.25">
      <c r="Y17503" s="501"/>
    </row>
    <row r="17504" spans="25:25" hidden="1" x14ac:dyDescent="0.25">
      <c r="Y17504" s="501"/>
    </row>
    <row r="17505" spans="25:25" hidden="1" x14ac:dyDescent="0.25">
      <c r="Y17505" s="501"/>
    </row>
    <row r="17506" spans="25:25" hidden="1" x14ac:dyDescent="0.25">
      <c r="Y17506" s="501"/>
    </row>
    <row r="17507" spans="25:25" hidden="1" x14ac:dyDescent="0.25">
      <c r="Y17507" s="501"/>
    </row>
    <row r="17508" spans="25:25" hidden="1" x14ac:dyDescent="0.25">
      <c r="Y17508" s="501"/>
    </row>
    <row r="17509" spans="25:25" hidden="1" x14ac:dyDescent="0.25">
      <c r="Y17509" s="501"/>
    </row>
    <row r="17510" spans="25:25" hidden="1" x14ac:dyDescent="0.25">
      <c r="Y17510" s="501"/>
    </row>
    <row r="17511" spans="25:25" hidden="1" x14ac:dyDescent="0.25">
      <c r="Y17511" s="501"/>
    </row>
    <row r="17512" spans="25:25" hidden="1" x14ac:dyDescent="0.25">
      <c r="Y17512" s="501"/>
    </row>
    <row r="17513" spans="25:25" hidden="1" x14ac:dyDescent="0.25">
      <c r="Y17513" s="501"/>
    </row>
    <row r="17514" spans="25:25" hidden="1" x14ac:dyDescent="0.25">
      <c r="Y17514" s="501"/>
    </row>
    <row r="17515" spans="25:25" hidden="1" x14ac:dyDescent="0.25">
      <c r="Y17515" s="501"/>
    </row>
    <row r="17516" spans="25:25" hidden="1" x14ac:dyDescent="0.25">
      <c r="Y17516" s="501"/>
    </row>
    <row r="17517" spans="25:25" hidden="1" x14ac:dyDescent="0.25">
      <c r="Y17517" s="501"/>
    </row>
    <row r="17518" spans="25:25" hidden="1" x14ac:dyDescent="0.25">
      <c r="Y17518" s="501"/>
    </row>
    <row r="17519" spans="25:25" hidden="1" x14ac:dyDescent="0.25">
      <c r="Y17519" s="501"/>
    </row>
    <row r="17520" spans="25:25" hidden="1" x14ac:dyDescent="0.25">
      <c r="Y17520" s="501"/>
    </row>
    <row r="17521" spans="25:25" hidden="1" x14ac:dyDescent="0.25">
      <c r="Y17521" s="501"/>
    </row>
    <row r="17522" spans="25:25" hidden="1" x14ac:dyDescent="0.25">
      <c r="Y17522" s="501"/>
    </row>
    <row r="17523" spans="25:25" hidden="1" x14ac:dyDescent="0.25">
      <c r="Y17523" s="501"/>
    </row>
    <row r="17524" spans="25:25" hidden="1" x14ac:dyDescent="0.25">
      <c r="Y17524" s="501"/>
    </row>
    <row r="17525" spans="25:25" hidden="1" x14ac:dyDescent="0.25">
      <c r="Y17525" s="501"/>
    </row>
    <row r="17526" spans="25:25" hidden="1" x14ac:dyDescent="0.25">
      <c r="Y17526" s="501"/>
    </row>
    <row r="17527" spans="25:25" hidden="1" x14ac:dyDescent="0.25">
      <c r="Y17527" s="501"/>
    </row>
    <row r="17528" spans="25:25" hidden="1" x14ac:dyDescent="0.25">
      <c r="Y17528" s="501"/>
    </row>
    <row r="17529" spans="25:25" hidden="1" x14ac:dyDescent="0.25">
      <c r="Y17529" s="501"/>
    </row>
    <row r="17530" spans="25:25" hidden="1" x14ac:dyDescent="0.25">
      <c r="Y17530" s="501"/>
    </row>
    <row r="17531" spans="25:25" hidden="1" x14ac:dyDescent="0.25">
      <c r="Y17531" s="501"/>
    </row>
    <row r="17532" spans="25:25" hidden="1" x14ac:dyDescent="0.25">
      <c r="Y17532" s="501"/>
    </row>
    <row r="17533" spans="25:25" hidden="1" x14ac:dyDescent="0.25">
      <c r="Y17533" s="501"/>
    </row>
    <row r="17534" spans="25:25" hidden="1" x14ac:dyDescent="0.25">
      <c r="Y17534" s="501"/>
    </row>
    <row r="17535" spans="25:25" hidden="1" x14ac:dyDescent="0.25">
      <c r="Y17535" s="501"/>
    </row>
    <row r="17536" spans="25:25" hidden="1" x14ac:dyDescent="0.25">
      <c r="Y17536" s="501"/>
    </row>
    <row r="17537" spans="25:25" hidden="1" x14ac:dyDescent="0.25">
      <c r="Y17537" s="501"/>
    </row>
    <row r="17538" spans="25:25" hidden="1" x14ac:dyDescent="0.25">
      <c r="Y17538" s="501"/>
    </row>
    <row r="17539" spans="25:25" hidden="1" x14ac:dyDescent="0.25">
      <c r="Y17539" s="501"/>
    </row>
    <row r="17540" spans="25:25" hidden="1" x14ac:dyDescent="0.25">
      <c r="Y17540" s="501"/>
    </row>
    <row r="17541" spans="25:25" hidden="1" x14ac:dyDescent="0.25">
      <c r="Y17541" s="501"/>
    </row>
    <row r="17542" spans="25:25" hidden="1" x14ac:dyDescent="0.25">
      <c r="Y17542" s="501"/>
    </row>
    <row r="17543" spans="25:25" hidden="1" x14ac:dyDescent="0.25">
      <c r="Y17543" s="501"/>
    </row>
    <row r="17544" spans="25:25" hidden="1" x14ac:dyDescent="0.25">
      <c r="Y17544" s="501"/>
    </row>
    <row r="17545" spans="25:25" hidden="1" x14ac:dyDescent="0.25">
      <c r="Y17545" s="501"/>
    </row>
    <row r="17546" spans="25:25" hidden="1" x14ac:dyDescent="0.25">
      <c r="Y17546" s="501"/>
    </row>
    <row r="17547" spans="25:25" hidden="1" x14ac:dyDescent="0.25">
      <c r="Y17547" s="501"/>
    </row>
    <row r="17548" spans="25:25" hidden="1" x14ac:dyDescent="0.25">
      <c r="Y17548" s="501"/>
    </row>
    <row r="17549" spans="25:25" hidden="1" x14ac:dyDescent="0.25">
      <c r="Y17549" s="501"/>
    </row>
    <row r="17550" spans="25:25" hidden="1" x14ac:dyDescent="0.25">
      <c r="Y17550" s="501"/>
    </row>
    <row r="17551" spans="25:25" hidden="1" x14ac:dyDescent="0.25">
      <c r="Y17551" s="501"/>
    </row>
    <row r="17552" spans="25:25" hidden="1" x14ac:dyDescent="0.25">
      <c r="Y17552" s="501"/>
    </row>
    <row r="17553" spans="25:25" hidden="1" x14ac:dyDescent="0.25">
      <c r="Y17553" s="501"/>
    </row>
    <row r="17554" spans="25:25" hidden="1" x14ac:dyDescent="0.25">
      <c r="Y17554" s="501"/>
    </row>
    <row r="17555" spans="25:25" hidden="1" x14ac:dyDescent="0.25">
      <c r="Y17555" s="501"/>
    </row>
    <row r="17556" spans="25:25" hidden="1" x14ac:dyDescent="0.25">
      <c r="Y17556" s="501"/>
    </row>
    <row r="17557" spans="25:25" hidden="1" x14ac:dyDescent="0.25">
      <c r="Y17557" s="501"/>
    </row>
    <row r="17558" spans="25:25" hidden="1" x14ac:dyDescent="0.25">
      <c r="Y17558" s="501"/>
    </row>
    <row r="17559" spans="25:25" hidden="1" x14ac:dyDescent="0.25">
      <c r="Y17559" s="501"/>
    </row>
    <row r="17560" spans="25:25" hidden="1" x14ac:dyDescent="0.25">
      <c r="Y17560" s="501"/>
    </row>
    <row r="17561" spans="25:25" hidden="1" x14ac:dyDescent="0.25">
      <c r="Y17561" s="501"/>
    </row>
    <row r="17562" spans="25:25" hidden="1" x14ac:dyDescent="0.25">
      <c r="Y17562" s="501"/>
    </row>
    <row r="17563" spans="25:25" hidden="1" x14ac:dyDescent="0.25">
      <c r="Y17563" s="501"/>
    </row>
    <row r="17564" spans="25:25" hidden="1" x14ac:dyDescent="0.25">
      <c r="Y17564" s="501"/>
    </row>
    <row r="17565" spans="25:25" hidden="1" x14ac:dyDescent="0.25">
      <c r="Y17565" s="501"/>
    </row>
    <row r="17566" spans="25:25" hidden="1" x14ac:dyDescent="0.25">
      <c r="Y17566" s="501"/>
    </row>
    <row r="17567" spans="25:25" hidden="1" x14ac:dyDescent="0.25">
      <c r="Y17567" s="501"/>
    </row>
    <row r="17568" spans="25:25" hidden="1" x14ac:dyDescent="0.25">
      <c r="Y17568" s="501"/>
    </row>
    <row r="17569" spans="25:25" hidden="1" x14ac:dyDescent="0.25">
      <c r="Y17569" s="501"/>
    </row>
    <row r="17570" spans="25:25" hidden="1" x14ac:dyDescent="0.25">
      <c r="Y17570" s="501"/>
    </row>
    <row r="17571" spans="25:25" hidden="1" x14ac:dyDescent="0.25">
      <c r="Y17571" s="501"/>
    </row>
    <row r="17572" spans="25:25" hidden="1" x14ac:dyDescent="0.25">
      <c r="Y17572" s="501"/>
    </row>
    <row r="17573" spans="25:25" hidden="1" x14ac:dyDescent="0.25">
      <c r="Y17573" s="501"/>
    </row>
    <row r="17574" spans="25:25" hidden="1" x14ac:dyDescent="0.25">
      <c r="Y17574" s="501"/>
    </row>
    <row r="17575" spans="25:25" hidden="1" x14ac:dyDescent="0.25">
      <c r="Y17575" s="501"/>
    </row>
    <row r="17576" spans="25:25" hidden="1" x14ac:dyDescent="0.25">
      <c r="Y17576" s="501"/>
    </row>
    <row r="17577" spans="25:25" hidden="1" x14ac:dyDescent="0.25">
      <c r="Y17577" s="501"/>
    </row>
    <row r="17578" spans="25:25" hidden="1" x14ac:dyDescent="0.25">
      <c r="Y17578" s="501"/>
    </row>
    <row r="17579" spans="25:25" hidden="1" x14ac:dyDescent="0.25">
      <c r="Y17579" s="501"/>
    </row>
    <row r="17580" spans="25:25" hidden="1" x14ac:dyDescent="0.25">
      <c r="Y17580" s="501"/>
    </row>
    <row r="17581" spans="25:25" hidden="1" x14ac:dyDescent="0.25">
      <c r="Y17581" s="501"/>
    </row>
    <row r="17582" spans="25:25" hidden="1" x14ac:dyDescent="0.25">
      <c r="Y17582" s="501"/>
    </row>
    <row r="17583" spans="25:25" hidden="1" x14ac:dyDescent="0.25">
      <c r="Y17583" s="501"/>
    </row>
    <row r="17584" spans="25:25" hidden="1" x14ac:dyDescent="0.25">
      <c r="Y17584" s="501"/>
    </row>
    <row r="17585" spans="25:25" hidden="1" x14ac:dyDescent="0.25">
      <c r="Y17585" s="501"/>
    </row>
    <row r="17586" spans="25:25" hidden="1" x14ac:dyDescent="0.25">
      <c r="Y17586" s="501"/>
    </row>
    <row r="17587" spans="25:25" hidden="1" x14ac:dyDescent="0.25">
      <c r="Y17587" s="501"/>
    </row>
    <row r="17588" spans="25:25" hidden="1" x14ac:dyDescent="0.25">
      <c r="Y17588" s="501"/>
    </row>
    <row r="17589" spans="25:25" hidden="1" x14ac:dyDescent="0.25">
      <c r="Y17589" s="501"/>
    </row>
    <row r="17590" spans="25:25" hidden="1" x14ac:dyDescent="0.25">
      <c r="Y17590" s="501"/>
    </row>
    <row r="17591" spans="25:25" hidden="1" x14ac:dyDescent="0.25">
      <c r="Y17591" s="501"/>
    </row>
    <row r="17592" spans="25:25" hidden="1" x14ac:dyDescent="0.25">
      <c r="Y17592" s="501"/>
    </row>
    <row r="17593" spans="25:25" hidden="1" x14ac:dyDescent="0.25">
      <c r="Y17593" s="501"/>
    </row>
    <row r="17594" spans="25:25" hidden="1" x14ac:dyDescent="0.25">
      <c r="Y17594" s="501"/>
    </row>
    <row r="17595" spans="25:25" hidden="1" x14ac:dyDescent="0.25">
      <c r="Y17595" s="501"/>
    </row>
    <row r="17596" spans="25:25" hidden="1" x14ac:dyDescent="0.25">
      <c r="Y17596" s="501"/>
    </row>
    <row r="17597" spans="25:25" hidden="1" x14ac:dyDescent="0.25">
      <c r="Y17597" s="501"/>
    </row>
    <row r="17598" spans="25:25" hidden="1" x14ac:dyDescent="0.25">
      <c r="Y17598" s="501"/>
    </row>
    <row r="17599" spans="25:25" hidden="1" x14ac:dyDescent="0.25">
      <c r="Y17599" s="501"/>
    </row>
    <row r="17600" spans="25:25" hidden="1" x14ac:dyDescent="0.25">
      <c r="Y17600" s="501"/>
    </row>
    <row r="17601" spans="25:25" hidden="1" x14ac:dyDescent="0.25">
      <c r="Y17601" s="501"/>
    </row>
    <row r="17602" spans="25:25" hidden="1" x14ac:dyDescent="0.25">
      <c r="Y17602" s="501"/>
    </row>
    <row r="17603" spans="25:25" hidden="1" x14ac:dyDescent="0.25">
      <c r="Y17603" s="501"/>
    </row>
    <row r="17604" spans="25:25" hidden="1" x14ac:dyDescent="0.25">
      <c r="Y17604" s="501"/>
    </row>
    <row r="17605" spans="25:25" hidden="1" x14ac:dyDescent="0.25">
      <c r="Y17605" s="501"/>
    </row>
    <row r="17606" spans="25:25" hidden="1" x14ac:dyDescent="0.25">
      <c r="Y17606" s="501"/>
    </row>
    <row r="17607" spans="25:25" hidden="1" x14ac:dyDescent="0.25">
      <c r="Y17607" s="501"/>
    </row>
    <row r="17608" spans="25:25" hidden="1" x14ac:dyDescent="0.25">
      <c r="Y17608" s="501"/>
    </row>
    <row r="17609" spans="25:25" hidden="1" x14ac:dyDescent="0.25">
      <c r="Y17609" s="501"/>
    </row>
    <row r="17610" spans="25:25" hidden="1" x14ac:dyDescent="0.25">
      <c r="Y17610" s="501"/>
    </row>
    <row r="17611" spans="25:25" hidden="1" x14ac:dyDescent="0.25">
      <c r="Y17611" s="501"/>
    </row>
    <row r="17612" spans="25:25" hidden="1" x14ac:dyDescent="0.25">
      <c r="Y17612" s="501"/>
    </row>
    <row r="17613" spans="25:25" hidden="1" x14ac:dyDescent="0.25">
      <c r="Y17613" s="501"/>
    </row>
    <row r="17614" spans="25:25" hidden="1" x14ac:dyDescent="0.25">
      <c r="Y17614" s="501"/>
    </row>
    <row r="17615" spans="25:25" hidden="1" x14ac:dyDescent="0.25">
      <c r="Y17615" s="501"/>
    </row>
    <row r="17616" spans="25:25" hidden="1" x14ac:dyDescent="0.25">
      <c r="Y17616" s="501"/>
    </row>
    <row r="17617" spans="25:25" hidden="1" x14ac:dyDescent="0.25">
      <c r="Y17617" s="501"/>
    </row>
    <row r="17618" spans="25:25" hidden="1" x14ac:dyDescent="0.25">
      <c r="Y17618" s="501"/>
    </row>
    <row r="17619" spans="25:25" hidden="1" x14ac:dyDescent="0.25">
      <c r="Y17619" s="501"/>
    </row>
    <row r="17620" spans="25:25" hidden="1" x14ac:dyDescent="0.25">
      <c r="Y17620" s="501"/>
    </row>
    <row r="17621" spans="25:25" hidden="1" x14ac:dyDescent="0.25">
      <c r="Y17621" s="501"/>
    </row>
    <row r="17622" spans="25:25" hidden="1" x14ac:dyDescent="0.25">
      <c r="Y17622" s="501"/>
    </row>
    <row r="17623" spans="25:25" hidden="1" x14ac:dyDescent="0.25">
      <c r="Y17623" s="501"/>
    </row>
    <row r="17624" spans="25:25" hidden="1" x14ac:dyDescent="0.25">
      <c r="Y17624" s="501"/>
    </row>
    <row r="17625" spans="25:25" hidden="1" x14ac:dyDescent="0.25">
      <c r="Y17625" s="501"/>
    </row>
    <row r="17626" spans="25:25" hidden="1" x14ac:dyDescent="0.25">
      <c r="Y17626" s="501"/>
    </row>
    <row r="17627" spans="25:25" hidden="1" x14ac:dyDescent="0.25">
      <c r="Y17627" s="501"/>
    </row>
    <row r="17628" spans="25:25" hidden="1" x14ac:dyDescent="0.25">
      <c r="Y17628" s="501"/>
    </row>
    <row r="17629" spans="25:25" hidden="1" x14ac:dyDescent="0.25">
      <c r="Y17629" s="501"/>
    </row>
    <row r="17630" spans="25:25" hidden="1" x14ac:dyDescent="0.25">
      <c r="Y17630" s="501"/>
    </row>
    <row r="17631" spans="25:25" hidden="1" x14ac:dyDescent="0.25">
      <c r="Y17631" s="501"/>
    </row>
    <row r="17632" spans="25:25" hidden="1" x14ac:dyDescent="0.25">
      <c r="Y17632" s="501"/>
    </row>
    <row r="17633" spans="25:25" hidden="1" x14ac:dyDescent="0.25">
      <c r="Y17633" s="501"/>
    </row>
    <row r="17634" spans="25:25" hidden="1" x14ac:dyDescent="0.25">
      <c r="Y17634" s="501"/>
    </row>
    <row r="17635" spans="25:25" hidden="1" x14ac:dyDescent="0.25">
      <c r="Y17635" s="501"/>
    </row>
    <row r="17636" spans="25:25" hidden="1" x14ac:dyDescent="0.25">
      <c r="Y17636" s="501"/>
    </row>
    <row r="17637" spans="25:25" hidden="1" x14ac:dyDescent="0.25">
      <c r="Y17637" s="501"/>
    </row>
    <row r="17638" spans="25:25" hidden="1" x14ac:dyDescent="0.25">
      <c r="Y17638" s="501"/>
    </row>
    <row r="17639" spans="25:25" hidden="1" x14ac:dyDescent="0.25">
      <c r="Y17639" s="501"/>
    </row>
    <row r="17640" spans="25:25" hidden="1" x14ac:dyDescent="0.25">
      <c r="Y17640" s="501"/>
    </row>
    <row r="17641" spans="25:25" hidden="1" x14ac:dyDescent="0.25">
      <c r="Y17641" s="501"/>
    </row>
    <row r="17642" spans="25:25" hidden="1" x14ac:dyDescent="0.25">
      <c r="Y17642" s="501"/>
    </row>
    <row r="17643" spans="25:25" hidden="1" x14ac:dyDescent="0.25">
      <c r="Y17643" s="501"/>
    </row>
    <row r="17644" spans="25:25" hidden="1" x14ac:dyDescent="0.25">
      <c r="Y17644" s="501"/>
    </row>
    <row r="17645" spans="25:25" hidden="1" x14ac:dyDescent="0.25">
      <c r="Y17645" s="501"/>
    </row>
    <row r="17646" spans="25:25" hidden="1" x14ac:dyDescent="0.25">
      <c r="Y17646" s="501"/>
    </row>
    <row r="17647" spans="25:25" hidden="1" x14ac:dyDescent="0.25">
      <c r="Y17647" s="501"/>
    </row>
    <row r="17648" spans="25:25" hidden="1" x14ac:dyDescent="0.25">
      <c r="Y17648" s="501"/>
    </row>
    <row r="17649" spans="25:25" hidden="1" x14ac:dyDescent="0.25">
      <c r="Y17649" s="501"/>
    </row>
    <row r="17650" spans="25:25" hidden="1" x14ac:dyDescent="0.25">
      <c r="Y17650" s="501"/>
    </row>
    <row r="17651" spans="25:25" hidden="1" x14ac:dyDescent="0.25">
      <c r="Y17651" s="501"/>
    </row>
    <row r="17652" spans="25:25" hidden="1" x14ac:dyDescent="0.25">
      <c r="Y17652" s="501"/>
    </row>
    <row r="17653" spans="25:25" hidden="1" x14ac:dyDescent="0.25">
      <c r="Y17653" s="501"/>
    </row>
    <row r="17654" spans="25:25" hidden="1" x14ac:dyDescent="0.25">
      <c r="Y17654" s="501"/>
    </row>
    <row r="17655" spans="25:25" hidden="1" x14ac:dyDescent="0.25">
      <c r="Y17655" s="501"/>
    </row>
    <row r="17656" spans="25:25" hidden="1" x14ac:dyDescent="0.25">
      <c r="Y17656" s="501"/>
    </row>
    <row r="17657" spans="25:25" hidden="1" x14ac:dyDescent="0.25">
      <c r="Y17657" s="501"/>
    </row>
    <row r="17658" spans="25:25" hidden="1" x14ac:dyDescent="0.25">
      <c r="Y17658" s="501"/>
    </row>
    <row r="17659" spans="25:25" hidden="1" x14ac:dyDescent="0.25">
      <c r="Y17659" s="501"/>
    </row>
    <row r="17660" spans="25:25" hidden="1" x14ac:dyDescent="0.25">
      <c r="Y17660" s="501"/>
    </row>
    <row r="17661" spans="25:25" hidden="1" x14ac:dyDescent="0.25">
      <c r="Y17661" s="501"/>
    </row>
    <row r="17662" spans="25:25" hidden="1" x14ac:dyDescent="0.25">
      <c r="Y17662" s="501"/>
    </row>
    <row r="17663" spans="25:25" hidden="1" x14ac:dyDescent="0.25">
      <c r="Y17663" s="501"/>
    </row>
    <row r="17664" spans="25:25" hidden="1" x14ac:dyDescent="0.25">
      <c r="Y17664" s="501"/>
    </row>
    <row r="17665" spans="25:25" hidden="1" x14ac:dyDescent="0.25">
      <c r="Y17665" s="501"/>
    </row>
    <row r="17666" spans="25:25" hidden="1" x14ac:dyDescent="0.25">
      <c r="Y17666" s="501"/>
    </row>
    <row r="17667" spans="25:25" hidden="1" x14ac:dyDescent="0.25">
      <c r="Y17667" s="501"/>
    </row>
    <row r="17668" spans="25:25" hidden="1" x14ac:dyDescent="0.25">
      <c r="Y17668" s="501"/>
    </row>
    <row r="17669" spans="25:25" hidden="1" x14ac:dyDescent="0.25">
      <c r="Y17669" s="501"/>
    </row>
    <row r="17670" spans="25:25" hidden="1" x14ac:dyDescent="0.25">
      <c r="Y17670" s="501"/>
    </row>
    <row r="17671" spans="25:25" hidden="1" x14ac:dyDescent="0.25">
      <c r="Y17671" s="501"/>
    </row>
    <row r="17672" spans="25:25" hidden="1" x14ac:dyDescent="0.25">
      <c r="Y17672" s="501"/>
    </row>
    <row r="17673" spans="25:25" hidden="1" x14ac:dyDescent="0.25">
      <c r="Y17673" s="501"/>
    </row>
    <row r="17674" spans="25:25" hidden="1" x14ac:dyDescent="0.25">
      <c r="Y17674" s="501"/>
    </row>
    <row r="17675" spans="25:25" hidden="1" x14ac:dyDescent="0.25">
      <c r="Y17675" s="501"/>
    </row>
    <row r="17676" spans="25:25" hidden="1" x14ac:dyDescent="0.25">
      <c r="Y17676" s="501"/>
    </row>
    <row r="17677" spans="25:25" hidden="1" x14ac:dyDescent="0.25">
      <c r="Y17677" s="501"/>
    </row>
    <row r="17678" spans="25:25" hidden="1" x14ac:dyDescent="0.25">
      <c r="Y17678" s="501"/>
    </row>
    <row r="17679" spans="25:25" hidden="1" x14ac:dyDescent="0.25">
      <c r="Y17679" s="501"/>
    </row>
    <row r="17680" spans="25:25" hidden="1" x14ac:dyDescent="0.25">
      <c r="Y17680" s="501"/>
    </row>
    <row r="17681" spans="25:25" hidden="1" x14ac:dyDescent="0.25">
      <c r="Y17681" s="501"/>
    </row>
    <row r="17682" spans="25:25" hidden="1" x14ac:dyDescent="0.25">
      <c r="Y17682" s="501"/>
    </row>
    <row r="17683" spans="25:25" hidden="1" x14ac:dyDescent="0.25">
      <c r="Y17683" s="501"/>
    </row>
    <row r="17684" spans="25:25" hidden="1" x14ac:dyDescent="0.25">
      <c r="Y17684" s="501"/>
    </row>
    <row r="17685" spans="25:25" hidden="1" x14ac:dyDescent="0.25">
      <c r="Y17685" s="501"/>
    </row>
    <row r="17686" spans="25:25" hidden="1" x14ac:dyDescent="0.25">
      <c r="Y17686" s="501"/>
    </row>
    <row r="17687" spans="25:25" hidden="1" x14ac:dyDescent="0.25">
      <c r="Y17687" s="501"/>
    </row>
    <row r="17688" spans="25:25" hidden="1" x14ac:dyDescent="0.25">
      <c r="Y17688" s="501"/>
    </row>
    <row r="17689" spans="25:25" hidden="1" x14ac:dyDescent="0.25">
      <c r="Y17689" s="501"/>
    </row>
    <row r="17690" spans="25:25" hidden="1" x14ac:dyDescent="0.25">
      <c r="Y17690" s="501"/>
    </row>
    <row r="17691" spans="25:25" hidden="1" x14ac:dyDescent="0.25">
      <c r="Y17691" s="501"/>
    </row>
    <row r="17692" spans="25:25" hidden="1" x14ac:dyDescent="0.25">
      <c r="Y17692" s="501"/>
    </row>
    <row r="17693" spans="25:25" hidden="1" x14ac:dyDescent="0.25">
      <c r="Y17693" s="501"/>
    </row>
    <row r="17694" spans="25:25" hidden="1" x14ac:dyDescent="0.25">
      <c r="Y17694" s="501"/>
    </row>
    <row r="17695" spans="25:25" hidden="1" x14ac:dyDescent="0.25">
      <c r="Y17695" s="501"/>
    </row>
    <row r="17696" spans="25:25" hidden="1" x14ac:dyDescent="0.25">
      <c r="Y17696" s="501"/>
    </row>
    <row r="17697" spans="25:25" hidden="1" x14ac:dyDescent="0.25">
      <c r="Y17697" s="501"/>
    </row>
    <row r="17698" spans="25:25" hidden="1" x14ac:dyDescent="0.25">
      <c r="Y17698" s="501"/>
    </row>
    <row r="17699" spans="25:25" hidden="1" x14ac:dyDescent="0.25">
      <c r="Y17699" s="501"/>
    </row>
    <row r="17700" spans="25:25" hidden="1" x14ac:dyDescent="0.25">
      <c r="Y17700" s="501"/>
    </row>
    <row r="17701" spans="25:25" hidden="1" x14ac:dyDescent="0.25">
      <c r="Y17701" s="501"/>
    </row>
    <row r="17702" spans="25:25" hidden="1" x14ac:dyDescent="0.25">
      <c r="Y17702" s="501"/>
    </row>
    <row r="17703" spans="25:25" hidden="1" x14ac:dyDescent="0.25">
      <c r="Y17703" s="501"/>
    </row>
    <row r="17704" spans="25:25" hidden="1" x14ac:dyDescent="0.25">
      <c r="Y17704" s="501"/>
    </row>
    <row r="17705" spans="25:25" hidden="1" x14ac:dyDescent="0.25">
      <c r="Y17705" s="501"/>
    </row>
    <row r="17706" spans="25:25" hidden="1" x14ac:dyDescent="0.25">
      <c r="Y17706" s="501"/>
    </row>
    <row r="17707" spans="25:25" hidden="1" x14ac:dyDescent="0.25">
      <c r="Y17707" s="501"/>
    </row>
    <row r="17708" spans="25:25" hidden="1" x14ac:dyDescent="0.25">
      <c r="Y17708" s="501"/>
    </row>
    <row r="17709" spans="25:25" hidden="1" x14ac:dyDescent="0.25">
      <c r="Y17709" s="501"/>
    </row>
    <row r="17710" spans="25:25" hidden="1" x14ac:dyDescent="0.25">
      <c r="Y17710" s="501"/>
    </row>
    <row r="17711" spans="25:25" hidden="1" x14ac:dyDescent="0.25">
      <c r="Y17711" s="501"/>
    </row>
    <row r="17712" spans="25:25" hidden="1" x14ac:dyDescent="0.25">
      <c r="Y17712" s="501"/>
    </row>
    <row r="17713" spans="25:25" hidden="1" x14ac:dyDescent="0.25">
      <c r="Y17713" s="501"/>
    </row>
    <row r="17714" spans="25:25" hidden="1" x14ac:dyDescent="0.25">
      <c r="Y17714" s="501"/>
    </row>
    <row r="17715" spans="25:25" hidden="1" x14ac:dyDescent="0.25">
      <c r="Y17715" s="501"/>
    </row>
    <row r="17716" spans="25:25" hidden="1" x14ac:dyDescent="0.25">
      <c r="Y17716" s="501"/>
    </row>
    <row r="17717" spans="25:25" hidden="1" x14ac:dyDescent="0.25">
      <c r="Y17717" s="501"/>
    </row>
    <row r="17718" spans="25:25" hidden="1" x14ac:dyDescent="0.25">
      <c r="Y17718" s="501"/>
    </row>
    <row r="17719" spans="25:25" hidden="1" x14ac:dyDescent="0.25">
      <c r="Y17719" s="501"/>
    </row>
    <row r="17720" spans="25:25" hidden="1" x14ac:dyDescent="0.25">
      <c r="Y17720" s="501"/>
    </row>
    <row r="17721" spans="25:25" hidden="1" x14ac:dyDescent="0.25">
      <c r="Y17721" s="501"/>
    </row>
    <row r="17722" spans="25:25" hidden="1" x14ac:dyDescent="0.25">
      <c r="Y17722" s="501"/>
    </row>
    <row r="17723" spans="25:25" hidden="1" x14ac:dyDescent="0.25">
      <c r="Y17723" s="501"/>
    </row>
    <row r="17724" spans="25:25" hidden="1" x14ac:dyDescent="0.25">
      <c r="Y17724" s="501"/>
    </row>
    <row r="17725" spans="25:25" hidden="1" x14ac:dyDescent="0.25">
      <c r="Y17725" s="501"/>
    </row>
    <row r="17726" spans="25:25" hidden="1" x14ac:dyDescent="0.25">
      <c r="Y17726" s="501"/>
    </row>
    <row r="17727" spans="25:25" hidden="1" x14ac:dyDescent="0.25">
      <c r="Y17727" s="501"/>
    </row>
    <row r="17728" spans="25:25" hidden="1" x14ac:dyDescent="0.25">
      <c r="Y17728" s="501"/>
    </row>
    <row r="17729" spans="25:25" hidden="1" x14ac:dyDescent="0.25">
      <c r="Y17729" s="501"/>
    </row>
    <row r="17730" spans="25:25" hidden="1" x14ac:dyDescent="0.25">
      <c r="Y17730" s="501"/>
    </row>
    <row r="17731" spans="25:25" hidden="1" x14ac:dyDescent="0.25">
      <c r="Y17731" s="501"/>
    </row>
    <row r="17732" spans="25:25" hidden="1" x14ac:dyDescent="0.25">
      <c r="Y17732" s="501"/>
    </row>
    <row r="17733" spans="25:25" hidden="1" x14ac:dyDescent="0.25">
      <c r="Y17733" s="501"/>
    </row>
    <row r="17734" spans="25:25" hidden="1" x14ac:dyDescent="0.25">
      <c r="Y17734" s="501"/>
    </row>
    <row r="17735" spans="25:25" hidden="1" x14ac:dyDescent="0.25">
      <c r="Y17735" s="501"/>
    </row>
    <row r="17736" spans="25:25" hidden="1" x14ac:dyDescent="0.25">
      <c r="Y17736" s="501"/>
    </row>
    <row r="17737" spans="25:25" hidden="1" x14ac:dyDescent="0.25">
      <c r="Y17737" s="501"/>
    </row>
    <row r="17738" spans="25:25" hidden="1" x14ac:dyDescent="0.25">
      <c r="Y17738" s="501"/>
    </row>
    <row r="17739" spans="25:25" hidden="1" x14ac:dyDescent="0.25">
      <c r="Y17739" s="501"/>
    </row>
    <row r="17740" spans="25:25" hidden="1" x14ac:dyDescent="0.25">
      <c r="Y17740" s="501"/>
    </row>
    <row r="17741" spans="25:25" hidden="1" x14ac:dyDescent="0.25">
      <c r="Y17741" s="501"/>
    </row>
    <row r="17742" spans="25:25" hidden="1" x14ac:dyDescent="0.25">
      <c r="Y17742" s="501"/>
    </row>
    <row r="17743" spans="25:25" hidden="1" x14ac:dyDescent="0.25">
      <c r="Y17743" s="501"/>
    </row>
    <row r="17744" spans="25:25" hidden="1" x14ac:dyDescent="0.25">
      <c r="Y17744" s="501"/>
    </row>
    <row r="17745" spans="25:25" hidden="1" x14ac:dyDescent="0.25">
      <c r="Y17745" s="501"/>
    </row>
    <row r="17746" spans="25:25" hidden="1" x14ac:dyDescent="0.25">
      <c r="Y17746" s="501"/>
    </row>
    <row r="17747" spans="25:25" hidden="1" x14ac:dyDescent="0.25">
      <c r="Y17747" s="501"/>
    </row>
    <row r="17748" spans="25:25" hidden="1" x14ac:dyDescent="0.25">
      <c r="Y17748" s="501"/>
    </row>
    <row r="17749" spans="25:25" hidden="1" x14ac:dyDescent="0.25">
      <c r="Y17749" s="501"/>
    </row>
    <row r="17750" spans="25:25" hidden="1" x14ac:dyDescent="0.25">
      <c r="Y17750" s="501"/>
    </row>
    <row r="17751" spans="25:25" hidden="1" x14ac:dyDescent="0.25">
      <c r="Y17751" s="501"/>
    </row>
    <row r="17752" spans="25:25" hidden="1" x14ac:dyDescent="0.25">
      <c r="Y17752" s="501"/>
    </row>
    <row r="17753" spans="25:25" hidden="1" x14ac:dyDescent="0.25">
      <c r="Y17753" s="501"/>
    </row>
    <row r="17754" spans="25:25" hidden="1" x14ac:dyDescent="0.25">
      <c r="Y17754" s="501"/>
    </row>
    <row r="17755" spans="25:25" hidden="1" x14ac:dyDescent="0.25">
      <c r="Y17755" s="501"/>
    </row>
    <row r="17756" spans="25:25" hidden="1" x14ac:dyDescent="0.25">
      <c r="Y17756" s="501"/>
    </row>
    <row r="17757" spans="25:25" hidden="1" x14ac:dyDescent="0.25">
      <c r="Y17757" s="501"/>
    </row>
    <row r="17758" spans="25:25" hidden="1" x14ac:dyDescent="0.25">
      <c r="Y17758" s="501"/>
    </row>
    <row r="17759" spans="25:25" hidden="1" x14ac:dyDescent="0.25">
      <c r="Y17759" s="501"/>
    </row>
    <row r="17760" spans="25:25" hidden="1" x14ac:dyDescent="0.25">
      <c r="Y17760" s="501"/>
    </row>
    <row r="17761" spans="25:25" hidden="1" x14ac:dyDescent="0.25">
      <c r="Y17761" s="501"/>
    </row>
    <row r="17762" spans="25:25" hidden="1" x14ac:dyDescent="0.25">
      <c r="Y17762" s="501"/>
    </row>
    <row r="17763" spans="25:25" hidden="1" x14ac:dyDescent="0.25">
      <c r="Y17763" s="501"/>
    </row>
    <row r="17764" spans="25:25" hidden="1" x14ac:dyDescent="0.25">
      <c r="Y17764" s="501"/>
    </row>
    <row r="17765" spans="25:25" hidden="1" x14ac:dyDescent="0.25">
      <c r="Y17765" s="501"/>
    </row>
    <row r="17766" spans="25:25" hidden="1" x14ac:dyDescent="0.25">
      <c r="Y17766" s="501"/>
    </row>
    <row r="17767" spans="25:25" hidden="1" x14ac:dyDescent="0.25">
      <c r="Y17767" s="501"/>
    </row>
    <row r="17768" spans="25:25" hidden="1" x14ac:dyDescent="0.25">
      <c r="Y17768" s="501"/>
    </row>
    <row r="17769" spans="25:25" hidden="1" x14ac:dyDescent="0.25">
      <c r="Y17769" s="501"/>
    </row>
    <row r="17770" spans="25:25" hidden="1" x14ac:dyDescent="0.25">
      <c r="Y17770" s="501"/>
    </row>
    <row r="17771" spans="25:25" hidden="1" x14ac:dyDescent="0.25">
      <c r="Y17771" s="501"/>
    </row>
    <row r="17772" spans="25:25" hidden="1" x14ac:dyDescent="0.25">
      <c r="Y17772" s="501"/>
    </row>
    <row r="17773" spans="25:25" hidden="1" x14ac:dyDescent="0.25">
      <c r="Y17773" s="501"/>
    </row>
    <row r="17774" spans="25:25" hidden="1" x14ac:dyDescent="0.25">
      <c r="Y17774" s="501"/>
    </row>
    <row r="17775" spans="25:25" hidden="1" x14ac:dyDescent="0.25">
      <c r="Y17775" s="501"/>
    </row>
    <row r="17776" spans="25:25" hidden="1" x14ac:dyDescent="0.25">
      <c r="Y17776" s="501"/>
    </row>
    <row r="17777" spans="25:25" hidden="1" x14ac:dyDescent="0.25">
      <c r="Y17777" s="501"/>
    </row>
    <row r="17778" spans="25:25" hidden="1" x14ac:dyDescent="0.25">
      <c r="Y17778" s="501"/>
    </row>
    <row r="17779" spans="25:25" hidden="1" x14ac:dyDescent="0.25">
      <c r="Y17779" s="501"/>
    </row>
    <row r="17780" spans="25:25" hidden="1" x14ac:dyDescent="0.25">
      <c r="Y17780" s="501"/>
    </row>
    <row r="17781" spans="25:25" hidden="1" x14ac:dyDescent="0.25">
      <c r="Y17781" s="501"/>
    </row>
    <row r="17782" spans="25:25" hidden="1" x14ac:dyDescent="0.25">
      <c r="Y17782" s="501"/>
    </row>
    <row r="17783" spans="25:25" hidden="1" x14ac:dyDescent="0.25">
      <c r="Y17783" s="501"/>
    </row>
    <row r="17784" spans="25:25" hidden="1" x14ac:dyDescent="0.25">
      <c r="Y17784" s="501"/>
    </row>
    <row r="17785" spans="25:25" hidden="1" x14ac:dyDescent="0.25">
      <c r="Y17785" s="501"/>
    </row>
    <row r="17786" spans="25:25" hidden="1" x14ac:dyDescent="0.25">
      <c r="Y17786" s="501"/>
    </row>
    <row r="17787" spans="25:25" hidden="1" x14ac:dyDescent="0.25">
      <c r="Y17787" s="501"/>
    </row>
    <row r="17788" spans="25:25" hidden="1" x14ac:dyDescent="0.25">
      <c r="Y17788" s="501"/>
    </row>
    <row r="17789" spans="25:25" hidden="1" x14ac:dyDescent="0.25">
      <c r="Y17789" s="501"/>
    </row>
    <row r="17790" spans="25:25" hidden="1" x14ac:dyDescent="0.25">
      <c r="Y17790" s="501"/>
    </row>
    <row r="17791" spans="25:25" hidden="1" x14ac:dyDescent="0.25">
      <c r="Y17791" s="501"/>
    </row>
    <row r="17792" spans="25:25" hidden="1" x14ac:dyDescent="0.25">
      <c r="Y17792" s="501"/>
    </row>
    <row r="17793" spans="25:25" hidden="1" x14ac:dyDescent="0.25">
      <c r="Y17793" s="501"/>
    </row>
    <row r="17794" spans="25:25" hidden="1" x14ac:dyDescent="0.25">
      <c r="Y17794" s="501"/>
    </row>
    <row r="17795" spans="25:25" hidden="1" x14ac:dyDescent="0.25">
      <c r="Y17795" s="501"/>
    </row>
    <row r="17796" spans="25:25" hidden="1" x14ac:dyDescent="0.25">
      <c r="Y17796" s="501"/>
    </row>
    <row r="17797" spans="25:25" hidden="1" x14ac:dyDescent="0.25">
      <c r="Y17797" s="501"/>
    </row>
    <row r="17798" spans="25:25" hidden="1" x14ac:dyDescent="0.25">
      <c r="Y17798" s="501"/>
    </row>
    <row r="17799" spans="25:25" hidden="1" x14ac:dyDescent="0.25">
      <c r="Y17799" s="501"/>
    </row>
    <row r="17800" spans="25:25" hidden="1" x14ac:dyDescent="0.25">
      <c r="Y17800" s="501"/>
    </row>
    <row r="17801" spans="25:25" hidden="1" x14ac:dyDescent="0.25">
      <c r="Y17801" s="501"/>
    </row>
    <row r="17802" spans="25:25" hidden="1" x14ac:dyDescent="0.25">
      <c r="Y17802" s="501"/>
    </row>
    <row r="17803" spans="25:25" hidden="1" x14ac:dyDescent="0.25">
      <c r="Y17803" s="501"/>
    </row>
    <row r="17804" spans="25:25" hidden="1" x14ac:dyDescent="0.25">
      <c r="Y17804" s="501"/>
    </row>
    <row r="17805" spans="25:25" hidden="1" x14ac:dyDescent="0.25">
      <c r="Y17805" s="501"/>
    </row>
    <row r="17806" spans="25:25" hidden="1" x14ac:dyDescent="0.25">
      <c r="Y17806" s="501"/>
    </row>
    <row r="17807" spans="25:25" hidden="1" x14ac:dyDescent="0.25">
      <c r="Y17807" s="501"/>
    </row>
    <row r="17808" spans="25:25" hidden="1" x14ac:dyDescent="0.25">
      <c r="Y17808" s="501"/>
    </row>
    <row r="17809" spans="25:25" hidden="1" x14ac:dyDescent="0.25">
      <c r="Y17809" s="501"/>
    </row>
    <row r="17810" spans="25:25" hidden="1" x14ac:dyDescent="0.25">
      <c r="Y17810" s="501"/>
    </row>
    <row r="17811" spans="25:25" hidden="1" x14ac:dyDescent="0.25">
      <c r="Y17811" s="501"/>
    </row>
    <row r="17812" spans="25:25" hidden="1" x14ac:dyDescent="0.25">
      <c r="Y17812" s="501"/>
    </row>
    <row r="17813" spans="25:25" hidden="1" x14ac:dyDescent="0.25">
      <c r="Y17813" s="501"/>
    </row>
    <row r="17814" spans="25:25" hidden="1" x14ac:dyDescent="0.25">
      <c r="Y17814" s="501"/>
    </row>
    <row r="17815" spans="25:25" hidden="1" x14ac:dyDescent="0.25">
      <c r="Y17815" s="501"/>
    </row>
    <row r="17816" spans="25:25" hidden="1" x14ac:dyDescent="0.25">
      <c r="Y17816" s="501"/>
    </row>
    <row r="17817" spans="25:25" hidden="1" x14ac:dyDescent="0.25">
      <c r="Y17817" s="501"/>
    </row>
    <row r="17818" spans="25:25" hidden="1" x14ac:dyDescent="0.25">
      <c r="Y17818" s="501"/>
    </row>
    <row r="17819" spans="25:25" hidden="1" x14ac:dyDescent="0.25">
      <c r="Y17819" s="501"/>
    </row>
    <row r="17820" spans="25:25" hidden="1" x14ac:dyDescent="0.25">
      <c r="Y17820" s="501"/>
    </row>
    <row r="17821" spans="25:25" hidden="1" x14ac:dyDescent="0.25">
      <c r="Y17821" s="501"/>
    </row>
    <row r="17822" spans="25:25" hidden="1" x14ac:dyDescent="0.25">
      <c r="Y17822" s="501"/>
    </row>
    <row r="17823" spans="25:25" hidden="1" x14ac:dyDescent="0.25">
      <c r="Y17823" s="501"/>
    </row>
    <row r="17824" spans="25:25" hidden="1" x14ac:dyDescent="0.25">
      <c r="Y17824" s="501"/>
    </row>
    <row r="17825" spans="25:25" hidden="1" x14ac:dyDescent="0.25">
      <c r="Y17825" s="501"/>
    </row>
    <row r="17826" spans="25:25" hidden="1" x14ac:dyDescent="0.25">
      <c r="Y17826" s="501"/>
    </row>
    <row r="17827" spans="25:25" hidden="1" x14ac:dyDescent="0.25">
      <c r="Y17827" s="501"/>
    </row>
    <row r="17828" spans="25:25" hidden="1" x14ac:dyDescent="0.25">
      <c r="Y17828" s="501"/>
    </row>
    <row r="17829" spans="25:25" hidden="1" x14ac:dyDescent="0.25">
      <c r="Y17829" s="501"/>
    </row>
    <row r="17830" spans="25:25" hidden="1" x14ac:dyDescent="0.25">
      <c r="Y17830" s="501"/>
    </row>
    <row r="17831" spans="25:25" hidden="1" x14ac:dyDescent="0.25">
      <c r="Y17831" s="501"/>
    </row>
    <row r="17832" spans="25:25" hidden="1" x14ac:dyDescent="0.25">
      <c r="Y17832" s="501"/>
    </row>
    <row r="17833" spans="25:25" hidden="1" x14ac:dyDescent="0.25">
      <c r="Y17833" s="501"/>
    </row>
    <row r="17834" spans="25:25" hidden="1" x14ac:dyDescent="0.25">
      <c r="Y17834" s="501"/>
    </row>
    <row r="17835" spans="25:25" hidden="1" x14ac:dyDescent="0.25">
      <c r="Y17835" s="501"/>
    </row>
    <row r="17836" spans="25:25" hidden="1" x14ac:dyDescent="0.25">
      <c r="Y17836" s="501"/>
    </row>
    <row r="17837" spans="25:25" hidden="1" x14ac:dyDescent="0.25">
      <c r="Y17837" s="501"/>
    </row>
    <row r="17838" spans="25:25" hidden="1" x14ac:dyDescent="0.25">
      <c r="Y17838" s="501"/>
    </row>
    <row r="17839" spans="25:25" hidden="1" x14ac:dyDescent="0.25">
      <c r="Y17839" s="501"/>
    </row>
    <row r="17840" spans="25:25" hidden="1" x14ac:dyDescent="0.25">
      <c r="Y17840" s="501"/>
    </row>
    <row r="17841" spans="25:25" hidden="1" x14ac:dyDescent="0.25">
      <c r="Y17841" s="501"/>
    </row>
    <row r="17842" spans="25:25" hidden="1" x14ac:dyDescent="0.25">
      <c r="Y17842" s="501"/>
    </row>
    <row r="17843" spans="25:25" hidden="1" x14ac:dyDescent="0.25">
      <c r="Y17843" s="501"/>
    </row>
    <row r="17844" spans="25:25" hidden="1" x14ac:dyDescent="0.25">
      <c r="Y17844" s="501"/>
    </row>
    <row r="17845" spans="25:25" hidden="1" x14ac:dyDescent="0.25">
      <c r="Y17845" s="501"/>
    </row>
    <row r="17846" spans="25:25" hidden="1" x14ac:dyDescent="0.25">
      <c r="Y17846" s="501"/>
    </row>
    <row r="17847" spans="25:25" hidden="1" x14ac:dyDescent="0.25">
      <c r="Y17847" s="501"/>
    </row>
    <row r="17848" spans="25:25" hidden="1" x14ac:dyDescent="0.25">
      <c r="Y17848" s="501"/>
    </row>
    <row r="17849" spans="25:25" hidden="1" x14ac:dyDescent="0.25">
      <c r="Y17849" s="501"/>
    </row>
    <row r="17850" spans="25:25" hidden="1" x14ac:dyDescent="0.25">
      <c r="Y17850" s="501"/>
    </row>
    <row r="17851" spans="25:25" hidden="1" x14ac:dyDescent="0.25">
      <c r="Y17851" s="501"/>
    </row>
    <row r="17852" spans="25:25" hidden="1" x14ac:dyDescent="0.25">
      <c r="Y17852" s="501"/>
    </row>
    <row r="17853" spans="25:25" hidden="1" x14ac:dyDescent="0.25">
      <c r="Y17853" s="501"/>
    </row>
    <row r="17854" spans="25:25" hidden="1" x14ac:dyDescent="0.25">
      <c r="Y17854" s="501"/>
    </row>
    <row r="17855" spans="25:25" hidden="1" x14ac:dyDescent="0.25">
      <c r="Y17855" s="501"/>
    </row>
    <row r="17856" spans="25:25" hidden="1" x14ac:dyDescent="0.25">
      <c r="Y17856" s="501"/>
    </row>
    <row r="17857" spans="25:25" hidden="1" x14ac:dyDescent="0.25">
      <c r="Y17857" s="501"/>
    </row>
    <row r="17858" spans="25:25" hidden="1" x14ac:dyDescent="0.25">
      <c r="Y17858" s="501"/>
    </row>
    <row r="17859" spans="25:25" hidden="1" x14ac:dyDescent="0.25">
      <c r="Y17859" s="501"/>
    </row>
    <row r="17860" spans="25:25" hidden="1" x14ac:dyDescent="0.25">
      <c r="Y17860" s="501"/>
    </row>
    <row r="17861" spans="25:25" hidden="1" x14ac:dyDescent="0.25">
      <c r="Y17861" s="501"/>
    </row>
    <row r="17862" spans="25:25" hidden="1" x14ac:dyDescent="0.25">
      <c r="Y17862" s="501"/>
    </row>
    <row r="17863" spans="25:25" hidden="1" x14ac:dyDescent="0.25">
      <c r="Y17863" s="501"/>
    </row>
    <row r="17864" spans="25:25" hidden="1" x14ac:dyDescent="0.25">
      <c r="Y17864" s="501"/>
    </row>
    <row r="17865" spans="25:25" hidden="1" x14ac:dyDescent="0.25">
      <c r="Y17865" s="501"/>
    </row>
    <row r="17866" spans="25:25" hidden="1" x14ac:dyDescent="0.25">
      <c r="Y17866" s="501"/>
    </row>
    <row r="17867" spans="25:25" hidden="1" x14ac:dyDescent="0.25">
      <c r="Y17867" s="501"/>
    </row>
    <row r="17868" spans="25:25" hidden="1" x14ac:dyDescent="0.25">
      <c r="Y17868" s="501"/>
    </row>
    <row r="17869" spans="25:25" hidden="1" x14ac:dyDescent="0.25">
      <c r="Y17869" s="501"/>
    </row>
    <row r="17870" spans="25:25" hidden="1" x14ac:dyDescent="0.25">
      <c r="Y17870" s="501"/>
    </row>
    <row r="17871" spans="25:25" hidden="1" x14ac:dyDescent="0.25">
      <c r="Y17871" s="501"/>
    </row>
    <row r="17872" spans="25:25" hidden="1" x14ac:dyDescent="0.25">
      <c r="Y17872" s="501"/>
    </row>
    <row r="17873" spans="25:25" hidden="1" x14ac:dyDescent="0.25">
      <c r="Y17873" s="501"/>
    </row>
    <row r="17874" spans="25:25" hidden="1" x14ac:dyDescent="0.25">
      <c r="Y17874" s="501"/>
    </row>
    <row r="17875" spans="25:25" hidden="1" x14ac:dyDescent="0.25">
      <c r="Y17875" s="501"/>
    </row>
    <row r="17876" spans="25:25" hidden="1" x14ac:dyDescent="0.25">
      <c r="Y17876" s="501"/>
    </row>
    <row r="17877" spans="25:25" hidden="1" x14ac:dyDescent="0.25">
      <c r="Y17877" s="501"/>
    </row>
    <row r="17878" spans="25:25" hidden="1" x14ac:dyDescent="0.25">
      <c r="Y17878" s="501"/>
    </row>
    <row r="17879" spans="25:25" hidden="1" x14ac:dyDescent="0.25">
      <c r="Y17879" s="501"/>
    </row>
    <row r="17880" spans="25:25" hidden="1" x14ac:dyDescent="0.25">
      <c r="Y17880" s="501"/>
    </row>
    <row r="17881" spans="25:25" hidden="1" x14ac:dyDescent="0.25">
      <c r="Y17881" s="501"/>
    </row>
    <row r="17882" spans="25:25" hidden="1" x14ac:dyDescent="0.25">
      <c r="Y17882" s="501"/>
    </row>
    <row r="17883" spans="25:25" hidden="1" x14ac:dyDescent="0.25">
      <c r="Y17883" s="501"/>
    </row>
    <row r="17884" spans="25:25" hidden="1" x14ac:dyDescent="0.25">
      <c r="Y17884" s="501"/>
    </row>
    <row r="17885" spans="25:25" hidden="1" x14ac:dyDescent="0.25">
      <c r="Y17885" s="501"/>
    </row>
    <row r="17886" spans="25:25" hidden="1" x14ac:dyDescent="0.25">
      <c r="Y17886" s="501"/>
    </row>
    <row r="17887" spans="25:25" hidden="1" x14ac:dyDescent="0.25">
      <c r="Y17887" s="501"/>
    </row>
    <row r="17888" spans="25:25" hidden="1" x14ac:dyDescent="0.25">
      <c r="Y17888" s="501"/>
    </row>
    <row r="17889" spans="25:25" hidden="1" x14ac:dyDescent="0.25">
      <c r="Y17889" s="501"/>
    </row>
    <row r="17890" spans="25:25" hidden="1" x14ac:dyDescent="0.25">
      <c r="Y17890" s="501"/>
    </row>
    <row r="17891" spans="25:25" hidden="1" x14ac:dyDescent="0.25">
      <c r="Y17891" s="501"/>
    </row>
    <row r="17892" spans="25:25" hidden="1" x14ac:dyDescent="0.25">
      <c r="Y17892" s="501"/>
    </row>
    <row r="17893" spans="25:25" hidden="1" x14ac:dyDescent="0.25">
      <c r="Y17893" s="501"/>
    </row>
    <row r="17894" spans="25:25" hidden="1" x14ac:dyDescent="0.25">
      <c r="Y17894" s="501"/>
    </row>
    <row r="17895" spans="25:25" hidden="1" x14ac:dyDescent="0.25">
      <c r="Y17895" s="501"/>
    </row>
    <row r="17896" spans="25:25" hidden="1" x14ac:dyDescent="0.25">
      <c r="Y17896" s="501"/>
    </row>
    <row r="17897" spans="25:25" hidden="1" x14ac:dyDescent="0.25">
      <c r="Y17897" s="501"/>
    </row>
    <row r="17898" spans="25:25" hidden="1" x14ac:dyDescent="0.25">
      <c r="Y17898" s="501"/>
    </row>
    <row r="17899" spans="25:25" hidden="1" x14ac:dyDescent="0.25">
      <c r="Y17899" s="501"/>
    </row>
    <row r="17900" spans="25:25" hidden="1" x14ac:dyDescent="0.25">
      <c r="Y17900" s="501"/>
    </row>
    <row r="17901" spans="25:25" hidden="1" x14ac:dyDescent="0.25">
      <c r="Y17901" s="501"/>
    </row>
    <row r="17902" spans="25:25" hidden="1" x14ac:dyDescent="0.25">
      <c r="Y17902" s="501"/>
    </row>
    <row r="17903" spans="25:25" hidden="1" x14ac:dyDescent="0.25">
      <c r="Y17903" s="501"/>
    </row>
    <row r="17904" spans="25:25" hidden="1" x14ac:dyDescent="0.25">
      <c r="Y17904" s="501"/>
    </row>
    <row r="17905" spans="25:25" hidden="1" x14ac:dyDescent="0.25">
      <c r="Y17905" s="501"/>
    </row>
    <row r="17906" spans="25:25" hidden="1" x14ac:dyDescent="0.25">
      <c r="Y17906" s="501"/>
    </row>
    <row r="17907" spans="25:25" hidden="1" x14ac:dyDescent="0.25">
      <c r="Y17907" s="501"/>
    </row>
    <row r="17908" spans="25:25" hidden="1" x14ac:dyDescent="0.25">
      <c r="Y17908" s="501"/>
    </row>
    <row r="17909" spans="25:25" hidden="1" x14ac:dyDescent="0.25">
      <c r="Y17909" s="501"/>
    </row>
    <row r="17910" spans="25:25" hidden="1" x14ac:dyDescent="0.25">
      <c r="Y17910" s="501"/>
    </row>
    <row r="17911" spans="25:25" hidden="1" x14ac:dyDescent="0.25">
      <c r="Y17911" s="501"/>
    </row>
    <row r="17912" spans="25:25" hidden="1" x14ac:dyDescent="0.25">
      <c r="Y17912" s="501"/>
    </row>
    <row r="17913" spans="25:25" hidden="1" x14ac:dyDescent="0.25">
      <c r="Y17913" s="501"/>
    </row>
    <row r="17914" spans="25:25" hidden="1" x14ac:dyDescent="0.25">
      <c r="Y17914" s="501"/>
    </row>
    <row r="17915" spans="25:25" hidden="1" x14ac:dyDescent="0.25">
      <c r="Y17915" s="501"/>
    </row>
    <row r="17916" spans="25:25" hidden="1" x14ac:dyDescent="0.25">
      <c r="Y17916" s="501"/>
    </row>
    <row r="17917" spans="25:25" hidden="1" x14ac:dyDescent="0.25">
      <c r="Y17917" s="501"/>
    </row>
    <row r="17918" spans="25:25" hidden="1" x14ac:dyDescent="0.25">
      <c r="Y17918" s="501"/>
    </row>
    <row r="17919" spans="25:25" hidden="1" x14ac:dyDescent="0.25">
      <c r="Y17919" s="501"/>
    </row>
    <row r="17920" spans="25:25" hidden="1" x14ac:dyDescent="0.25">
      <c r="Y17920" s="501"/>
    </row>
    <row r="17921" spans="25:25" hidden="1" x14ac:dyDescent="0.25">
      <c r="Y17921" s="501"/>
    </row>
    <row r="17922" spans="25:25" hidden="1" x14ac:dyDescent="0.25">
      <c r="Y17922" s="501"/>
    </row>
    <row r="17923" spans="25:25" hidden="1" x14ac:dyDescent="0.25">
      <c r="Y17923" s="501"/>
    </row>
    <row r="17924" spans="25:25" hidden="1" x14ac:dyDescent="0.25">
      <c r="Y17924" s="501"/>
    </row>
    <row r="17925" spans="25:25" hidden="1" x14ac:dyDescent="0.25">
      <c r="Y17925" s="501"/>
    </row>
    <row r="17926" spans="25:25" hidden="1" x14ac:dyDescent="0.25">
      <c r="Y17926" s="501"/>
    </row>
    <row r="17927" spans="25:25" hidden="1" x14ac:dyDescent="0.25">
      <c r="Y17927" s="501"/>
    </row>
    <row r="17928" spans="25:25" hidden="1" x14ac:dyDescent="0.25">
      <c r="Y17928" s="501"/>
    </row>
    <row r="17929" spans="25:25" hidden="1" x14ac:dyDescent="0.25">
      <c r="Y17929" s="501"/>
    </row>
    <row r="17930" spans="25:25" hidden="1" x14ac:dyDescent="0.25">
      <c r="Y17930" s="501"/>
    </row>
    <row r="17931" spans="25:25" hidden="1" x14ac:dyDescent="0.25">
      <c r="Y17931" s="501"/>
    </row>
    <row r="17932" spans="25:25" hidden="1" x14ac:dyDescent="0.25">
      <c r="Y17932" s="501"/>
    </row>
    <row r="17933" spans="25:25" hidden="1" x14ac:dyDescent="0.25">
      <c r="Y17933" s="501"/>
    </row>
    <row r="17934" spans="25:25" hidden="1" x14ac:dyDescent="0.25">
      <c r="Y17934" s="501"/>
    </row>
    <row r="17935" spans="25:25" hidden="1" x14ac:dyDescent="0.25">
      <c r="Y17935" s="501"/>
    </row>
    <row r="17936" spans="25:25" hidden="1" x14ac:dyDescent="0.25">
      <c r="Y17936" s="501"/>
    </row>
    <row r="17937" spans="25:25" hidden="1" x14ac:dyDescent="0.25">
      <c r="Y17937" s="501"/>
    </row>
    <row r="17938" spans="25:25" hidden="1" x14ac:dyDescent="0.25">
      <c r="Y17938" s="501"/>
    </row>
    <row r="17939" spans="25:25" hidden="1" x14ac:dyDescent="0.25">
      <c r="Y17939" s="501"/>
    </row>
    <row r="17940" spans="25:25" hidden="1" x14ac:dyDescent="0.25">
      <c r="Y17940" s="501"/>
    </row>
    <row r="17941" spans="25:25" hidden="1" x14ac:dyDescent="0.25">
      <c r="Y17941" s="501"/>
    </row>
    <row r="17942" spans="25:25" hidden="1" x14ac:dyDescent="0.25">
      <c r="Y17942" s="501"/>
    </row>
    <row r="17943" spans="25:25" hidden="1" x14ac:dyDescent="0.25">
      <c r="Y17943" s="501"/>
    </row>
    <row r="17944" spans="25:25" hidden="1" x14ac:dyDescent="0.25">
      <c r="Y17944" s="501"/>
    </row>
    <row r="17945" spans="25:25" hidden="1" x14ac:dyDescent="0.25">
      <c r="Y17945" s="501"/>
    </row>
    <row r="17946" spans="25:25" hidden="1" x14ac:dyDescent="0.25">
      <c r="Y17946" s="501"/>
    </row>
    <row r="17947" spans="25:25" hidden="1" x14ac:dyDescent="0.25">
      <c r="Y17947" s="501"/>
    </row>
    <row r="17948" spans="25:25" hidden="1" x14ac:dyDescent="0.25">
      <c r="Y17948" s="501"/>
    </row>
    <row r="17949" spans="25:25" hidden="1" x14ac:dyDescent="0.25">
      <c r="Y17949" s="501"/>
    </row>
    <row r="17950" spans="25:25" hidden="1" x14ac:dyDescent="0.25">
      <c r="Y17950" s="501"/>
    </row>
    <row r="17951" spans="25:25" hidden="1" x14ac:dyDescent="0.25">
      <c r="Y17951" s="501"/>
    </row>
    <row r="17952" spans="25:25" hidden="1" x14ac:dyDescent="0.25">
      <c r="Y17952" s="501"/>
    </row>
    <row r="17953" spans="25:25" hidden="1" x14ac:dyDescent="0.25">
      <c r="Y17953" s="501"/>
    </row>
    <row r="17954" spans="25:25" hidden="1" x14ac:dyDescent="0.25">
      <c r="Y17954" s="501"/>
    </row>
    <row r="17955" spans="25:25" hidden="1" x14ac:dyDescent="0.25">
      <c r="Y17955" s="501"/>
    </row>
    <row r="17956" spans="25:25" hidden="1" x14ac:dyDescent="0.25">
      <c r="Y17956" s="501"/>
    </row>
    <row r="17957" spans="25:25" hidden="1" x14ac:dyDescent="0.25">
      <c r="Y17957" s="501"/>
    </row>
    <row r="17958" spans="25:25" hidden="1" x14ac:dyDescent="0.25">
      <c r="Y17958" s="501"/>
    </row>
    <row r="17959" spans="25:25" hidden="1" x14ac:dyDescent="0.25">
      <c r="Y17959" s="501"/>
    </row>
    <row r="17960" spans="25:25" hidden="1" x14ac:dyDescent="0.25">
      <c r="Y17960" s="501"/>
    </row>
    <row r="17961" spans="25:25" hidden="1" x14ac:dyDescent="0.25">
      <c r="Y17961" s="501"/>
    </row>
    <row r="17962" spans="25:25" hidden="1" x14ac:dyDescent="0.25">
      <c r="Y17962" s="501"/>
    </row>
    <row r="17963" spans="25:25" hidden="1" x14ac:dyDescent="0.25">
      <c r="Y17963" s="501"/>
    </row>
    <row r="17964" spans="25:25" hidden="1" x14ac:dyDescent="0.25">
      <c r="Y17964" s="501"/>
    </row>
    <row r="17965" spans="25:25" hidden="1" x14ac:dyDescent="0.25">
      <c r="Y17965" s="501"/>
    </row>
    <row r="17966" spans="25:25" hidden="1" x14ac:dyDescent="0.25">
      <c r="Y17966" s="501"/>
    </row>
    <row r="17967" spans="25:25" hidden="1" x14ac:dyDescent="0.25">
      <c r="Y17967" s="501"/>
    </row>
    <row r="17968" spans="25:25" hidden="1" x14ac:dyDescent="0.25">
      <c r="Y17968" s="501"/>
    </row>
    <row r="17969" spans="25:25" hidden="1" x14ac:dyDescent="0.25">
      <c r="Y17969" s="501"/>
    </row>
    <row r="17970" spans="25:25" hidden="1" x14ac:dyDescent="0.25">
      <c r="Y17970" s="501"/>
    </row>
    <row r="17971" spans="25:25" hidden="1" x14ac:dyDescent="0.25">
      <c r="Y17971" s="501"/>
    </row>
    <row r="17972" spans="25:25" hidden="1" x14ac:dyDescent="0.25">
      <c r="Y17972" s="501"/>
    </row>
    <row r="17973" spans="25:25" hidden="1" x14ac:dyDescent="0.25">
      <c r="Y17973" s="501"/>
    </row>
    <row r="17974" spans="25:25" hidden="1" x14ac:dyDescent="0.25">
      <c r="Y17974" s="501"/>
    </row>
    <row r="17975" spans="25:25" hidden="1" x14ac:dyDescent="0.25">
      <c r="Y17975" s="501"/>
    </row>
    <row r="17976" spans="25:25" hidden="1" x14ac:dyDescent="0.25">
      <c r="Y17976" s="501"/>
    </row>
    <row r="17977" spans="25:25" hidden="1" x14ac:dyDescent="0.25">
      <c r="Y17977" s="501"/>
    </row>
    <row r="17978" spans="25:25" hidden="1" x14ac:dyDescent="0.25">
      <c r="Y17978" s="501"/>
    </row>
    <row r="17979" spans="25:25" hidden="1" x14ac:dyDescent="0.25">
      <c r="Y17979" s="501"/>
    </row>
    <row r="17980" spans="25:25" hidden="1" x14ac:dyDescent="0.25">
      <c r="Y17980" s="501"/>
    </row>
    <row r="17981" spans="25:25" hidden="1" x14ac:dyDescent="0.25">
      <c r="Y17981" s="501"/>
    </row>
    <row r="17982" spans="25:25" hidden="1" x14ac:dyDescent="0.25">
      <c r="Y17982" s="501"/>
    </row>
    <row r="17983" spans="25:25" hidden="1" x14ac:dyDescent="0.25">
      <c r="Y17983" s="501"/>
    </row>
    <row r="17984" spans="25:25" hidden="1" x14ac:dyDescent="0.25">
      <c r="Y17984" s="501"/>
    </row>
    <row r="17985" spans="25:25" hidden="1" x14ac:dyDescent="0.25">
      <c r="Y17985" s="501"/>
    </row>
    <row r="17986" spans="25:25" hidden="1" x14ac:dyDescent="0.25">
      <c r="Y17986" s="501"/>
    </row>
    <row r="17987" spans="25:25" hidden="1" x14ac:dyDescent="0.25">
      <c r="Y17987" s="501"/>
    </row>
    <row r="17988" spans="25:25" hidden="1" x14ac:dyDescent="0.25">
      <c r="Y17988" s="501"/>
    </row>
    <row r="17989" spans="25:25" hidden="1" x14ac:dyDescent="0.25">
      <c r="Y17989" s="501"/>
    </row>
    <row r="17990" spans="25:25" hidden="1" x14ac:dyDescent="0.25">
      <c r="Y17990" s="501"/>
    </row>
    <row r="17991" spans="25:25" hidden="1" x14ac:dyDescent="0.25">
      <c r="Y17991" s="501"/>
    </row>
    <row r="17992" spans="25:25" hidden="1" x14ac:dyDescent="0.25">
      <c r="Y17992" s="501"/>
    </row>
    <row r="17993" spans="25:25" hidden="1" x14ac:dyDescent="0.25">
      <c r="Y17993" s="501"/>
    </row>
    <row r="17994" spans="25:25" hidden="1" x14ac:dyDescent="0.25">
      <c r="Y17994" s="501"/>
    </row>
    <row r="17995" spans="25:25" hidden="1" x14ac:dyDescent="0.25">
      <c r="Y17995" s="501"/>
    </row>
    <row r="17996" spans="25:25" hidden="1" x14ac:dyDescent="0.25">
      <c r="Y17996" s="501"/>
    </row>
    <row r="17997" spans="25:25" hidden="1" x14ac:dyDescent="0.25">
      <c r="Y17997" s="501"/>
    </row>
    <row r="17998" spans="25:25" hidden="1" x14ac:dyDescent="0.25">
      <c r="Y17998" s="501"/>
    </row>
    <row r="17999" spans="25:25" hidden="1" x14ac:dyDescent="0.25">
      <c r="Y17999" s="501"/>
    </row>
    <row r="18000" spans="25:25" hidden="1" x14ac:dyDescent="0.25">
      <c r="Y18000" s="501"/>
    </row>
    <row r="18001" spans="25:25" hidden="1" x14ac:dyDescent="0.25">
      <c r="Y18001" s="501"/>
    </row>
    <row r="18002" spans="25:25" hidden="1" x14ac:dyDescent="0.25">
      <c r="Y18002" s="501"/>
    </row>
    <row r="18003" spans="25:25" hidden="1" x14ac:dyDescent="0.25">
      <c r="Y18003" s="501"/>
    </row>
    <row r="18004" spans="25:25" hidden="1" x14ac:dyDescent="0.25">
      <c r="Y18004" s="501"/>
    </row>
    <row r="18005" spans="25:25" hidden="1" x14ac:dyDescent="0.25">
      <c r="Y18005" s="501"/>
    </row>
    <row r="18006" spans="25:25" hidden="1" x14ac:dyDescent="0.25">
      <c r="Y18006" s="501"/>
    </row>
    <row r="18007" spans="25:25" hidden="1" x14ac:dyDescent="0.25">
      <c r="Y18007" s="501"/>
    </row>
    <row r="18008" spans="25:25" hidden="1" x14ac:dyDescent="0.25">
      <c r="Y18008" s="501"/>
    </row>
    <row r="18009" spans="25:25" hidden="1" x14ac:dyDescent="0.25">
      <c r="Y18009" s="501"/>
    </row>
    <row r="18010" spans="25:25" hidden="1" x14ac:dyDescent="0.25">
      <c r="Y18010" s="501"/>
    </row>
    <row r="18011" spans="25:25" hidden="1" x14ac:dyDescent="0.25">
      <c r="Y18011" s="501"/>
    </row>
    <row r="18012" spans="25:25" hidden="1" x14ac:dyDescent="0.25">
      <c r="Y18012" s="501"/>
    </row>
    <row r="18013" spans="25:25" hidden="1" x14ac:dyDescent="0.25">
      <c r="Y18013" s="501"/>
    </row>
    <row r="18014" spans="25:25" hidden="1" x14ac:dyDescent="0.25">
      <c r="Y18014" s="501"/>
    </row>
    <row r="18015" spans="25:25" hidden="1" x14ac:dyDescent="0.25">
      <c r="Y18015" s="501"/>
    </row>
    <row r="18016" spans="25:25" hidden="1" x14ac:dyDescent="0.25">
      <c r="Y18016" s="501"/>
    </row>
    <row r="18017" spans="25:25" hidden="1" x14ac:dyDescent="0.25">
      <c r="Y18017" s="501"/>
    </row>
    <row r="18018" spans="25:25" hidden="1" x14ac:dyDescent="0.25">
      <c r="Y18018" s="501"/>
    </row>
    <row r="18019" spans="25:25" hidden="1" x14ac:dyDescent="0.25">
      <c r="Y18019" s="501"/>
    </row>
    <row r="18020" spans="25:25" hidden="1" x14ac:dyDescent="0.25">
      <c r="Y18020" s="501"/>
    </row>
    <row r="18021" spans="25:25" hidden="1" x14ac:dyDescent="0.25">
      <c r="Y18021" s="501"/>
    </row>
    <row r="18022" spans="25:25" hidden="1" x14ac:dyDescent="0.25">
      <c r="Y18022" s="501"/>
    </row>
    <row r="18023" spans="25:25" hidden="1" x14ac:dyDescent="0.25">
      <c r="Y18023" s="501"/>
    </row>
    <row r="18024" spans="25:25" hidden="1" x14ac:dyDescent="0.25">
      <c r="Y18024" s="501"/>
    </row>
    <row r="18025" spans="25:25" hidden="1" x14ac:dyDescent="0.25">
      <c r="Y18025" s="501"/>
    </row>
    <row r="18026" spans="25:25" hidden="1" x14ac:dyDescent="0.25">
      <c r="Y18026" s="501"/>
    </row>
    <row r="18027" spans="25:25" hidden="1" x14ac:dyDescent="0.25">
      <c r="Y18027" s="501"/>
    </row>
    <row r="18028" spans="25:25" hidden="1" x14ac:dyDescent="0.25">
      <c r="Y18028" s="501"/>
    </row>
    <row r="18029" spans="25:25" hidden="1" x14ac:dyDescent="0.25">
      <c r="Y18029" s="501"/>
    </row>
    <row r="18030" spans="25:25" hidden="1" x14ac:dyDescent="0.25">
      <c r="Y18030" s="501"/>
    </row>
    <row r="18031" spans="25:25" hidden="1" x14ac:dyDescent="0.25">
      <c r="Y18031" s="501"/>
    </row>
    <row r="18032" spans="25:25" hidden="1" x14ac:dyDescent="0.25">
      <c r="Y18032" s="501"/>
    </row>
    <row r="18033" spans="25:25" hidden="1" x14ac:dyDescent="0.25">
      <c r="Y18033" s="501"/>
    </row>
    <row r="18034" spans="25:25" hidden="1" x14ac:dyDescent="0.25">
      <c r="Y18034" s="501"/>
    </row>
    <row r="18035" spans="25:25" hidden="1" x14ac:dyDescent="0.25">
      <c r="Y18035" s="501"/>
    </row>
    <row r="18036" spans="25:25" hidden="1" x14ac:dyDescent="0.25">
      <c r="Y18036" s="501"/>
    </row>
    <row r="18037" spans="25:25" hidden="1" x14ac:dyDescent="0.25">
      <c r="Y18037" s="501"/>
    </row>
    <row r="18038" spans="25:25" hidden="1" x14ac:dyDescent="0.25">
      <c r="Y18038" s="501"/>
    </row>
    <row r="18039" spans="25:25" hidden="1" x14ac:dyDescent="0.25">
      <c r="Y18039" s="501"/>
    </row>
    <row r="18040" spans="25:25" hidden="1" x14ac:dyDescent="0.25">
      <c r="Y18040" s="501"/>
    </row>
    <row r="18041" spans="25:25" hidden="1" x14ac:dyDescent="0.25">
      <c r="Y18041" s="501"/>
    </row>
    <row r="18042" spans="25:25" hidden="1" x14ac:dyDescent="0.25">
      <c r="Y18042" s="501"/>
    </row>
    <row r="18043" spans="25:25" hidden="1" x14ac:dyDescent="0.25">
      <c r="Y18043" s="501"/>
    </row>
    <row r="18044" spans="25:25" hidden="1" x14ac:dyDescent="0.25">
      <c r="Y18044" s="501"/>
    </row>
    <row r="18045" spans="25:25" hidden="1" x14ac:dyDescent="0.25">
      <c r="Y18045" s="501"/>
    </row>
    <row r="18046" spans="25:25" hidden="1" x14ac:dyDescent="0.25">
      <c r="Y18046" s="501"/>
    </row>
    <row r="18047" spans="25:25" hidden="1" x14ac:dyDescent="0.25">
      <c r="Y18047" s="501"/>
    </row>
    <row r="18048" spans="25:25" hidden="1" x14ac:dyDescent="0.25">
      <c r="Y18048" s="501"/>
    </row>
    <row r="18049" spans="25:25" hidden="1" x14ac:dyDescent="0.25">
      <c r="Y18049" s="501"/>
    </row>
    <row r="18050" spans="25:25" hidden="1" x14ac:dyDescent="0.25">
      <c r="Y18050" s="501"/>
    </row>
    <row r="18051" spans="25:25" hidden="1" x14ac:dyDescent="0.25">
      <c r="Y18051" s="501"/>
    </row>
    <row r="18052" spans="25:25" hidden="1" x14ac:dyDescent="0.25">
      <c r="Y18052" s="501"/>
    </row>
    <row r="18053" spans="25:25" hidden="1" x14ac:dyDescent="0.25">
      <c r="Y18053" s="501"/>
    </row>
    <row r="18054" spans="25:25" hidden="1" x14ac:dyDescent="0.25">
      <c r="Y18054" s="501"/>
    </row>
    <row r="18055" spans="25:25" hidden="1" x14ac:dyDescent="0.25">
      <c r="Y18055" s="501"/>
    </row>
    <row r="18056" spans="25:25" hidden="1" x14ac:dyDescent="0.25">
      <c r="Y18056" s="501"/>
    </row>
    <row r="18057" spans="25:25" hidden="1" x14ac:dyDescent="0.25">
      <c r="Y18057" s="501"/>
    </row>
    <row r="18058" spans="25:25" hidden="1" x14ac:dyDescent="0.25">
      <c r="Y18058" s="501"/>
    </row>
    <row r="18059" spans="25:25" hidden="1" x14ac:dyDescent="0.25">
      <c r="Y18059" s="501"/>
    </row>
    <row r="18060" spans="25:25" hidden="1" x14ac:dyDescent="0.25">
      <c r="Y18060" s="501"/>
    </row>
    <row r="18061" spans="25:25" hidden="1" x14ac:dyDescent="0.25">
      <c r="Y18061" s="501"/>
    </row>
    <row r="18062" spans="25:25" hidden="1" x14ac:dyDescent="0.25">
      <c r="Y18062" s="501"/>
    </row>
    <row r="18063" spans="25:25" hidden="1" x14ac:dyDescent="0.25">
      <c r="Y18063" s="501"/>
    </row>
    <row r="18064" spans="25:25" hidden="1" x14ac:dyDescent="0.25">
      <c r="Y18064" s="501"/>
    </row>
    <row r="18065" spans="25:25" hidden="1" x14ac:dyDescent="0.25">
      <c r="Y18065" s="501"/>
    </row>
    <row r="18066" spans="25:25" hidden="1" x14ac:dyDescent="0.25">
      <c r="Y18066" s="501"/>
    </row>
    <row r="18067" spans="25:25" hidden="1" x14ac:dyDescent="0.25">
      <c r="Y18067" s="501"/>
    </row>
    <row r="18068" spans="25:25" hidden="1" x14ac:dyDescent="0.25">
      <c r="Y18068" s="501"/>
    </row>
    <row r="18069" spans="25:25" hidden="1" x14ac:dyDescent="0.25">
      <c r="Y18069" s="501"/>
    </row>
    <row r="18070" spans="25:25" hidden="1" x14ac:dyDescent="0.25">
      <c r="Y18070" s="501"/>
    </row>
    <row r="18071" spans="25:25" hidden="1" x14ac:dyDescent="0.25">
      <c r="Y18071" s="501"/>
    </row>
    <row r="18072" spans="25:25" hidden="1" x14ac:dyDescent="0.25">
      <c r="Y18072" s="501"/>
    </row>
    <row r="18073" spans="25:25" hidden="1" x14ac:dyDescent="0.25">
      <c r="Y18073" s="501"/>
    </row>
    <row r="18074" spans="25:25" hidden="1" x14ac:dyDescent="0.25">
      <c r="Y18074" s="501"/>
    </row>
    <row r="18075" spans="25:25" hidden="1" x14ac:dyDescent="0.25">
      <c r="Y18075" s="501"/>
    </row>
    <row r="18076" spans="25:25" hidden="1" x14ac:dyDescent="0.25">
      <c r="Y18076" s="501"/>
    </row>
    <row r="18077" spans="25:25" hidden="1" x14ac:dyDescent="0.25">
      <c r="Y18077" s="501"/>
    </row>
    <row r="18078" spans="25:25" hidden="1" x14ac:dyDescent="0.25">
      <c r="Y18078" s="501"/>
    </row>
    <row r="18079" spans="25:25" hidden="1" x14ac:dyDescent="0.25">
      <c r="Y18079" s="501"/>
    </row>
    <row r="18080" spans="25:25" hidden="1" x14ac:dyDescent="0.25">
      <c r="Y18080" s="501"/>
    </row>
    <row r="18081" spans="25:25" hidden="1" x14ac:dyDescent="0.25">
      <c r="Y18081" s="501"/>
    </row>
    <row r="18082" spans="25:25" hidden="1" x14ac:dyDescent="0.25">
      <c r="Y18082" s="501"/>
    </row>
    <row r="18083" spans="25:25" hidden="1" x14ac:dyDescent="0.25">
      <c r="Y18083" s="501"/>
    </row>
    <row r="18084" spans="25:25" hidden="1" x14ac:dyDescent="0.25">
      <c r="Y18084" s="501"/>
    </row>
    <row r="18085" spans="25:25" hidden="1" x14ac:dyDescent="0.25">
      <c r="Y18085" s="501"/>
    </row>
    <row r="18086" spans="25:25" hidden="1" x14ac:dyDescent="0.25">
      <c r="Y18086" s="501"/>
    </row>
    <row r="18087" spans="25:25" hidden="1" x14ac:dyDescent="0.25">
      <c r="Y18087" s="501"/>
    </row>
    <row r="18088" spans="25:25" hidden="1" x14ac:dyDescent="0.25">
      <c r="Y18088" s="501"/>
    </row>
    <row r="18089" spans="25:25" hidden="1" x14ac:dyDescent="0.25">
      <c r="Y18089" s="501"/>
    </row>
    <row r="18090" spans="25:25" hidden="1" x14ac:dyDescent="0.25">
      <c r="Y18090" s="501"/>
    </row>
    <row r="18091" spans="25:25" hidden="1" x14ac:dyDescent="0.25">
      <c r="Y18091" s="501"/>
    </row>
    <row r="18092" spans="25:25" hidden="1" x14ac:dyDescent="0.25">
      <c r="Y18092" s="501"/>
    </row>
    <row r="18093" spans="25:25" hidden="1" x14ac:dyDescent="0.25">
      <c r="Y18093" s="501"/>
    </row>
    <row r="18094" spans="25:25" hidden="1" x14ac:dyDescent="0.25">
      <c r="Y18094" s="501"/>
    </row>
    <row r="18095" spans="25:25" hidden="1" x14ac:dyDescent="0.25">
      <c r="Y18095" s="501"/>
    </row>
    <row r="18096" spans="25:25" hidden="1" x14ac:dyDescent="0.25">
      <c r="Y18096" s="501"/>
    </row>
    <row r="18097" spans="25:25" hidden="1" x14ac:dyDescent="0.25">
      <c r="Y18097" s="501"/>
    </row>
    <row r="18098" spans="25:25" hidden="1" x14ac:dyDescent="0.25">
      <c r="Y18098" s="501"/>
    </row>
    <row r="18099" spans="25:25" hidden="1" x14ac:dyDescent="0.25">
      <c r="Y18099" s="501"/>
    </row>
    <row r="18100" spans="25:25" hidden="1" x14ac:dyDescent="0.25">
      <c r="Y18100" s="501"/>
    </row>
    <row r="18101" spans="25:25" hidden="1" x14ac:dyDescent="0.25">
      <c r="Y18101" s="501"/>
    </row>
    <row r="18102" spans="25:25" hidden="1" x14ac:dyDescent="0.25">
      <c r="Y18102" s="501"/>
    </row>
    <row r="18103" spans="25:25" hidden="1" x14ac:dyDescent="0.25">
      <c r="Y18103" s="501"/>
    </row>
    <row r="18104" spans="25:25" hidden="1" x14ac:dyDescent="0.25">
      <c r="Y18104" s="501"/>
    </row>
    <row r="18105" spans="25:25" hidden="1" x14ac:dyDescent="0.25">
      <c r="Y18105" s="501"/>
    </row>
    <row r="18106" spans="25:25" hidden="1" x14ac:dyDescent="0.25">
      <c r="Y18106" s="501"/>
    </row>
    <row r="18107" spans="25:25" hidden="1" x14ac:dyDescent="0.25">
      <c r="Y18107" s="501"/>
    </row>
    <row r="18108" spans="25:25" hidden="1" x14ac:dyDescent="0.25">
      <c r="Y18108" s="501"/>
    </row>
    <row r="18109" spans="25:25" hidden="1" x14ac:dyDescent="0.25">
      <c r="Y18109" s="501"/>
    </row>
    <row r="18110" spans="25:25" hidden="1" x14ac:dyDescent="0.25">
      <c r="Y18110" s="501"/>
    </row>
    <row r="18111" spans="25:25" hidden="1" x14ac:dyDescent="0.25">
      <c r="Y18111" s="501"/>
    </row>
    <row r="18112" spans="25:25" hidden="1" x14ac:dyDescent="0.25">
      <c r="Y18112" s="501"/>
    </row>
    <row r="18113" spans="25:25" hidden="1" x14ac:dyDescent="0.25">
      <c r="Y18113" s="501"/>
    </row>
    <row r="18114" spans="25:25" hidden="1" x14ac:dyDescent="0.25">
      <c r="Y18114" s="501"/>
    </row>
    <row r="18115" spans="25:25" hidden="1" x14ac:dyDescent="0.25">
      <c r="Y18115" s="501"/>
    </row>
    <row r="18116" spans="25:25" hidden="1" x14ac:dyDescent="0.25">
      <c r="Y18116" s="501"/>
    </row>
    <row r="18117" spans="25:25" hidden="1" x14ac:dyDescent="0.25">
      <c r="Y18117" s="501"/>
    </row>
    <row r="18118" spans="25:25" hidden="1" x14ac:dyDescent="0.25">
      <c r="Y18118" s="501"/>
    </row>
    <row r="18119" spans="25:25" hidden="1" x14ac:dyDescent="0.25">
      <c r="Y18119" s="501"/>
    </row>
    <row r="18120" spans="25:25" hidden="1" x14ac:dyDescent="0.25">
      <c r="Y18120" s="501"/>
    </row>
    <row r="18121" spans="25:25" hidden="1" x14ac:dyDescent="0.25">
      <c r="Y18121" s="501"/>
    </row>
    <row r="18122" spans="25:25" hidden="1" x14ac:dyDescent="0.25">
      <c r="Y18122" s="501"/>
    </row>
    <row r="18123" spans="25:25" hidden="1" x14ac:dyDescent="0.25">
      <c r="Y18123" s="501"/>
    </row>
    <row r="18124" spans="25:25" hidden="1" x14ac:dyDescent="0.25">
      <c r="Y18124" s="501"/>
    </row>
    <row r="18125" spans="25:25" hidden="1" x14ac:dyDescent="0.25">
      <c r="Y18125" s="501"/>
    </row>
    <row r="18126" spans="25:25" hidden="1" x14ac:dyDescent="0.25">
      <c r="Y18126" s="501"/>
    </row>
    <row r="18127" spans="25:25" hidden="1" x14ac:dyDescent="0.25">
      <c r="Y18127" s="501"/>
    </row>
    <row r="18128" spans="25:25" hidden="1" x14ac:dyDescent="0.25">
      <c r="Y18128" s="501"/>
    </row>
    <row r="18129" spans="25:25" hidden="1" x14ac:dyDescent="0.25">
      <c r="Y18129" s="501"/>
    </row>
    <row r="18130" spans="25:25" hidden="1" x14ac:dyDescent="0.25">
      <c r="Y18130" s="501"/>
    </row>
    <row r="18131" spans="25:25" hidden="1" x14ac:dyDescent="0.25">
      <c r="Y18131" s="501"/>
    </row>
    <row r="18132" spans="25:25" hidden="1" x14ac:dyDescent="0.25">
      <c r="Y18132" s="501"/>
    </row>
    <row r="18133" spans="25:25" hidden="1" x14ac:dyDescent="0.25">
      <c r="Y18133" s="501"/>
    </row>
    <row r="18134" spans="25:25" hidden="1" x14ac:dyDescent="0.25">
      <c r="Y18134" s="501"/>
    </row>
    <row r="18135" spans="25:25" hidden="1" x14ac:dyDescent="0.25">
      <c r="Y18135" s="501"/>
    </row>
    <row r="18136" spans="25:25" hidden="1" x14ac:dyDescent="0.25">
      <c r="Y18136" s="501"/>
    </row>
    <row r="18137" spans="25:25" hidden="1" x14ac:dyDescent="0.25">
      <c r="Y18137" s="501"/>
    </row>
    <row r="18138" spans="25:25" hidden="1" x14ac:dyDescent="0.25">
      <c r="Y18138" s="501"/>
    </row>
    <row r="18139" spans="25:25" hidden="1" x14ac:dyDescent="0.25">
      <c r="Y18139" s="501"/>
    </row>
    <row r="18140" spans="25:25" hidden="1" x14ac:dyDescent="0.25">
      <c r="Y18140" s="501"/>
    </row>
    <row r="18141" spans="25:25" hidden="1" x14ac:dyDescent="0.25">
      <c r="Y18141" s="501"/>
    </row>
    <row r="18142" spans="25:25" hidden="1" x14ac:dyDescent="0.25">
      <c r="Y18142" s="501"/>
    </row>
    <row r="18143" spans="25:25" hidden="1" x14ac:dyDescent="0.25">
      <c r="Y18143" s="501"/>
    </row>
    <row r="18144" spans="25:25" hidden="1" x14ac:dyDescent="0.25">
      <c r="Y18144" s="501"/>
    </row>
    <row r="18145" spans="25:25" hidden="1" x14ac:dyDescent="0.25">
      <c r="Y18145" s="501"/>
    </row>
    <row r="18146" spans="25:25" hidden="1" x14ac:dyDescent="0.25">
      <c r="Y18146" s="501"/>
    </row>
    <row r="18147" spans="25:25" hidden="1" x14ac:dyDescent="0.25">
      <c r="Y18147" s="501"/>
    </row>
    <row r="18148" spans="25:25" hidden="1" x14ac:dyDescent="0.25">
      <c r="Y18148" s="501"/>
    </row>
    <row r="18149" spans="25:25" hidden="1" x14ac:dyDescent="0.25">
      <c r="Y18149" s="501"/>
    </row>
    <row r="18150" spans="25:25" hidden="1" x14ac:dyDescent="0.25">
      <c r="Y18150" s="501"/>
    </row>
    <row r="18151" spans="25:25" hidden="1" x14ac:dyDescent="0.25">
      <c r="Y18151" s="501"/>
    </row>
    <row r="18152" spans="25:25" hidden="1" x14ac:dyDescent="0.25">
      <c r="Y18152" s="501"/>
    </row>
    <row r="18153" spans="25:25" hidden="1" x14ac:dyDescent="0.25">
      <c r="Y18153" s="501"/>
    </row>
    <row r="18154" spans="25:25" hidden="1" x14ac:dyDescent="0.25">
      <c r="Y18154" s="501"/>
    </row>
    <row r="18155" spans="25:25" hidden="1" x14ac:dyDescent="0.25">
      <c r="Y18155" s="501"/>
    </row>
    <row r="18156" spans="25:25" hidden="1" x14ac:dyDescent="0.25">
      <c r="Y18156" s="501"/>
    </row>
    <row r="18157" spans="25:25" hidden="1" x14ac:dyDescent="0.25">
      <c r="Y18157" s="501"/>
    </row>
    <row r="18158" spans="25:25" hidden="1" x14ac:dyDescent="0.25">
      <c r="Y18158" s="501"/>
    </row>
    <row r="18159" spans="25:25" hidden="1" x14ac:dyDescent="0.25">
      <c r="Y18159" s="501"/>
    </row>
    <row r="18160" spans="25:25" hidden="1" x14ac:dyDescent="0.25">
      <c r="Y18160" s="501"/>
    </row>
    <row r="18161" spans="25:25" hidden="1" x14ac:dyDescent="0.25">
      <c r="Y18161" s="501"/>
    </row>
    <row r="18162" spans="25:25" hidden="1" x14ac:dyDescent="0.25">
      <c r="Y18162" s="501"/>
    </row>
    <row r="18163" spans="25:25" hidden="1" x14ac:dyDescent="0.25">
      <c r="Y18163" s="501"/>
    </row>
    <row r="18164" spans="25:25" hidden="1" x14ac:dyDescent="0.25">
      <c r="Y18164" s="501"/>
    </row>
    <row r="18165" spans="25:25" hidden="1" x14ac:dyDescent="0.25">
      <c r="Y18165" s="501"/>
    </row>
    <row r="18166" spans="25:25" hidden="1" x14ac:dyDescent="0.25">
      <c r="Y18166" s="501"/>
    </row>
    <row r="18167" spans="25:25" hidden="1" x14ac:dyDescent="0.25">
      <c r="Y18167" s="501"/>
    </row>
    <row r="18168" spans="25:25" hidden="1" x14ac:dyDescent="0.25">
      <c r="Y18168" s="501"/>
    </row>
    <row r="18169" spans="25:25" hidden="1" x14ac:dyDescent="0.25">
      <c r="Y18169" s="501"/>
    </row>
    <row r="18170" spans="25:25" hidden="1" x14ac:dyDescent="0.25">
      <c r="Y18170" s="501"/>
    </row>
    <row r="18171" spans="25:25" hidden="1" x14ac:dyDescent="0.25">
      <c r="Y18171" s="501"/>
    </row>
    <row r="18172" spans="25:25" hidden="1" x14ac:dyDescent="0.25">
      <c r="Y18172" s="501"/>
    </row>
    <row r="18173" spans="25:25" hidden="1" x14ac:dyDescent="0.25">
      <c r="Y18173" s="501"/>
    </row>
    <row r="18174" spans="25:25" hidden="1" x14ac:dyDescent="0.25">
      <c r="Y18174" s="501"/>
    </row>
    <row r="18175" spans="25:25" hidden="1" x14ac:dyDescent="0.25">
      <c r="Y18175" s="501"/>
    </row>
    <row r="18176" spans="25:25" hidden="1" x14ac:dyDescent="0.25">
      <c r="Y18176" s="501"/>
    </row>
    <row r="18177" spans="25:25" hidden="1" x14ac:dyDescent="0.25">
      <c r="Y18177" s="501"/>
    </row>
    <row r="18178" spans="25:25" hidden="1" x14ac:dyDescent="0.25">
      <c r="Y18178" s="501"/>
    </row>
    <row r="18179" spans="25:25" hidden="1" x14ac:dyDescent="0.25">
      <c r="Y18179" s="501"/>
    </row>
    <row r="18180" spans="25:25" hidden="1" x14ac:dyDescent="0.25">
      <c r="Y18180" s="501"/>
    </row>
    <row r="18181" spans="25:25" hidden="1" x14ac:dyDescent="0.25">
      <c r="Y18181" s="501"/>
    </row>
    <row r="18182" spans="25:25" hidden="1" x14ac:dyDescent="0.25">
      <c r="Y18182" s="501"/>
    </row>
    <row r="18183" spans="25:25" hidden="1" x14ac:dyDescent="0.25">
      <c r="Y18183" s="501"/>
    </row>
    <row r="18184" spans="25:25" hidden="1" x14ac:dyDescent="0.25">
      <c r="Y18184" s="501"/>
    </row>
    <row r="18185" spans="25:25" hidden="1" x14ac:dyDescent="0.25">
      <c r="Y18185" s="501"/>
    </row>
    <row r="18186" spans="25:25" hidden="1" x14ac:dyDescent="0.25">
      <c r="Y18186" s="501"/>
    </row>
    <row r="18187" spans="25:25" hidden="1" x14ac:dyDescent="0.25">
      <c r="Y18187" s="501"/>
    </row>
    <row r="18188" spans="25:25" hidden="1" x14ac:dyDescent="0.25">
      <c r="Y18188" s="501"/>
    </row>
    <row r="18189" spans="25:25" hidden="1" x14ac:dyDescent="0.25">
      <c r="Y18189" s="501"/>
    </row>
    <row r="18190" spans="25:25" hidden="1" x14ac:dyDescent="0.25">
      <c r="Y18190" s="501"/>
    </row>
    <row r="18191" spans="25:25" hidden="1" x14ac:dyDescent="0.25">
      <c r="Y18191" s="501"/>
    </row>
    <row r="18192" spans="25:25" hidden="1" x14ac:dyDescent="0.25">
      <c r="Y18192" s="501"/>
    </row>
    <row r="18193" spans="25:25" hidden="1" x14ac:dyDescent="0.25">
      <c r="Y18193" s="501"/>
    </row>
    <row r="18194" spans="25:25" hidden="1" x14ac:dyDescent="0.25">
      <c r="Y18194" s="501"/>
    </row>
    <row r="18195" spans="25:25" hidden="1" x14ac:dyDescent="0.25">
      <c r="Y18195" s="501"/>
    </row>
    <row r="18196" spans="25:25" hidden="1" x14ac:dyDescent="0.25">
      <c r="Y18196" s="501"/>
    </row>
    <row r="18197" spans="25:25" hidden="1" x14ac:dyDescent="0.25">
      <c r="Y18197" s="501"/>
    </row>
    <row r="18198" spans="25:25" hidden="1" x14ac:dyDescent="0.25">
      <c r="Y18198" s="501"/>
    </row>
    <row r="18199" spans="25:25" hidden="1" x14ac:dyDescent="0.25">
      <c r="Y18199" s="501"/>
    </row>
    <row r="18200" spans="25:25" hidden="1" x14ac:dyDescent="0.25">
      <c r="Y18200" s="501"/>
    </row>
    <row r="18201" spans="25:25" hidden="1" x14ac:dyDescent="0.25">
      <c r="Y18201" s="501"/>
    </row>
    <row r="18202" spans="25:25" hidden="1" x14ac:dyDescent="0.25">
      <c r="Y18202" s="501"/>
    </row>
    <row r="18203" spans="25:25" hidden="1" x14ac:dyDescent="0.25">
      <c r="Y18203" s="501"/>
    </row>
    <row r="18204" spans="25:25" hidden="1" x14ac:dyDescent="0.25">
      <c r="Y18204" s="501"/>
    </row>
    <row r="18205" spans="25:25" hidden="1" x14ac:dyDescent="0.25">
      <c r="Y18205" s="501"/>
    </row>
    <row r="18206" spans="25:25" hidden="1" x14ac:dyDescent="0.25">
      <c r="Y18206" s="501"/>
    </row>
    <row r="18207" spans="25:25" hidden="1" x14ac:dyDescent="0.25">
      <c r="Y18207" s="501"/>
    </row>
    <row r="18208" spans="25:25" hidden="1" x14ac:dyDescent="0.25">
      <c r="Y18208" s="501"/>
    </row>
    <row r="18209" spans="25:25" hidden="1" x14ac:dyDescent="0.25">
      <c r="Y18209" s="501"/>
    </row>
    <row r="18210" spans="25:25" hidden="1" x14ac:dyDescent="0.25">
      <c r="Y18210" s="501"/>
    </row>
    <row r="18211" spans="25:25" hidden="1" x14ac:dyDescent="0.25">
      <c r="Y18211" s="501"/>
    </row>
    <row r="18212" spans="25:25" hidden="1" x14ac:dyDescent="0.25">
      <c r="Y18212" s="501"/>
    </row>
    <row r="18213" spans="25:25" hidden="1" x14ac:dyDescent="0.25">
      <c r="Y18213" s="501"/>
    </row>
    <row r="18214" spans="25:25" hidden="1" x14ac:dyDescent="0.25">
      <c r="Y18214" s="501"/>
    </row>
    <row r="18215" spans="25:25" hidden="1" x14ac:dyDescent="0.25">
      <c r="Y18215" s="501"/>
    </row>
    <row r="18216" spans="25:25" hidden="1" x14ac:dyDescent="0.25">
      <c r="Y18216" s="501"/>
    </row>
    <row r="18217" spans="25:25" hidden="1" x14ac:dyDescent="0.25">
      <c r="Y18217" s="501"/>
    </row>
    <row r="18218" spans="25:25" hidden="1" x14ac:dyDescent="0.25">
      <c r="Y18218" s="501"/>
    </row>
    <row r="18219" spans="25:25" hidden="1" x14ac:dyDescent="0.25">
      <c r="Y18219" s="501"/>
    </row>
    <row r="18220" spans="25:25" hidden="1" x14ac:dyDescent="0.25">
      <c r="Y18220" s="501"/>
    </row>
    <row r="18221" spans="25:25" hidden="1" x14ac:dyDescent="0.25">
      <c r="Y18221" s="501"/>
    </row>
    <row r="18222" spans="25:25" hidden="1" x14ac:dyDescent="0.25">
      <c r="Y18222" s="501"/>
    </row>
    <row r="18223" spans="25:25" hidden="1" x14ac:dyDescent="0.25">
      <c r="Y18223" s="501"/>
    </row>
    <row r="18224" spans="25:25" hidden="1" x14ac:dyDescent="0.25">
      <c r="Y18224" s="501"/>
    </row>
    <row r="18225" spans="25:25" hidden="1" x14ac:dyDescent="0.25">
      <c r="Y18225" s="501"/>
    </row>
    <row r="18226" spans="25:25" hidden="1" x14ac:dyDescent="0.25">
      <c r="Y18226" s="501"/>
    </row>
    <row r="18227" spans="25:25" hidden="1" x14ac:dyDescent="0.25">
      <c r="Y18227" s="501"/>
    </row>
    <row r="18228" spans="25:25" hidden="1" x14ac:dyDescent="0.25">
      <c r="Y18228" s="501"/>
    </row>
    <row r="18229" spans="25:25" hidden="1" x14ac:dyDescent="0.25">
      <c r="Y18229" s="501"/>
    </row>
    <row r="18230" spans="25:25" hidden="1" x14ac:dyDescent="0.25">
      <c r="Y18230" s="501"/>
    </row>
    <row r="18231" spans="25:25" hidden="1" x14ac:dyDescent="0.25">
      <c r="Y18231" s="501"/>
    </row>
    <row r="18232" spans="25:25" hidden="1" x14ac:dyDescent="0.25">
      <c r="Y18232" s="501"/>
    </row>
    <row r="18233" spans="25:25" hidden="1" x14ac:dyDescent="0.25">
      <c r="Y18233" s="501"/>
    </row>
    <row r="18234" spans="25:25" hidden="1" x14ac:dyDescent="0.25">
      <c r="Y18234" s="501"/>
    </row>
    <row r="18235" spans="25:25" hidden="1" x14ac:dyDescent="0.25">
      <c r="Y18235" s="501"/>
    </row>
    <row r="18236" spans="25:25" hidden="1" x14ac:dyDescent="0.25">
      <c r="Y18236" s="501"/>
    </row>
    <row r="18237" spans="25:25" hidden="1" x14ac:dyDescent="0.25">
      <c r="Y18237" s="501"/>
    </row>
    <row r="18238" spans="25:25" hidden="1" x14ac:dyDescent="0.25">
      <c r="Y18238" s="501"/>
    </row>
    <row r="18239" spans="25:25" hidden="1" x14ac:dyDescent="0.25">
      <c r="Y18239" s="501"/>
    </row>
    <row r="18240" spans="25:25" hidden="1" x14ac:dyDescent="0.25">
      <c r="Y18240" s="501"/>
    </row>
    <row r="18241" spans="25:25" hidden="1" x14ac:dyDescent="0.25">
      <c r="Y18241" s="501"/>
    </row>
    <row r="18242" spans="25:25" hidden="1" x14ac:dyDescent="0.25">
      <c r="Y18242" s="501"/>
    </row>
    <row r="18243" spans="25:25" hidden="1" x14ac:dyDescent="0.25">
      <c r="Y18243" s="501"/>
    </row>
    <row r="18244" spans="25:25" hidden="1" x14ac:dyDescent="0.25">
      <c r="Y18244" s="501"/>
    </row>
    <row r="18245" spans="25:25" hidden="1" x14ac:dyDescent="0.25">
      <c r="Y18245" s="501"/>
    </row>
    <row r="18246" spans="25:25" hidden="1" x14ac:dyDescent="0.25">
      <c r="Y18246" s="501"/>
    </row>
    <row r="18247" spans="25:25" hidden="1" x14ac:dyDescent="0.25">
      <c r="Y18247" s="501"/>
    </row>
    <row r="18248" spans="25:25" hidden="1" x14ac:dyDescent="0.25">
      <c r="Y18248" s="501"/>
    </row>
    <row r="18249" spans="25:25" hidden="1" x14ac:dyDescent="0.25">
      <c r="Y18249" s="501"/>
    </row>
    <row r="18250" spans="25:25" hidden="1" x14ac:dyDescent="0.25">
      <c r="Y18250" s="501"/>
    </row>
    <row r="18251" spans="25:25" hidden="1" x14ac:dyDescent="0.25">
      <c r="Y18251" s="501"/>
    </row>
    <row r="18252" spans="25:25" hidden="1" x14ac:dyDescent="0.25">
      <c r="Y18252" s="501"/>
    </row>
    <row r="18253" spans="25:25" hidden="1" x14ac:dyDescent="0.25">
      <c r="Y18253" s="501"/>
    </row>
    <row r="18254" spans="25:25" hidden="1" x14ac:dyDescent="0.25">
      <c r="Y18254" s="501"/>
    </row>
    <row r="18255" spans="25:25" hidden="1" x14ac:dyDescent="0.25">
      <c r="Y18255" s="501"/>
    </row>
    <row r="18256" spans="25:25" hidden="1" x14ac:dyDescent="0.25">
      <c r="Y18256" s="501"/>
    </row>
    <row r="18257" spans="25:25" hidden="1" x14ac:dyDescent="0.25">
      <c r="Y18257" s="501"/>
    </row>
    <row r="18258" spans="25:25" hidden="1" x14ac:dyDescent="0.25">
      <c r="Y18258" s="501"/>
    </row>
    <row r="18259" spans="25:25" hidden="1" x14ac:dyDescent="0.25">
      <c r="Y18259" s="501"/>
    </row>
    <row r="18260" spans="25:25" hidden="1" x14ac:dyDescent="0.25">
      <c r="Y18260" s="501"/>
    </row>
    <row r="18261" spans="25:25" hidden="1" x14ac:dyDescent="0.25">
      <c r="Y18261" s="501"/>
    </row>
    <row r="18262" spans="25:25" hidden="1" x14ac:dyDescent="0.25">
      <c r="Y18262" s="501"/>
    </row>
    <row r="18263" spans="25:25" hidden="1" x14ac:dyDescent="0.25">
      <c r="Y18263" s="501"/>
    </row>
    <row r="18264" spans="25:25" hidden="1" x14ac:dyDescent="0.25">
      <c r="Y18264" s="501"/>
    </row>
    <row r="18265" spans="25:25" hidden="1" x14ac:dyDescent="0.25">
      <c r="Y18265" s="501"/>
    </row>
    <row r="18266" spans="25:25" hidden="1" x14ac:dyDescent="0.25">
      <c r="Y18266" s="501"/>
    </row>
    <row r="18267" spans="25:25" hidden="1" x14ac:dyDescent="0.25">
      <c r="Y18267" s="501"/>
    </row>
    <row r="18268" spans="25:25" hidden="1" x14ac:dyDescent="0.25">
      <c r="Y18268" s="501"/>
    </row>
    <row r="18269" spans="25:25" hidden="1" x14ac:dyDescent="0.25">
      <c r="Y18269" s="501"/>
    </row>
    <row r="18270" spans="25:25" hidden="1" x14ac:dyDescent="0.25">
      <c r="Y18270" s="501"/>
    </row>
    <row r="18271" spans="25:25" hidden="1" x14ac:dyDescent="0.25">
      <c r="Y18271" s="501"/>
    </row>
    <row r="18272" spans="25:25" hidden="1" x14ac:dyDescent="0.25">
      <c r="Y18272" s="501"/>
    </row>
    <row r="18273" spans="25:25" hidden="1" x14ac:dyDescent="0.25">
      <c r="Y18273" s="501"/>
    </row>
    <row r="18274" spans="25:25" hidden="1" x14ac:dyDescent="0.25">
      <c r="Y18274" s="501"/>
    </row>
    <row r="18275" spans="25:25" hidden="1" x14ac:dyDescent="0.25">
      <c r="Y18275" s="501"/>
    </row>
    <row r="18276" spans="25:25" hidden="1" x14ac:dyDescent="0.25">
      <c r="Y18276" s="501"/>
    </row>
    <row r="18277" spans="25:25" hidden="1" x14ac:dyDescent="0.25">
      <c r="Y18277" s="501"/>
    </row>
    <row r="18278" spans="25:25" hidden="1" x14ac:dyDescent="0.25">
      <c r="Y18278" s="501"/>
    </row>
    <row r="18279" spans="25:25" hidden="1" x14ac:dyDescent="0.25">
      <c r="Y18279" s="501"/>
    </row>
    <row r="18280" spans="25:25" hidden="1" x14ac:dyDescent="0.25">
      <c r="Y18280" s="501"/>
    </row>
    <row r="18281" spans="25:25" hidden="1" x14ac:dyDescent="0.25">
      <c r="Y18281" s="501"/>
    </row>
    <row r="18282" spans="25:25" hidden="1" x14ac:dyDescent="0.25">
      <c r="Y18282" s="501"/>
    </row>
    <row r="18283" spans="25:25" hidden="1" x14ac:dyDescent="0.25">
      <c r="Y18283" s="501"/>
    </row>
    <row r="18284" spans="25:25" hidden="1" x14ac:dyDescent="0.25">
      <c r="Y18284" s="501"/>
    </row>
    <row r="18285" spans="25:25" hidden="1" x14ac:dyDescent="0.25">
      <c r="Y18285" s="501"/>
    </row>
    <row r="18286" spans="25:25" hidden="1" x14ac:dyDescent="0.25">
      <c r="Y18286" s="501"/>
    </row>
    <row r="18287" spans="25:25" hidden="1" x14ac:dyDescent="0.25">
      <c r="Y18287" s="501"/>
    </row>
    <row r="18288" spans="25:25" hidden="1" x14ac:dyDescent="0.25">
      <c r="Y18288" s="501"/>
    </row>
    <row r="18289" spans="25:25" hidden="1" x14ac:dyDescent="0.25">
      <c r="Y18289" s="501"/>
    </row>
    <row r="18290" spans="25:25" hidden="1" x14ac:dyDescent="0.25">
      <c r="Y18290" s="501"/>
    </row>
    <row r="18291" spans="25:25" hidden="1" x14ac:dyDescent="0.25">
      <c r="Y18291" s="501"/>
    </row>
    <row r="18292" spans="25:25" hidden="1" x14ac:dyDescent="0.25">
      <c r="Y18292" s="501"/>
    </row>
    <row r="18293" spans="25:25" hidden="1" x14ac:dyDescent="0.25">
      <c r="Y18293" s="501"/>
    </row>
    <row r="18294" spans="25:25" hidden="1" x14ac:dyDescent="0.25">
      <c r="Y18294" s="501"/>
    </row>
    <row r="18295" spans="25:25" hidden="1" x14ac:dyDescent="0.25">
      <c r="Y18295" s="501"/>
    </row>
    <row r="18296" spans="25:25" hidden="1" x14ac:dyDescent="0.25">
      <c r="Y18296" s="501"/>
    </row>
    <row r="18297" spans="25:25" hidden="1" x14ac:dyDescent="0.25">
      <c r="Y18297" s="501"/>
    </row>
    <row r="18298" spans="25:25" hidden="1" x14ac:dyDescent="0.25">
      <c r="Y18298" s="501"/>
    </row>
    <row r="18299" spans="25:25" hidden="1" x14ac:dyDescent="0.25">
      <c r="Y18299" s="501"/>
    </row>
    <row r="18300" spans="25:25" hidden="1" x14ac:dyDescent="0.25">
      <c r="Y18300" s="501"/>
    </row>
    <row r="18301" spans="25:25" hidden="1" x14ac:dyDescent="0.25">
      <c r="Y18301" s="501"/>
    </row>
    <row r="18302" spans="25:25" hidden="1" x14ac:dyDescent="0.25">
      <c r="Y18302" s="501"/>
    </row>
    <row r="18303" spans="25:25" hidden="1" x14ac:dyDescent="0.25">
      <c r="Y18303" s="501"/>
    </row>
    <row r="18304" spans="25:25" hidden="1" x14ac:dyDescent="0.25">
      <c r="Y18304" s="501"/>
    </row>
    <row r="18305" spans="25:25" hidden="1" x14ac:dyDescent="0.25">
      <c r="Y18305" s="501"/>
    </row>
    <row r="18306" spans="25:25" hidden="1" x14ac:dyDescent="0.25">
      <c r="Y18306" s="501"/>
    </row>
    <row r="18307" spans="25:25" hidden="1" x14ac:dyDescent="0.25">
      <c r="Y18307" s="501"/>
    </row>
    <row r="18308" spans="25:25" hidden="1" x14ac:dyDescent="0.25">
      <c r="Y18308" s="501"/>
    </row>
    <row r="18309" spans="25:25" hidden="1" x14ac:dyDescent="0.25">
      <c r="Y18309" s="501"/>
    </row>
    <row r="18310" spans="25:25" hidden="1" x14ac:dyDescent="0.25">
      <c r="Y18310" s="501"/>
    </row>
    <row r="18311" spans="25:25" hidden="1" x14ac:dyDescent="0.25">
      <c r="Y18311" s="501"/>
    </row>
    <row r="18312" spans="25:25" hidden="1" x14ac:dyDescent="0.25">
      <c r="Y18312" s="501"/>
    </row>
    <row r="18313" spans="25:25" hidden="1" x14ac:dyDescent="0.25">
      <c r="Y18313" s="501"/>
    </row>
    <row r="18314" spans="25:25" hidden="1" x14ac:dyDescent="0.25">
      <c r="Y18314" s="501"/>
    </row>
    <row r="18315" spans="25:25" hidden="1" x14ac:dyDescent="0.25">
      <c r="Y18315" s="501"/>
    </row>
    <row r="18316" spans="25:25" hidden="1" x14ac:dyDescent="0.25">
      <c r="Y18316" s="501"/>
    </row>
    <row r="18317" spans="25:25" hidden="1" x14ac:dyDescent="0.25">
      <c r="Y18317" s="501"/>
    </row>
    <row r="18318" spans="25:25" hidden="1" x14ac:dyDescent="0.25">
      <c r="Y18318" s="501"/>
    </row>
    <row r="18319" spans="25:25" hidden="1" x14ac:dyDescent="0.25">
      <c r="Y18319" s="501"/>
    </row>
    <row r="18320" spans="25:25" hidden="1" x14ac:dyDescent="0.25">
      <c r="Y18320" s="501"/>
    </row>
    <row r="18321" spans="25:25" hidden="1" x14ac:dyDescent="0.25">
      <c r="Y18321" s="501"/>
    </row>
    <row r="18322" spans="25:25" hidden="1" x14ac:dyDescent="0.25">
      <c r="Y18322" s="501"/>
    </row>
    <row r="18323" spans="25:25" hidden="1" x14ac:dyDescent="0.25">
      <c r="Y18323" s="501"/>
    </row>
    <row r="18324" spans="25:25" hidden="1" x14ac:dyDescent="0.25">
      <c r="Y18324" s="501"/>
    </row>
    <row r="18325" spans="25:25" hidden="1" x14ac:dyDescent="0.25">
      <c r="Y18325" s="501"/>
    </row>
    <row r="18326" spans="25:25" hidden="1" x14ac:dyDescent="0.25">
      <c r="Y18326" s="501"/>
    </row>
    <row r="18327" spans="25:25" hidden="1" x14ac:dyDescent="0.25">
      <c r="Y18327" s="501"/>
    </row>
    <row r="18328" spans="25:25" hidden="1" x14ac:dyDescent="0.25">
      <c r="Y18328" s="501"/>
    </row>
    <row r="18329" spans="25:25" hidden="1" x14ac:dyDescent="0.25">
      <c r="Y18329" s="501"/>
    </row>
    <row r="18330" spans="25:25" hidden="1" x14ac:dyDescent="0.25">
      <c r="Y18330" s="501"/>
    </row>
    <row r="18331" spans="25:25" hidden="1" x14ac:dyDescent="0.25">
      <c r="Y18331" s="501"/>
    </row>
    <row r="18332" spans="25:25" hidden="1" x14ac:dyDescent="0.25">
      <c r="Y18332" s="501"/>
    </row>
    <row r="18333" spans="25:25" hidden="1" x14ac:dyDescent="0.25">
      <c r="Y18333" s="501"/>
    </row>
    <row r="18334" spans="25:25" hidden="1" x14ac:dyDescent="0.25">
      <c r="Y18334" s="501"/>
    </row>
    <row r="18335" spans="25:25" hidden="1" x14ac:dyDescent="0.25">
      <c r="Y18335" s="501"/>
    </row>
    <row r="18336" spans="25:25" hidden="1" x14ac:dyDescent="0.25">
      <c r="Y18336" s="501"/>
    </row>
    <row r="18337" spans="25:25" hidden="1" x14ac:dyDescent="0.25">
      <c r="Y18337" s="501"/>
    </row>
    <row r="18338" spans="25:25" hidden="1" x14ac:dyDescent="0.25">
      <c r="Y18338" s="501"/>
    </row>
    <row r="18339" spans="25:25" hidden="1" x14ac:dyDescent="0.25">
      <c r="Y18339" s="501"/>
    </row>
    <row r="18340" spans="25:25" hidden="1" x14ac:dyDescent="0.25">
      <c r="Y18340" s="501"/>
    </row>
    <row r="18341" spans="25:25" hidden="1" x14ac:dyDescent="0.25">
      <c r="Y18341" s="501"/>
    </row>
    <row r="18342" spans="25:25" hidden="1" x14ac:dyDescent="0.25">
      <c r="Y18342" s="501"/>
    </row>
    <row r="18343" spans="25:25" hidden="1" x14ac:dyDescent="0.25">
      <c r="Y18343" s="501"/>
    </row>
    <row r="18344" spans="25:25" hidden="1" x14ac:dyDescent="0.25">
      <c r="Y18344" s="501"/>
    </row>
    <row r="18345" spans="25:25" hidden="1" x14ac:dyDescent="0.25">
      <c r="Y18345" s="501"/>
    </row>
    <row r="18346" spans="25:25" hidden="1" x14ac:dyDescent="0.25">
      <c r="Y18346" s="501"/>
    </row>
    <row r="18347" spans="25:25" hidden="1" x14ac:dyDescent="0.25">
      <c r="Y18347" s="501"/>
    </row>
    <row r="18348" spans="25:25" hidden="1" x14ac:dyDescent="0.25">
      <c r="Y18348" s="501"/>
    </row>
    <row r="18349" spans="25:25" hidden="1" x14ac:dyDescent="0.25">
      <c r="Y18349" s="501"/>
    </row>
    <row r="18350" spans="25:25" hidden="1" x14ac:dyDescent="0.25">
      <c r="Y18350" s="501"/>
    </row>
    <row r="18351" spans="25:25" hidden="1" x14ac:dyDescent="0.25">
      <c r="Y18351" s="501"/>
    </row>
    <row r="18352" spans="25:25" hidden="1" x14ac:dyDescent="0.25">
      <c r="Y18352" s="501"/>
    </row>
    <row r="18353" spans="25:25" hidden="1" x14ac:dyDescent="0.25">
      <c r="Y18353" s="501"/>
    </row>
    <row r="18354" spans="25:25" hidden="1" x14ac:dyDescent="0.25">
      <c r="Y18354" s="501"/>
    </row>
    <row r="18355" spans="25:25" hidden="1" x14ac:dyDescent="0.25">
      <c r="Y18355" s="501"/>
    </row>
    <row r="18356" spans="25:25" hidden="1" x14ac:dyDescent="0.25">
      <c r="Y18356" s="501"/>
    </row>
    <row r="18357" spans="25:25" hidden="1" x14ac:dyDescent="0.25">
      <c r="Y18357" s="501"/>
    </row>
    <row r="18358" spans="25:25" hidden="1" x14ac:dyDescent="0.25">
      <c r="Y18358" s="501"/>
    </row>
    <row r="18359" spans="25:25" hidden="1" x14ac:dyDescent="0.25">
      <c r="Y18359" s="501"/>
    </row>
    <row r="18360" spans="25:25" hidden="1" x14ac:dyDescent="0.25">
      <c r="Y18360" s="501"/>
    </row>
    <row r="18361" spans="25:25" hidden="1" x14ac:dyDescent="0.25">
      <c r="Y18361" s="501"/>
    </row>
    <row r="18362" spans="25:25" hidden="1" x14ac:dyDescent="0.25">
      <c r="Y18362" s="501"/>
    </row>
    <row r="18363" spans="25:25" hidden="1" x14ac:dyDescent="0.25">
      <c r="Y18363" s="501"/>
    </row>
    <row r="18364" spans="25:25" hidden="1" x14ac:dyDescent="0.25">
      <c r="Y18364" s="501"/>
    </row>
    <row r="18365" spans="25:25" hidden="1" x14ac:dyDescent="0.25">
      <c r="Y18365" s="501"/>
    </row>
    <row r="18366" spans="25:25" hidden="1" x14ac:dyDescent="0.25">
      <c r="Y18366" s="501"/>
    </row>
    <row r="18367" spans="25:25" hidden="1" x14ac:dyDescent="0.25">
      <c r="Y18367" s="501"/>
    </row>
    <row r="18368" spans="25:25" hidden="1" x14ac:dyDescent="0.25">
      <c r="Y18368" s="501"/>
    </row>
    <row r="18369" spans="25:25" hidden="1" x14ac:dyDescent="0.25">
      <c r="Y18369" s="501"/>
    </row>
    <row r="18370" spans="25:25" hidden="1" x14ac:dyDescent="0.25">
      <c r="Y18370" s="501"/>
    </row>
    <row r="18371" spans="25:25" hidden="1" x14ac:dyDescent="0.25">
      <c r="Y18371" s="501"/>
    </row>
    <row r="18372" spans="25:25" hidden="1" x14ac:dyDescent="0.25">
      <c r="Y18372" s="501"/>
    </row>
    <row r="18373" spans="25:25" hidden="1" x14ac:dyDescent="0.25">
      <c r="Y18373" s="501"/>
    </row>
    <row r="18374" spans="25:25" hidden="1" x14ac:dyDescent="0.25">
      <c r="Y18374" s="501"/>
    </row>
    <row r="18375" spans="25:25" hidden="1" x14ac:dyDescent="0.25">
      <c r="Y18375" s="501"/>
    </row>
    <row r="18376" spans="25:25" hidden="1" x14ac:dyDescent="0.25">
      <c r="Y18376" s="501"/>
    </row>
    <row r="18377" spans="25:25" hidden="1" x14ac:dyDescent="0.25">
      <c r="Y18377" s="501"/>
    </row>
    <row r="18378" spans="25:25" hidden="1" x14ac:dyDescent="0.25">
      <c r="Y18378" s="501"/>
    </row>
    <row r="18379" spans="25:25" hidden="1" x14ac:dyDescent="0.25">
      <c r="Y18379" s="501"/>
    </row>
    <row r="18380" spans="25:25" hidden="1" x14ac:dyDescent="0.25">
      <c r="Y18380" s="501"/>
    </row>
    <row r="18381" spans="25:25" hidden="1" x14ac:dyDescent="0.25">
      <c r="Y18381" s="501"/>
    </row>
    <row r="18382" spans="25:25" hidden="1" x14ac:dyDescent="0.25">
      <c r="Y18382" s="501"/>
    </row>
    <row r="18383" spans="25:25" hidden="1" x14ac:dyDescent="0.25">
      <c r="Y18383" s="501"/>
    </row>
    <row r="18384" spans="25:25" hidden="1" x14ac:dyDescent="0.25">
      <c r="Y18384" s="501"/>
    </row>
    <row r="18385" spans="25:25" hidden="1" x14ac:dyDescent="0.25">
      <c r="Y18385" s="501"/>
    </row>
    <row r="18386" spans="25:25" hidden="1" x14ac:dyDescent="0.25">
      <c r="Y18386" s="501"/>
    </row>
    <row r="18387" spans="25:25" hidden="1" x14ac:dyDescent="0.25">
      <c r="Y18387" s="501"/>
    </row>
    <row r="18388" spans="25:25" hidden="1" x14ac:dyDescent="0.25">
      <c r="Y18388" s="501"/>
    </row>
    <row r="18389" spans="25:25" hidden="1" x14ac:dyDescent="0.25">
      <c r="Y18389" s="501"/>
    </row>
    <row r="18390" spans="25:25" hidden="1" x14ac:dyDescent="0.25">
      <c r="Y18390" s="501"/>
    </row>
    <row r="18391" spans="25:25" hidden="1" x14ac:dyDescent="0.25">
      <c r="Y18391" s="501"/>
    </row>
    <row r="18392" spans="25:25" hidden="1" x14ac:dyDescent="0.25">
      <c r="Y18392" s="501"/>
    </row>
    <row r="18393" spans="25:25" hidden="1" x14ac:dyDescent="0.25">
      <c r="Y18393" s="501"/>
    </row>
    <row r="18394" spans="25:25" hidden="1" x14ac:dyDescent="0.25">
      <c r="Y18394" s="501"/>
    </row>
    <row r="18395" spans="25:25" hidden="1" x14ac:dyDescent="0.25">
      <c r="Y18395" s="501"/>
    </row>
    <row r="18396" spans="25:25" hidden="1" x14ac:dyDescent="0.25">
      <c r="Y18396" s="501"/>
    </row>
    <row r="18397" spans="25:25" hidden="1" x14ac:dyDescent="0.25">
      <c r="Y18397" s="501"/>
    </row>
    <row r="18398" spans="25:25" hidden="1" x14ac:dyDescent="0.25">
      <c r="Y18398" s="501"/>
    </row>
    <row r="18399" spans="25:25" hidden="1" x14ac:dyDescent="0.25">
      <c r="Y18399" s="501"/>
    </row>
    <row r="18400" spans="25:25" hidden="1" x14ac:dyDescent="0.25">
      <c r="Y18400" s="501"/>
    </row>
    <row r="18401" spans="25:25" hidden="1" x14ac:dyDescent="0.25">
      <c r="Y18401" s="501"/>
    </row>
    <row r="18402" spans="25:25" hidden="1" x14ac:dyDescent="0.25">
      <c r="Y18402" s="501"/>
    </row>
    <row r="18403" spans="25:25" hidden="1" x14ac:dyDescent="0.25">
      <c r="Y18403" s="501"/>
    </row>
    <row r="18404" spans="25:25" hidden="1" x14ac:dyDescent="0.25">
      <c r="Y18404" s="501"/>
    </row>
    <row r="18405" spans="25:25" hidden="1" x14ac:dyDescent="0.25">
      <c r="Y18405" s="501"/>
    </row>
    <row r="18406" spans="25:25" hidden="1" x14ac:dyDescent="0.25">
      <c r="Y18406" s="501"/>
    </row>
    <row r="18407" spans="25:25" hidden="1" x14ac:dyDescent="0.25">
      <c r="Y18407" s="501"/>
    </row>
    <row r="18408" spans="25:25" hidden="1" x14ac:dyDescent="0.25">
      <c r="Y18408" s="501"/>
    </row>
    <row r="18409" spans="25:25" hidden="1" x14ac:dyDescent="0.25">
      <c r="Y18409" s="501"/>
    </row>
    <row r="18410" spans="25:25" hidden="1" x14ac:dyDescent="0.25">
      <c r="Y18410" s="501"/>
    </row>
    <row r="18411" spans="25:25" hidden="1" x14ac:dyDescent="0.25">
      <c r="Y18411" s="501"/>
    </row>
    <row r="18412" spans="25:25" hidden="1" x14ac:dyDescent="0.25">
      <c r="Y18412" s="501"/>
    </row>
    <row r="18413" spans="25:25" hidden="1" x14ac:dyDescent="0.25">
      <c r="Y18413" s="501"/>
    </row>
    <row r="18414" spans="25:25" hidden="1" x14ac:dyDescent="0.25">
      <c r="Y18414" s="501"/>
    </row>
    <row r="18415" spans="25:25" hidden="1" x14ac:dyDescent="0.25">
      <c r="Y18415" s="501"/>
    </row>
    <row r="18416" spans="25:25" hidden="1" x14ac:dyDescent="0.25">
      <c r="Y18416" s="501"/>
    </row>
    <row r="18417" spans="25:25" hidden="1" x14ac:dyDescent="0.25">
      <c r="Y18417" s="501"/>
    </row>
    <row r="18418" spans="25:25" hidden="1" x14ac:dyDescent="0.25">
      <c r="Y18418" s="501"/>
    </row>
    <row r="18419" spans="25:25" hidden="1" x14ac:dyDescent="0.25">
      <c r="Y18419" s="501"/>
    </row>
    <row r="18420" spans="25:25" hidden="1" x14ac:dyDescent="0.25">
      <c r="Y18420" s="501"/>
    </row>
    <row r="18421" spans="25:25" hidden="1" x14ac:dyDescent="0.25">
      <c r="Y18421" s="501"/>
    </row>
    <row r="18422" spans="25:25" hidden="1" x14ac:dyDescent="0.25">
      <c r="Y18422" s="501"/>
    </row>
    <row r="18423" spans="25:25" hidden="1" x14ac:dyDescent="0.25">
      <c r="Y18423" s="501"/>
    </row>
    <row r="18424" spans="25:25" hidden="1" x14ac:dyDescent="0.25">
      <c r="Y18424" s="501"/>
    </row>
    <row r="18425" spans="25:25" hidden="1" x14ac:dyDescent="0.25">
      <c r="Y18425" s="501"/>
    </row>
    <row r="18426" spans="25:25" hidden="1" x14ac:dyDescent="0.25">
      <c r="Y18426" s="501"/>
    </row>
    <row r="18427" spans="25:25" hidden="1" x14ac:dyDescent="0.25">
      <c r="Y18427" s="501"/>
    </row>
    <row r="18428" spans="25:25" hidden="1" x14ac:dyDescent="0.25">
      <c r="Y18428" s="501"/>
    </row>
    <row r="18429" spans="25:25" hidden="1" x14ac:dyDescent="0.25">
      <c r="Y18429" s="501"/>
    </row>
    <row r="18430" spans="25:25" hidden="1" x14ac:dyDescent="0.25">
      <c r="Y18430" s="501"/>
    </row>
    <row r="18431" spans="25:25" hidden="1" x14ac:dyDescent="0.25">
      <c r="Y18431" s="501"/>
    </row>
    <row r="18432" spans="25:25" hidden="1" x14ac:dyDescent="0.25">
      <c r="Y18432" s="501"/>
    </row>
    <row r="18433" spans="25:25" hidden="1" x14ac:dyDescent="0.25">
      <c r="Y18433" s="501"/>
    </row>
    <row r="18434" spans="25:25" hidden="1" x14ac:dyDescent="0.25">
      <c r="Y18434" s="501"/>
    </row>
    <row r="18435" spans="25:25" hidden="1" x14ac:dyDescent="0.25">
      <c r="Y18435" s="501"/>
    </row>
    <row r="18436" spans="25:25" hidden="1" x14ac:dyDescent="0.25">
      <c r="Y18436" s="501"/>
    </row>
    <row r="18437" spans="25:25" hidden="1" x14ac:dyDescent="0.25">
      <c r="Y18437" s="501"/>
    </row>
    <row r="18438" spans="25:25" hidden="1" x14ac:dyDescent="0.25">
      <c r="Y18438" s="501"/>
    </row>
    <row r="18439" spans="25:25" hidden="1" x14ac:dyDescent="0.25">
      <c r="Y18439" s="501"/>
    </row>
    <row r="18440" spans="25:25" hidden="1" x14ac:dyDescent="0.25">
      <c r="Y18440" s="501"/>
    </row>
    <row r="18441" spans="25:25" hidden="1" x14ac:dyDescent="0.25">
      <c r="Y18441" s="501"/>
    </row>
    <row r="18442" spans="25:25" hidden="1" x14ac:dyDescent="0.25">
      <c r="Y18442" s="501"/>
    </row>
    <row r="18443" spans="25:25" hidden="1" x14ac:dyDescent="0.25">
      <c r="Y18443" s="501"/>
    </row>
    <row r="18444" spans="25:25" hidden="1" x14ac:dyDescent="0.25">
      <c r="Y18444" s="501"/>
    </row>
    <row r="18445" spans="25:25" hidden="1" x14ac:dyDescent="0.25">
      <c r="Y18445" s="501"/>
    </row>
    <row r="18446" spans="25:25" hidden="1" x14ac:dyDescent="0.25">
      <c r="Y18446" s="501"/>
    </row>
    <row r="18447" spans="25:25" hidden="1" x14ac:dyDescent="0.25">
      <c r="Y18447" s="501"/>
    </row>
    <row r="18448" spans="25:25" hidden="1" x14ac:dyDescent="0.25">
      <c r="Y18448" s="501"/>
    </row>
    <row r="18449" spans="25:25" hidden="1" x14ac:dyDescent="0.25">
      <c r="Y18449" s="501"/>
    </row>
    <row r="18450" spans="25:25" hidden="1" x14ac:dyDescent="0.25">
      <c r="Y18450" s="501"/>
    </row>
    <row r="18451" spans="25:25" hidden="1" x14ac:dyDescent="0.25">
      <c r="Y18451" s="501"/>
    </row>
    <row r="18452" spans="25:25" hidden="1" x14ac:dyDescent="0.25">
      <c r="Y18452" s="501"/>
    </row>
    <row r="18453" spans="25:25" hidden="1" x14ac:dyDescent="0.25">
      <c r="Y18453" s="501"/>
    </row>
    <row r="18454" spans="25:25" hidden="1" x14ac:dyDescent="0.25">
      <c r="Y18454" s="501"/>
    </row>
    <row r="18455" spans="25:25" hidden="1" x14ac:dyDescent="0.25">
      <c r="Y18455" s="501"/>
    </row>
    <row r="18456" spans="25:25" hidden="1" x14ac:dyDescent="0.25">
      <c r="Y18456" s="501"/>
    </row>
    <row r="18457" spans="25:25" hidden="1" x14ac:dyDescent="0.25">
      <c r="Y18457" s="501"/>
    </row>
    <row r="18458" spans="25:25" hidden="1" x14ac:dyDescent="0.25">
      <c r="Y18458" s="501"/>
    </row>
    <row r="18459" spans="25:25" hidden="1" x14ac:dyDescent="0.25">
      <c r="Y18459" s="501"/>
    </row>
    <row r="18460" spans="25:25" hidden="1" x14ac:dyDescent="0.25">
      <c r="Y18460" s="501"/>
    </row>
    <row r="18461" spans="25:25" hidden="1" x14ac:dyDescent="0.25">
      <c r="Y18461" s="501"/>
    </row>
    <row r="18462" spans="25:25" hidden="1" x14ac:dyDescent="0.25">
      <c r="Y18462" s="501"/>
    </row>
    <row r="18463" spans="25:25" hidden="1" x14ac:dyDescent="0.25">
      <c r="Y18463" s="501"/>
    </row>
    <row r="18464" spans="25:25" hidden="1" x14ac:dyDescent="0.25">
      <c r="Y18464" s="501"/>
    </row>
    <row r="18465" spans="25:25" hidden="1" x14ac:dyDescent="0.25">
      <c r="Y18465" s="501"/>
    </row>
    <row r="18466" spans="25:25" hidden="1" x14ac:dyDescent="0.25">
      <c r="Y18466" s="501"/>
    </row>
    <row r="18467" spans="25:25" hidden="1" x14ac:dyDescent="0.25">
      <c r="Y18467" s="501"/>
    </row>
    <row r="18468" spans="25:25" hidden="1" x14ac:dyDescent="0.25">
      <c r="Y18468" s="501"/>
    </row>
    <row r="18469" spans="25:25" hidden="1" x14ac:dyDescent="0.25">
      <c r="Y18469" s="501"/>
    </row>
    <row r="18470" spans="25:25" hidden="1" x14ac:dyDescent="0.25">
      <c r="Y18470" s="501"/>
    </row>
    <row r="18471" spans="25:25" hidden="1" x14ac:dyDescent="0.25">
      <c r="Y18471" s="501"/>
    </row>
    <row r="18472" spans="25:25" hidden="1" x14ac:dyDescent="0.25">
      <c r="Y18472" s="501"/>
    </row>
    <row r="18473" spans="25:25" hidden="1" x14ac:dyDescent="0.25">
      <c r="Y18473" s="501"/>
    </row>
    <row r="18474" spans="25:25" hidden="1" x14ac:dyDescent="0.25">
      <c r="Y18474" s="501"/>
    </row>
    <row r="18475" spans="25:25" hidden="1" x14ac:dyDescent="0.25">
      <c r="Y18475" s="501"/>
    </row>
    <row r="18476" spans="25:25" hidden="1" x14ac:dyDescent="0.25">
      <c r="Y18476" s="501"/>
    </row>
    <row r="18477" spans="25:25" hidden="1" x14ac:dyDescent="0.25">
      <c r="Y18477" s="501"/>
    </row>
    <row r="18478" spans="25:25" hidden="1" x14ac:dyDescent="0.25">
      <c r="Y18478" s="501"/>
    </row>
    <row r="18479" spans="25:25" hidden="1" x14ac:dyDescent="0.25">
      <c r="Y18479" s="501"/>
    </row>
    <row r="18480" spans="25:25" hidden="1" x14ac:dyDescent="0.25">
      <c r="Y18480" s="501"/>
    </row>
    <row r="18481" spans="25:25" hidden="1" x14ac:dyDescent="0.25">
      <c r="Y18481" s="501"/>
    </row>
    <row r="18482" spans="25:25" hidden="1" x14ac:dyDescent="0.25">
      <c r="Y18482" s="501"/>
    </row>
    <row r="18483" spans="25:25" hidden="1" x14ac:dyDescent="0.25">
      <c r="Y18483" s="501"/>
    </row>
    <row r="18484" spans="25:25" hidden="1" x14ac:dyDescent="0.25">
      <c r="Y18484" s="501"/>
    </row>
    <row r="18485" spans="25:25" hidden="1" x14ac:dyDescent="0.25">
      <c r="Y18485" s="501"/>
    </row>
    <row r="18486" spans="25:25" hidden="1" x14ac:dyDescent="0.25">
      <c r="Y18486" s="501"/>
    </row>
    <row r="18487" spans="25:25" hidden="1" x14ac:dyDescent="0.25">
      <c r="Y18487" s="501"/>
    </row>
    <row r="18488" spans="25:25" hidden="1" x14ac:dyDescent="0.25">
      <c r="Y18488" s="501"/>
    </row>
    <row r="18489" spans="25:25" hidden="1" x14ac:dyDescent="0.25">
      <c r="Y18489" s="501"/>
    </row>
    <row r="18490" spans="25:25" hidden="1" x14ac:dyDescent="0.25">
      <c r="Y18490" s="501"/>
    </row>
    <row r="18491" spans="25:25" hidden="1" x14ac:dyDescent="0.25">
      <c r="Y18491" s="501"/>
    </row>
    <row r="18492" spans="25:25" hidden="1" x14ac:dyDescent="0.25">
      <c r="Y18492" s="501"/>
    </row>
    <row r="18493" spans="25:25" hidden="1" x14ac:dyDescent="0.25">
      <c r="Y18493" s="501"/>
    </row>
    <row r="18494" spans="25:25" hidden="1" x14ac:dyDescent="0.25">
      <c r="Y18494" s="501"/>
    </row>
    <row r="18495" spans="25:25" hidden="1" x14ac:dyDescent="0.25">
      <c r="Y18495" s="501"/>
    </row>
    <row r="18496" spans="25:25" hidden="1" x14ac:dyDescent="0.25">
      <c r="Y18496" s="501"/>
    </row>
    <row r="18497" spans="25:25" hidden="1" x14ac:dyDescent="0.25">
      <c r="Y18497" s="501"/>
    </row>
    <row r="18498" spans="25:25" hidden="1" x14ac:dyDescent="0.25">
      <c r="Y18498" s="501"/>
    </row>
    <row r="18499" spans="25:25" hidden="1" x14ac:dyDescent="0.25">
      <c r="Y18499" s="501"/>
    </row>
    <row r="18500" spans="25:25" hidden="1" x14ac:dyDescent="0.25">
      <c r="Y18500" s="501"/>
    </row>
    <row r="18501" spans="25:25" hidden="1" x14ac:dyDescent="0.25">
      <c r="Y18501" s="501"/>
    </row>
    <row r="18502" spans="25:25" hidden="1" x14ac:dyDescent="0.25">
      <c r="Y18502" s="501"/>
    </row>
    <row r="18503" spans="25:25" hidden="1" x14ac:dyDescent="0.25">
      <c r="Y18503" s="501"/>
    </row>
    <row r="18504" spans="25:25" hidden="1" x14ac:dyDescent="0.25">
      <c r="Y18504" s="501"/>
    </row>
    <row r="18505" spans="25:25" hidden="1" x14ac:dyDescent="0.25">
      <c r="Y18505" s="501"/>
    </row>
    <row r="18506" spans="25:25" hidden="1" x14ac:dyDescent="0.25">
      <c r="Y18506" s="501"/>
    </row>
    <row r="18507" spans="25:25" hidden="1" x14ac:dyDescent="0.25">
      <c r="Y18507" s="501"/>
    </row>
    <row r="18508" spans="25:25" hidden="1" x14ac:dyDescent="0.25">
      <c r="Y18508" s="501"/>
    </row>
    <row r="18509" spans="25:25" hidden="1" x14ac:dyDescent="0.25">
      <c r="Y18509" s="501"/>
    </row>
    <row r="18510" spans="25:25" hidden="1" x14ac:dyDescent="0.25">
      <c r="Y18510" s="501"/>
    </row>
    <row r="18511" spans="25:25" hidden="1" x14ac:dyDescent="0.25">
      <c r="Y18511" s="501"/>
    </row>
    <row r="18512" spans="25:25" hidden="1" x14ac:dyDescent="0.25">
      <c r="Y18512" s="501"/>
    </row>
    <row r="18513" spans="25:25" hidden="1" x14ac:dyDescent="0.25">
      <c r="Y18513" s="501"/>
    </row>
    <row r="18514" spans="25:25" hidden="1" x14ac:dyDescent="0.25">
      <c r="Y18514" s="501"/>
    </row>
    <row r="18515" spans="25:25" hidden="1" x14ac:dyDescent="0.25">
      <c r="Y18515" s="501"/>
    </row>
    <row r="18516" spans="25:25" hidden="1" x14ac:dyDescent="0.25">
      <c r="Y18516" s="501"/>
    </row>
    <row r="18517" spans="25:25" hidden="1" x14ac:dyDescent="0.25">
      <c r="Y18517" s="501"/>
    </row>
    <row r="18518" spans="25:25" hidden="1" x14ac:dyDescent="0.25">
      <c r="Y18518" s="501"/>
    </row>
    <row r="18519" spans="25:25" hidden="1" x14ac:dyDescent="0.25">
      <c r="Y18519" s="501"/>
    </row>
    <row r="18520" spans="25:25" hidden="1" x14ac:dyDescent="0.25">
      <c r="Y18520" s="501"/>
    </row>
    <row r="18521" spans="25:25" hidden="1" x14ac:dyDescent="0.25">
      <c r="Y18521" s="501"/>
    </row>
    <row r="18522" spans="25:25" hidden="1" x14ac:dyDescent="0.25">
      <c r="Y18522" s="501"/>
    </row>
    <row r="18523" spans="25:25" hidden="1" x14ac:dyDescent="0.25">
      <c r="Y18523" s="501"/>
    </row>
    <row r="18524" spans="25:25" hidden="1" x14ac:dyDescent="0.25">
      <c r="Y18524" s="501"/>
    </row>
    <row r="18525" spans="25:25" hidden="1" x14ac:dyDescent="0.25">
      <c r="Y18525" s="501"/>
    </row>
    <row r="18526" spans="25:25" hidden="1" x14ac:dyDescent="0.25">
      <c r="Y18526" s="501"/>
    </row>
    <row r="18527" spans="25:25" hidden="1" x14ac:dyDescent="0.25">
      <c r="Y18527" s="501"/>
    </row>
    <row r="18528" spans="25:25" hidden="1" x14ac:dyDescent="0.25">
      <c r="Y18528" s="501"/>
    </row>
    <row r="18529" spans="25:25" hidden="1" x14ac:dyDescent="0.25">
      <c r="Y18529" s="501"/>
    </row>
    <row r="18530" spans="25:25" hidden="1" x14ac:dyDescent="0.25">
      <c r="Y18530" s="501"/>
    </row>
    <row r="18531" spans="25:25" hidden="1" x14ac:dyDescent="0.25">
      <c r="Y18531" s="501"/>
    </row>
    <row r="18532" spans="25:25" hidden="1" x14ac:dyDescent="0.25">
      <c r="Y18532" s="501"/>
    </row>
    <row r="18533" spans="25:25" hidden="1" x14ac:dyDescent="0.25">
      <c r="Y18533" s="501"/>
    </row>
    <row r="18534" spans="25:25" hidden="1" x14ac:dyDescent="0.25">
      <c r="Y18534" s="501"/>
    </row>
    <row r="18535" spans="25:25" hidden="1" x14ac:dyDescent="0.25">
      <c r="Y18535" s="501"/>
    </row>
    <row r="18536" spans="25:25" hidden="1" x14ac:dyDescent="0.25">
      <c r="Y18536" s="501"/>
    </row>
    <row r="18537" spans="25:25" hidden="1" x14ac:dyDescent="0.25">
      <c r="Y18537" s="501"/>
    </row>
    <row r="18538" spans="25:25" hidden="1" x14ac:dyDescent="0.25">
      <c r="Y18538" s="501"/>
    </row>
    <row r="18539" spans="25:25" hidden="1" x14ac:dyDescent="0.25">
      <c r="Y18539" s="501"/>
    </row>
    <row r="18540" spans="25:25" hidden="1" x14ac:dyDescent="0.25">
      <c r="Y18540" s="501"/>
    </row>
    <row r="18541" spans="25:25" hidden="1" x14ac:dyDescent="0.25">
      <c r="Y18541" s="501"/>
    </row>
    <row r="18542" spans="25:25" hidden="1" x14ac:dyDescent="0.25">
      <c r="Y18542" s="501"/>
    </row>
    <row r="18543" spans="25:25" hidden="1" x14ac:dyDescent="0.25">
      <c r="Y18543" s="501"/>
    </row>
    <row r="18544" spans="25:25" hidden="1" x14ac:dyDescent="0.25">
      <c r="Y18544" s="501"/>
    </row>
    <row r="18545" spans="25:25" hidden="1" x14ac:dyDescent="0.25">
      <c r="Y18545" s="501"/>
    </row>
    <row r="18546" spans="25:25" hidden="1" x14ac:dyDescent="0.25">
      <c r="Y18546" s="501"/>
    </row>
    <row r="18547" spans="25:25" hidden="1" x14ac:dyDescent="0.25">
      <c r="Y18547" s="501"/>
    </row>
    <row r="18548" spans="25:25" hidden="1" x14ac:dyDescent="0.25">
      <c r="Y18548" s="501"/>
    </row>
    <row r="18549" spans="25:25" hidden="1" x14ac:dyDescent="0.25">
      <c r="Y18549" s="501"/>
    </row>
    <row r="18550" spans="25:25" hidden="1" x14ac:dyDescent="0.25">
      <c r="Y18550" s="501"/>
    </row>
    <row r="18551" spans="25:25" hidden="1" x14ac:dyDescent="0.25">
      <c r="Y18551" s="501"/>
    </row>
    <row r="18552" spans="25:25" hidden="1" x14ac:dyDescent="0.25">
      <c r="Y18552" s="501"/>
    </row>
    <row r="18553" spans="25:25" hidden="1" x14ac:dyDescent="0.25">
      <c r="Y18553" s="501"/>
    </row>
    <row r="18554" spans="25:25" hidden="1" x14ac:dyDescent="0.25">
      <c r="Y18554" s="501"/>
    </row>
    <row r="18555" spans="25:25" hidden="1" x14ac:dyDescent="0.25">
      <c r="Y18555" s="501"/>
    </row>
    <row r="18556" spans="25:25" hidden="1" x14ac:dyDescent="0.25">
      <c r="Y18556" s="501"/>
    </row>
    <row r="18557" spans="25:25" hidden="1" x14ac:dyDescent="0.25">
      <c r="Y18557" s="501"/>
    </row>
    <row r="18558" spans="25:25" hidden="1" x14ac:dyDescent="0.25">
      <c r="Y18558" s="501"/>
    </row>
    <row r="18559" spans="25:25" hidden="1" x14ac:dyDescent="0.25">
      <c r="Y18559" s="501"/>
    </row>
    <row r="18560" spans="25:25" hidden="1" x14ac:dyDescent="0.25">
      <c r="Y18560" s="501"/>
    </row>
    <row r="18561" spans="25:25" hidden="1" x14ac:dyDescent="0.25">
      <c r="Y18561" s="501"/>
    </row>
    <row r="18562" spans="25:25" hidden="1" x14ac:dyDescent="0.25">
      <c r="Y18562" s="501"/>
    </row>
    <row r="18563" spans="25:25" hidden="1" x14ac:dyDescent="0.25">
      <c r="Y18563" s="501"/>
    </row>
    <row r="18564" spans="25:25" hidden="1" x14ac:dyDescent="0.25">
      <c r="Y18564" s="501"/>
    </row>
    <row r="18565" spans="25:25" hidden="1" x14ac:dyDescent="0.25">
      <c r="Y18565" s="501"/>
    </row>
    <row r="18566" spans="25:25" hidden="1" x14ac:dyDescent="0.25">
      <c r="Y18566" s="501"/>
    </row>
    <row r="18567" spans="25:25" hidden="1" x14ac:dyDescent="0.25">
      <c r="Y18567" s="501"/>
    </row>
    <row r="18568" spans="25:25" hidden="1" x14ac:dyDescent="0.25">
      <c r="Y18568" s="501"/>
    </row>
    <row r="18569" spans="25:25" hidden="1" x14ac:dyDescent="0.25">
      <c r="Y18569" s="501"/>
    </row>
    <row r="18570" spans="25:25" hidden="1" x14ac:dyDescent="0.25">
      <c r="Y18570" s="501"/>
    </row>
    <row r="18571" spans="25:25" hidden="1" x14ac:dyDescent="0.25">
      <c r="Y18571" s="501"/>
    </row>
    <row r="18572" spans="25:25" hidden="1" x14ac:dyDescent="0.25">
      <c r="Y18572" s="501"/>
    </row>
    <row r="18573" spans="25:25" hidden="1" x14ac:dyDescent="0.25">
      <c r="Y18573" s="501"/>
    </row>
    <row r="18574" spans="25:25" hidden="1" x14ac:dyDescent="0.25">
      <c r="Y18574" s="501"/>
    </row>
    <row r="18575" spans="25:25" hidden="1" x14ac:dyDescent="0.25">
      <c r="Y18575" s="501"/>
    </row>
    <row r="18576" spans="25:25" hidden="1" x14ac:dyDescent="0.25">
      <c r="Y18576" s="501"/>
    </row>
    <row r="18577" spans="25:25" hidden="1" x14ac:dyDescent="0.25">
      <c r="Y18577" s="501"/>
    </row>
    <row r="18578" spans="25:25" hidden="1" x14ac:dyDescent="0.25">
      <c r="Y18578" s="501"/>
    </row>
    <row r="18579" spans="25:25" hidden="1" x14ac:dyDescent="0.25">
      <c r="Y18579" s="501"/>
    </row>
    <row r="18580" spans="25:25" hidden="1" x14ac:dyDescent="0.25">
      <c r="Y18580" s="501"/>
    </row>
    <row r="18581" spans="25:25" hidden="1" x14ac:dyDescent="0.25">
      <c r="Y18581" s="501"/>
    </row>
    <row r="18582" spans="25:25" hidden="1" x14ac:dyDescent="0.25">
      <c r="Y18582" s="501"/>
    </row>
    <row r="18583" spans="25:25" hidden="1" x14ac:dyDescent="0.25">
      <c r="Y18583" s="501"/>
    </row>
    <row r="18584" spans="25:25" hidden="1" x14ac:dyDescent="0.25">
      <c r="Y18584" s="501"/>
    </row>
    <row r="18585" spans="25:25" hidden="1" x14ac:dyDescent="0.25">
      <c r="Y18585" s="501"/>
    </row>
    <row r="18586" spans="25:25" hidden="1" x14ac:dyDescent="0.25">
      <c r="Y18586" s="501"/>
    </row>
    <row r="18587" spans="25:25" hidden="1" x14ac:dyDescent="0.25">
      <c r="Y18587" s="501"/>
    </row>
    <row r="18588" spans="25:25" hidden="1" x14ac:dyDescent="0.25">
      <c r="Y18588" s="501"/>
    </row>
    <row r="18589" spans="25:25" hidden="1" x14ac:dyDescent="0.25">
      <c r="Y18589" s="501"/>
    </row>
    <row r="18590" spans="25:25" hidden="1" x14ac:dyDescent="0.25">
      <c r="Y18590" s="501"/>
    </row>
    <row r="18591" spans="25:25" hidden="1" x14ac:dyDescent="0.25">
      <c r="Y18591" s="501"/>
    </row>
    <row r="18592" spans="25:25" hidden="1" x14ac:dyDescent="0.25">
      <c r="Y18592" s="501"/>
    </row>
    <row r="18593" spans="25:25" hidden="1" x14ac:dyDescent="0.25">
      <c r="Y18593" s="501"/>
    </row>
    <row r="18594" spans="25:25" hidden="1" x14ac:dyDescent="0.25">
      <c r="Y18594" s="501"/>
    </row>
    <row r="18595" spans="25:25" hidden="1" x14ac:dyDescent="0.25">
      <c r="Y18595" s="501"/>
    </row>
    <row r="18596" spans="25:25" hidden="1" x14ac:dyDescent="0.25">
      <c r="Y18596" s="501"/>
    </row>
    <row r="18597" spans="25:25" hidden="1" x14ac:dyDescent="0.25">
      <c r="Y18597" s="501"/>
    </row>
    <row r="18598" spans="25:25" hidden="1" x14ac:dyDescent="0.25">
      <c r="Y18598" s="501"/>
    </row>
    <row r="18599" spans="25:25" hidden="1" x14ac:dyDescent="0.25">
      <c r="Y18599" s="501"/>
    </row>
    <row r="18600" spans="25:25" hidden="1" x14ac:dyDescent="0.25">
      <c r="Y18600" s="501"/>
    </row>
    <row r="18601" spans="25:25" hidden="1" x14ac:dyDescent="0.25">
      <c r="Y18601" s="501"/>
    </row>
    <row r="18602" spans="25:25" hidden="1" x14ac:dyDescent="0.25">
      <c r="Y18602" s="501"/>
    </row>
    <row r="18603" spans="25:25" hidden="1" x14ac:dyDescent="0.25">
      <c r="Y18603" s="501"/>
    </row>
    <row r="18604" spans="25:25" hidden="1" x14ac:dyDescent="0.25">
      <c r="Y18604" s="501"/>
    </row>
    <row r="18605" spans="25:25" hidden="1" x14ac:dyDescent="0.25">
      <c r="Y18605" s="501"/>
    </row>
    <row r="18606" spans="25:25" hidden="1" x14ac:dyDescent="0.25">
      <c r="Y18606" s="501"/>
    </row>
    <row r="18607" spans="25:25" hidden="1" x14ac:dyDescent="0.25">
      <c r="Y18607" s="501"/>
    </row>
    <row r="18608" spans="25:25" hidden="1" x14ac:dyDescent="0.25">
      <c r="Y18608" s="501"/>
    </row>
    <row r="18609" spans="25:25" hidden="1" x14ac:dyDescent="0.25">
      <c r="Y18609" s="501"/>
    </row>
    <row r="18610" spans="25:25" hidden="1" x14ac:dyDescent="0.25">
      <c r="Y18610" s="501"/>
    </row>
    <row r="18611" spans="25:25" hidden="1" x14ac:dyDescent="0.25">
      <c r="Y18611" s="501"/>
    </row>
    <row r="18612" spans="25:25" hidden="1" x14ac:dyDescent="0.25">
      <c r="Y18612" s="501"/>
    </row>
    <row r="18613" spans="25:25" hidden="1" x14ac:dyDescent="0.25">
      <c r="Y18613" s="501"/>
    </row>
    <row r="18614" spans="25:25" hidden="1" x14ac:dyDescent="0.25">
      <c r="Y18614" s="501"/>
    </row>
    <row r="18615" spans="25:25" hidden="1" x14ac:dyDescent="0.25">
      <c r="Y18615" s="501"/>
    </row>
    <row r="18616" spans="25:25" hidden="1" x14ac:dyDescent="0.25">
      <c r="Y18616" s="501"/>
    </row>
    <row r="18617" spans="25:25" hidden="1" x14ac:dyDescent="0.25">
      <c r="Y18617" s="501"/>
    </row>
    <row r="18618" spans="25:25" hidden="1" x14ac:dyDescent="0.25">
      <c r="Y18618" s="501"/>
    </row>
    <row r="18619" spans="25:25" hidden="1" x14ac:dyDescent="0.25">
      <c r="Y18619" s="501"/>
    </row>
    <row r="18620" spans="25:25" hidden="1" x14ac:dyDescent="0.25">
      <c r="Y18620" s="501"/>
    </row>
    <row r="18621" spans="25:25" hidden="1" x14ac:dyDescent="0.25">
      <c r="Y18621" s="501"/>
    </row>
    <row r="18622" spans="25:25" hidden="1" x14ac:dyDescent="0.25">
      <c r="Y18622" s="501"/>
    </row>
    <row r="18623" spans="25:25" hidden="1" x14ac:dyDescent="0.25">
      <c r="Y18623" s="501"/>
    </row>
    <row r="18624" spans="25:25" hidden="1" x14ac:dyDescent="0.25">
      <c r="Y18624" s="501"/>
    </row>
    <row r="18625" spans="25:25" hidden="1" x14ac:dyDescent="0.25">
      <c r="Y18625" s="501"/>
    </row>
    <row r="18626" spans="25:25" hidden="1" x14ac:dyDescent="0.25">
      <c r="Y18626" s="501"/>
    </row>
    <row r="18627" spans="25:25" hidden="1" x14ac:dyDescent="0.25">
      <c r="Y18627" s="501"/>
    </row>
    <row r="18628" spans="25:25" hidden="1" x14ac:dyDescent="0.25">
      <c r="Y18628" s="501"/>
    </row>
    <row r="18629" spans="25:25" hidden="1" x14ac:dyDescent="0.25">
      <c r="Y18629" s="501"/>
    </row>
    <row r="18630" spans="25:25" hidden="1" x14ac:dyDescent="0.25">
      <c r="Y18630" s="501"/>
    </row>
    <row r="18631" spans="25:25" hidden="1" x14ac:dyDescent="0.25">
      <c r="Y18631" s="501"/>
    </row>
    <row r="18632" spans="25:25" hidden="1" x14ac:dyDescent="0.25">
      <c r="Y18632" s="501"/>
    </row>
    <row r="18633" spans="25:25" hidden="1" x14ac:dyDescent="0.25">
      <c r="Y18633" s="501"/>
    </row>
    <row r="18634" spans="25:25" hidden="1" x14ac:dyDescent="0.25">
      <c r="Y18634" s="501"/>
    </row>
    <row r="18635" spans="25:25" hidden="1" x14ac:dyDescent="0.25">
      <c r="Y18635" s="501"/>
    </row>
    <row r="18636" spans="25:25" hidden="1" x14ac:dyDescent="0.25">
      <c r="Y18636" s="501"/>
    </row>
    <row r="18637" spans="25:25" hidden="1" x14ac:dyDescent="0.25">
      <c r="Y18637" s="501"/>
    </row>
    <row r="18638" spans="25:25" hidden="1" x14ac:dyDescent="0.25">
      <c r="Y18638" s="501"/>
    </row>
    <row r="18639" spans="25:25" hidden="1" x14ac:dyDescent="0.25">
      <c r="Y18639" s="501"/>
    </row>
    <row r="18640" spans="25:25" hidden="1" x14ac:dyDescent="0.25">
      <c r="Y18640" s="501"/>
    </row>
    <row r="18641" spans="25:25" hidden="1" x14ac:dyDescent="0.25">
      <c r="Y18641" s="501"/>
    </row>
    <row r="18642" spans="25:25" hidden="1" x14ac:dyDescent="0.25">
      <c r="Y18642" s="501"/>
    </row>
    <row r="18643" spans="25:25" hidden="1" x14ac:dyDescent="0.25">
      <c r="Y18643" s="501"/>
    </row>
    <row r="18644" spans="25:25" hidden="1" x14ac:dyDescent="0.25">
      <c r="Y18644" s="501"/>
    </row>
    <row r="18645" spans="25:25" hidden="1" x14ac:dyDescent="0.25">
      <c r="Y18645" s="501"/>
    </row>
    <row r="18646" spans="25:25" hidden="1" x14ac:dyDescent="0.25">
      <c r="Y18646" s="501"/>
    </row>
    <row r="18647" spans="25:25" hidden="1" x14ac:dyDescent="0.25">
      <c r="Y18647" s="501"/>
    </row>
    <row r="18648" spans="25:25" hidden="1" x14ac:dyDescent="0.25">
      <c r="Y18648" s="501"/>
    </row>
    <row r="18649" spans="25:25" hidden="1" x14ac:dyDescent="0.25">
      <c r="Y18649" s="501"/>
    </row>
    <row r="18650" spans="25:25" hidden="1" x14ac:dyDescent="0.25">
      <c r="Y18650" s="501"/>
    </row>
    <row r="18651" spans="25:25" hidden="1" x14ac:dyDescent="0.25">
      <c r="Y18651" s="501"/>
    </row>
    <row r="18652" spans="25:25" hidden="1" x14ac:dyDescent="0.25">
      <c r="Y18652" s="501"/>
    </row>
    <row r="18653" spans="25:25" hidden="1" x14ac:dyDescent="0.25">
      <c r="Y18653" s="501"/>
    </row>
    <row r="18654" spans="25:25" hidden="1" x14ac:dyDescent="0.25">
      <c r="Y18654" s="501"/>
    </row>
    <row r="18655" spans="25:25" hidden="1" x14ac:dyDescent="0.25">
      <c r="Y18655" s="501"/>
    </row>
    <row r="18656" spans="25:25" hidden="1" x14ac:dyDescent="0.25">
      <c r="Y18656" s="501"/>
    </row>
    <row r="18657" spans="25:25" hidden="1" x14ac:dyDescent="0.25">
      <c r="Y18657" s="501"/>
    </row>
    <row r="18658" spans="25:25" hidden="1" x14ac:dyDescent="0.25">
      <c r="Y18658" s="501"/>
    </row>
    <row r="18659" spans="25:25" hidden="1" x14ac:dyDescent="0.25">
      <c r="Y18659" s="501"/>
    </row>
    <row r="18660" spans="25:25" hidden="1" x14ac:dyDescent="0.25">
      <c r="Y18660" s="501"/>
    </row>
    <row r="18661" spans="25:25" hidden="1" x14ac:dyDescent="0.25">
      <c r="Y18661" s="501"/>
    </row>
    <row r="18662" spans="25:25" hidden="1" x14ac:dyDescent="0.25">
      <c r="Y18662" s="501"/>
    </row>
    <row r="18663" spans="25:25" hidden="1" x14ac:dyDescent="0.25">
      <c r="Y18663" s="501"/>
    </row>
    <row r="18664" spans="25:25" hidden="1" x14ac:dyDescent="0.25">
      <c r="Y18664" s="501"/>
    </row>
    <row r="18665" spans="25:25" hidden="1" x14ac:dyDescent="0.25">
      <c r="Y18665" s="501"/>
    </row>
    <row r="18666" spans="25:25" hidden="1" x14ac:dyDescent="0.25">
      <c r="Y18666" s="501"/>
    </row>
    <row r="18667" spans="25:25" hidden="1" x14ac:dyDescent="0.25">
      <c r="Y18667" s="501"/>
    </row>
    <row r="18668" spans="25:25" hidden="1" x14ac:dyDescent="0.25">
      <c r="Y18668" s="501"/>
    </row>
    <row r="18669" spans="25:25" hidden="1" x14ac:dyDescent="0.25">
      <c r="Y18669" s="501"/>
    </row>
    <row r="18670" spans="25:25" hidden="1" x14ac:dyDescent="0.25">
      <c r="Y18670" s="501"/>
    </row>
    <row r="18671" spans="25:25" hidden="1" x14ac:dyDescent="0.25">
      <c r="Y18671" s="501"/>
    </row>
    <row r="18672" spans="25:25" hidden="1" x14ac:dyDescent="0.25">
      <c r="Y18672" s="501"/>
    </row>
    <row r="18673" spans="25:25" hidden="1" x14ac:dyDescent="0.25">
      <c r="Y18673" s="501"/>
    </row>
    <row r="18674" spans="25:25" hidden="1" x14ac:dyDescent="0.25">
      <c r="Y18674" s="501"/>
    </row>
    <row r="18675" spans="25:25" hidden="1" x14ac:dyDescent="0.25">
      <c r="Y18675" s="501"/>
    </row>
    <row r="18676" spans="25:25" hidden="1" x14ac:dyDescent="0.25">
      <c r="Y18676" s="501"/>
    </row>
    <row r="18677" spans="25:25" hidden="1" x14ac:dyDescent="0.25">
      <c r="Y18677" s="501"/>
    </row>
    <row r="18678" spans="25:25" hidden="1" x14ac:dyDescent="0.25">
      <c r="Y18678" s="501"/>
    </row>
    <row r="18679" spans="25:25" hidden="1" x14ac:dyDescent="0.25">
      <c r="Y18679" s="501"/>
    </row>
    <row r="18680" spans="25:25" hidden="1" x14ac:dyDescent="0.25">
      <c r="Y18680" s="501"/>
    </row>
    <row r="18681" spans="25:25" hidden="1" x14ac:dyDescent="0.25">
      <c r="Y18681" s="501"/>
    </row>
    <row r="18682" spans="25:25" hidden="1" x14ac:dyDescent="0.25">
      <c r="Y18682" s="501"/>
    </row>
    <row r="18683" spans="25:25" hidden="1" x14ac:dyDescent="0.25">
      <c r="Y18683" s="501"/>
    </row>
    <row r="18684" spans="25:25" hidden="1" x14ac:dyDescent="0.25">
      <c r="Y18684" s="501"/>
    </row>
    <row r="18685" spans="25:25" hidden="1" x14ac:dyDescent="0.25">
      <c r="Y18685" s="501"/>
    </row>
    <row r="18686" spans="25:25" hidden="1" x14ac:dyDescent="0.25">
      <c r="Y18686" s="501"/>
    </row>
    <row r="18687" spans="25:25" hidden="1" x14ac:dyDescent="0.25">
      <c r="Y18687" s="501"/>
    </row>
    <row r="18688" spans="25:25" hidden="1" x14ac:dyDescent="0.25">
      <c r="Y18688" s="501"/>
    </row>
    <row r="18689" spans="25:25" hidden="1" x14ac:dyDescent="0.25">
      <c r="Y18689" s="501"/>
    </row>
    <row r="18690" spans="25:25" hidden="1" x14ac:dyDescent="0.25">
      <c r="Y18690" s="501"/>
    </row>
    <row r="18691" spans="25:25" hidden="1" x14ac:dyDescent="0.25">
      <c r="Y18691" s="501"/>
    </row>
    <row r="18692" spans="25:25" hidden="1" x14ac:dyDescent="0.25">
      <c r="Y18692" s="501"/>
    </row>
    <row r="18693" spans="25:25" hidden="1" x14ac:dyDescent="0.25">
      <c r="Y18693" s="501"/>
    </row>
    <row r="18694" spans="25:25" hidden="1" x14ac:dyDescent="0.25">
      <c r="Y18694" s="501"/>
    </row>
    <row r="18695" spans="25:25" hidden="1" x14ac:dyDescent="0.25">
      <c r="Y18695" s="501"/>
    </row>
    <row r="18696" spans="25:25" hidden="1" x14ac:dyDescent="0.25">
      <c r="Y18696" s="501"/>
    </row>
    <row r="18697" spans="25:25" hidden="1" x14ac:dyDescent="0.25">
      <c r="Y18697" s="501"/>
    </row>
    <row r="18698" spans="25:25" hidden="1" x14ac:dyDescent="0.25">
      <c r="Y18698" s="501"/>
    </row>
    <row r="18699" spans="25:25" hidden="1" x14ac:dyDescent="0.25">
      <c r="Y18699" s="501"/>
    </row>
    <row r="18700" spans="25:25" hidden="1" x14ac:dyDescent="0.25">
      <c r="Y18700" s="501"/>
    </row>
    <row r="18701" spans="25:25" hidden="1" x14ac:dyDescent="0.25">
      <c r="Y18701" s="501"/>
    </row>
    <row r="18702" spans="25:25" hidden="1" x14ac:dyDescent="0.25">
      <c r="Y18702" s="501"/>
    </row>
    <row r="18703" spans="25:25" hidden="1" x14ac:dyDescent="0.25">
      <c r="Y18703" s="501"/>
    </row>
    <row r="18704" spans="25:25" hidden="1" x14ac:dyDescent="0.25">
      <c r="Y18704" s="501"/>
    </row>
    <row r="18705" spans="25:25" hidden="1" x14ac:dyDescent="0.25">
      <c r="Y18705" s="501"/>
    </row>
    <row r="18706" spans="25:25" hidden="1" x14ac:dyDescent="0.25">
      <c r="Y18706" s="501"/>
    </row>
    <row r="18707" spans="25:25" hidden="1" x14ac:dyDescent="0.25">
      <c r="Y18707" s="501"/>
    </row>
    <row r="18708" spans="25:25" hidden="1" x14ac:dyDescent="0.25">
      <c r="Y18708" s="501"/>
    </row>
    <row r="18709" spans="25:25" hidden="1" x14ac:dyDescent="0.25">
      <c r="Y18709" s="501"/>
    </row>
    <row r="18710" spans="25:25" hidden="1" x14ac:dyDescent="0.25">
      <c r="Y18710" s="501"/>
    </row>
    <row r="18711" spans="25:25" hidden="1" x14ac:dyDescent="0.25">
      <c r="Y18711" s="501"/>
    </row>
    <row r="18712" spans="25:25" hidden="1" x14ac:dyDescent="0.25">
      <c r="Y18712" s="501"/>
    </row>
    <row r="18713" spans="25:25" hidden="1" x14ac:dyDescent="0.25">
      <c r="Y18713" s="501"/>
    </row>
    <row r="18714" spans="25:25" hidden="1" x14ac:dyDescent="0.25">
      <c r="Y18714" s="501"/>
    </row>
    <row r="18715" spans="25:25" hidden="1" x14ac:dyDescent="0.25">
      <c r="Y18715" s="501"/>
    </row>
    <row r="18716" spans="25:25" hidden="1" x14ac:dyDescent="0.25">
      <c r="Y18716" s="501"/>
    </row>
    <row r="18717" spans="25:25" hidden="1" x14ac:dyDescent="0.25">
      <c r="Y18717" s="501"/>
    </row>
    <row r="18718" spans="25:25" hidden="1" x14ac:dyDescent="0.25">
      <c r="Y18718" s="501"/>
    </row>
    <row r="18719" spans="25:25" hidden="1" x14ac:dyDescent="0.25">
      <c r="Y18719" s="501"/>
    </row>
    <row r="18720" spans="25:25" hidden="1" x14ac:dyDescent="0.25">
      <c r="Y18720" s="501"/>
    </row>
    <row r="18721" spans="25:25" hidden="1" x14ac:dyDescent="0.25">
      <c r="Y18721" s="501"/>
    </row>
    <row r="18722" spans="25:25" hidden="1" x14ac:dyDescent="0.25">
      <c r="Y18722" s="501"/>
    </row>
    <row r="18723" spans="25:25" hidden="1" x14ac:dyDescent="0.25">
      <c r="Y18723" s="501"/>
    </row>
    <row r="18724" spans="25:25" hidden="1" x14ac:dyDescent="0.25">
      <c r="Y18724" s="501"/>
    </row>
    <row r="18725" spans="25:25" hidden="1" x14ac:dyDescent="0.25">
      <c r="Y18725" s="501"/>
    </row>
    <row r="18726" spans="25:25" hidden="1" x14ac:dyDescent="0.25">
      <c r="Y18726" s="501"/>
    </row>
    <row r="18727" spans="25:25" hidden="1" x14ac:dyDescent="0.25">
      <c r="Y18727" s="501"/>
    </row>
    <row r="18728" spans="25:25" hidden="1" x14ac:dyDescent="0.25">
      <c r="Y18728" s="501"/>
    </row>
    <row r="18729" spans="25:25" hidden="1" x14ac:dyDescent="0.25">
      <c r="Y18729" s="501"/>
    </row>
    <row r="18730" spans="25:25" hidden="1" x14ac:dyDescent="0.25">
      <c r="Y18730" s="501"/>
    </row>
    <row r="18731" spans="25:25" hidden="1" x14ac:dyDescent="0.25">
      <c r="Y18731" s="501"/>
    </row>
    <row r="18732" spans="25:25" hidden="1" x14ac:dyDescent="0.25">
      <c r="Y18732" s="501"/>
    </row>
    <row r="18733" spans="25:25" hidden="1" x14ac:dyDescent="0.25">
      <c r="Y18733" s="501"/>
    </row>
    <row r="18734" spans="25:25" hidden="1" x14ac:dyDescent="0.25">
      <c r="Y18734" s="501"/>
    </row>
    <row r="18735" spans="25:25" hidden="1" x14ac:dyDescent="0.25">
      <c r="Y18735" s="501"/>
    </row>
    <row r="18736" spans="25:25" hidden="1" x14ac:dyDescent="0.25">
      <c r="Y18736" s="501"/>
    </row>
    <row r="18737" spans="25:25" hidden="1" x14ac:dyDescent="0.25">
      <c r="Y18737" s="501"/>
    </row>
    <row r="18738" spans="25:25" hidden="1" x14ac:dyDescent="0.25">
      <c r="Y18738" s="501"/>
    </row>
    <row r="18739" spans="25:25" hidden="1" x14ac:dyDescent="0.25">
      <c r="Y18739" s="501"/>
    </row>
    <row r="18740" spans="25:25" hidden="1" x14ac:dyDescent="0.25">
      <c r="Y18740" s="501"/>
    </row>
    <row r="18741" spans="25:25" hidden="1" x14ac:dyDescent="0.25">
      <c r="Y18741" s="501"/>
    </row>
    <row r="18742" spans="25:25" hidden="1" x14ac:dyDescent="0.25">
      <c r="Y18742" s="501"/>
    </row>
    <row r="18743" spans="25:25" hidden="1" x14ac:dyDescent="0.25">
      <c r="Y18743" s="501"/>
    </row>
    <row r="18744" spans="25:25" hidden="1" x14ac:dyDescent="0.25">
      <c r="Y18744" s="501"/>
    </row>
    <row r="18745" spans="25:25" hidden="1" x14ac:dyDescent="0.25">
      <c r="Y18745" s="501"/>
    </row>
    <row r="18746" spans="25:25" hidden="1" x14ac:dyDescent="0.25">
      <c r="Y18746" s="501"/>
    </row>
    <row r="18747" spans="25:25" hidden="1" x14ac:dyDescent="0.25">
      <c r="Y18747" s="501"/>
    </row>
    <row r="18748" spans="25:25" hidden="1" x14ac:dyDescent="0.25">
      <c r="Y18748" s="501"/>
    </row>
    <row r="18749" spans="25:25" hidden="1" x14ac:dyDescent="0.25">
      <c r="Y18749" s="501"/>
    </row>
    <row r="18750" spans="25:25" hidden="1" x14ac:dyDescent="0.25">
      <c r="Y18750" s="501"/>
    </row>
    <row r="18751" spans="25:25" hidden="1" x14ac:dyDescent="0.25">
      <c r="Y18751" s="501"/>
    </row>
    <row r="18752" spans="25:25" hidden="1" x14ac:dyDescent="0.25">
      <c r="Y18752" s="501"/>
    </row>
    <row r="18753" spans="25:25" hidden="1" x14ac:dyDescent="0.25">
      <c r="Y18753" s="501"/>
    </row>
    <row r="18754" spans="25:25" hidden="1" x14ac:dyDescent="0.25">
      <c r="Y18754" s="501"/>
    </row>
    <row r="18755" spans="25:25" hidden="1" x14ac:dyDescent="0.25">
      <c r="Y18755" s="501"/>
    </row>
    <row r="18756" spans="25:25" hidden="1" x14ac:dyDescent="0.25">
      <c r="Y18756" s="501"/>
    </row>
    <row r="18757" spans="25:25" hidden="1" x14ac:dyDescent="0.25">
      <c r="Y18757" s="501"/>
    </row>
    <row r="18758" spans="25:25" hidden="1" x14ac:dyDescent="0.25">
      <c r="Y18758" s="501"/>
    </row>
    <row r="18759" spans="25:25" hidden="1" x14ac:dyDescent="0.25">
      <c r="Y18759" s="501"/>
    </row>
    <row r="18760" spans="25:25" hidden="1" x14ac:dyDescent="0.25">
      <c r="Y18760" s="501"/>
    </row>
    <row r="18761" spans="25:25" hidden="1" x14ac:dyDescent="0.25">
      <c r="Y18761" s="501"/>
    </row>
    <row r="18762" spans="25:25" hidden="1" x14ac:dyDescent="0.25">
      <c r="Y18762" s="501"/>
    </row>
    <row r="18763" spans="25:25" hidden="1" x14ac:dyDescent="0.25">
      <c r="Y18763" s="501"/>
    </row>
    <row r="18764" spans="25:25" hidden="1" x14ac:dyDescent="0.25">
      <c r="Y18764" s="501"/>
    </row>
    <row r="18765" spans="25:25" hidden="1" x14ac:dyDescent="0.25">
      <c r="Y18765" s="501"/>
    </row>
    <row r="18766" spans="25:25" hidden="1" x14ac:dyDescent="0.25">
      <c r="Y18766" s="501"/>
    </row>
    <row r="18767" spans="25:25" hidden="1" x14ac:dyDescent="0.25">
      <c r="Y18767" s="501"/>
    </row>
    <row r="18768" spans="25:25" hidden="1" x14ac:dyDescent="0.25">
      <c r="Y18768" s="501"/>
    </row>
    <row r="18769" spans="25:25" hidden="1" x14ac:dyDescent="0.25">
      <c r="Y18769" s="501"/>
    </row>
    <row r="18770" spans="25:25" hidden="1" x14ac:dyDescent="0.25">
      <c r="Y18770" s="501"/>
    </row>
    <row r="18771" spans="25:25" hidden="1" x14ac:dyDescent="0.25">
      <c r="Y18771" s="501"/>
    </row>
    <row r="18772" spans="25:25" hidden="1" x14ac:dyDescent="0.25">
      <c r="Y18772" s="501"/>
    </row>
    <row r="18773" spans="25:25" hidden="1" x14ac:dyDescent="0.25">
      <c r="Y18773" s="501"/>
    </row>
    <row r="18774" spans="25:25" hidden="1" x14ac:dyDescent="0.25">
      <c r="Y18774" s="501"/>
    </row>
    <row r="18775" spans="25:25" hidden="1" x14ac:dyDescent="0.25">
      <c r="Y18775" s="501"/>
    </row>
    <row r="18776" spans="25:25" hidden="1" x14ac:dyDescent="0.25">
      <c r="Y18776" s="501"/>
    </row>
    <row r="18777" spans="25:25" hidden="1" x14ac:dyDescent="0.25">
      <c r="Y18777" s="501"/>
    </row>
    <row r="18778" spans="25:25" hidden="1" x14ac:dyDescent="0.25">
      <c r="Y18778" s="501"/>
    </row>
    <row r="18779" spans="25:25" hidden="1" x14ac:dyDescent="0.25">
      <c r="Y18779" s="501"/>
    </row>
    <row r="18780" spans="25:25" hidden="1" x14ac:dyDescent="0.25">
      <c r="Y18780" s="501"/>
    </row>
    <row r="18781" spans="25:25" hidden="1" x14ac:dyDescent="0.25">
      <c r="Y18781" s="501"/>
    </row>
    <row r="18782" spans="25:25" hidden="1" x14ac:dyDescent="0.25">
      <c r="Y18782" s="501"/>
    </row>
    <row r="18783" spans="25:25" hidden="1" x14ac:dyDescent="0.25">
      <c r="Y18783" s="501"/>
    </row>
    <row r="18784" spans="25:25" hidden="1" x14ac:dyDescent="0.25">
      <c r="Y18784" s="501"/>
    </row>
    <row r="18785" spans="25:25" hidden="1" x14ac:dyDescent="0.25">
      <c r="Y18785" s="501"/>
    </row>
    <row r="18786" spans="25:25" hidden="1" x14ac:dyDescent="0.25">
      <c r="Y18786" s="501"/>
    </row>
    <row r="18787" spans="25:25" hidden="1" x14ac:dyDescent="0.25">
      <c r="Y18787" s="501"/>
    </row>
    <row r="18788" spans="25:25" hidden="1" x14ac:dyDescent="0.25">
      <c r="Y18788" s="501"/>
    </row>
    <row r="18789" spans="25:25" hidden="1" x14ac:dyDescent="0.25">
      <c r="Y18789" s="501"/>
    </row>
    <row r="18790" spans="25:25" hidden="1" x14ac:dyDescent="0.25">
      <c r="Y18790" s="501"/>
    </row>
    <row r="18791" spans="25:25" hidden="1" x14ac:dyDescent="0.25">
      <c r="Y18791" s="501"/>
    </row>
    <row r="18792" spans="25:25" hidden="1" x14ac:dyDescent="0.25">
      <c r="Y18792" s="501"/>
    </row>
    <row r="18793" spans="25:25" hidden="1" x14ac:dyDescent="0.25">
      <c r="Y18793" s="501"/>
    </row>
    <row r="18794" spans="25:25" hidden="1" x14ac:dyDescent="0.25">
      <c r="Y18794" s="501"/>
    </row>
    <row r="18795" spans="25:25" hidden="1" x14ac:dyDescent="0.25">
      <c r="Y18795" s="501"/>
    </row>
    <row r="18796" spans="25:25" hidden="1" x14ac:dyDescent="0.25">
      <c r="Y18796" s="501"/>
    </row>
    <row r="18797" spans="25:25" hidden="1" x14ac:dyDescent="0.25">
      <c r="Y18797" s="501"/>
    </row>
    <row r="18798" spans="25:25" hidden="1" x14ac:dyDescent="0.25">
      <c r="Y18798" s="501"/>
    </row>
    <row r="18799" spans="25:25" hidden="1" x14ac:dyDescent="0.25">
      <c r="Y18799" s="501"/>
    </row>
    <row r="18800" spans="25:25" hidden="1" x14ac:dyDescent="0.25">
      <c r="Y18800" s="501"/>
    </row>
    <row r="18801" spans="25:25" hidden="1" x14ac:dyDescent="0.25">
      <c r="Y18801" s="501"/>
    </row>
    <row r="18802" spans="25:25" hidden="1" x14ac:dyDescent="0.25">
      <c r="Y18802" s="501"/>
    </row>
    <row r="18803" spans="25:25" hidden="1" x14ac:dyDescent="0.25">
      <c r="Y18803" s="501"/>
    </row>
    <row r="18804" spans="25:25" hidden="1" x14ac:dyDescent="0.25">
      <c r="Y18804" s="501"/>
    </row>
    <row r="18805" spans="25:25" hidden="1" x14ac:dyDescent="0.25">
      <c r="Y18805" s="501"/>
    </row>
    <row r="18806" spans="25:25" hidden="1" x14ac:dyDescent="0.25">
      <c r="Y18806" s="501"/>
    </row>
    <row r="18807" spans="25:25" hidden="1" x14ac:dyDescent="0.25">
      <c r="Y18807" s="501"/>
    </row>
    <row r="18808" spans="25:25" hidden="1" x14ac:dyDescent="0.25">
      <c r="Y18808" s="501"/>
    </row>
    <row r="18809" spans="25:25" hidden="1" x14ac:dyDescent="0.25">
      <c r="Y18809" s="501"/>
    </row>
    <row r="18810" spans="25:25" hidden="1" x14ac:dyDescent="0.25">
      <c r="Y18810" s="501"/>
    </row>
    <row r="18811" spans="25:25" hidden="1" x14ac:dyDescent="0.25">
      <c r="Y18811" s="501"/>
    </row>
    <row r="18812" spans="25:25" hidden="1" x14ac:dyDescent="0.25">
      <c r="Y18812" s="501"/>
    </row>
    <row r="18813" spans="25:25" hidden="1" x14ac:dyDescent="0.25">
      <c r="Y18813" s="501"/>
    </row>
    <row r="18814" spans="25:25" hidden="1" x14ac:dyDescent="0.25">
      <c r="Y18814" s="501"/>
    </row>
    <row r="18815" spans="25:25" hidden="1" x14ac:dyDescent="0.25">
      <c r="Y18815" s="501"/>
    </row>
    <row r="18816" spans="25:25" hidden="1" x14ac:dyDescent="0.25">
      <c r="Y18816" s="501"/>
    </row>
    <row r="18817" spans="25:25" hidden="1" x14ac:dyDescent="0.25">
      <c r="Y18817" s="501"/>
    </row>
    <row r="18818" spans="25:25" hidden="1" x14ac:dyDescent="0.25">
      <c r="Y18818" s="501"/>
    </row>
    <row r="18819" spans="25:25" hidden="1" x14ac:dyDescent="0.25">
      <c r="Y18819" s="501"/>
    </row>
    <row r="18820" spans="25:25" hidden="1" x14ac:dyDescent="0.25">
      <c r="Y18820" s="501"/>
    </row>
    <row r="18821" spans="25:25" hidden="1" x14ac:dyDescent="0.25">
      <c r="Y18821" s="501"/>
    </row>
    <row r="18822" spans="25:25" hidden="1" x14ac:dyDescent="0.25">
      <c r="Y18822" s="501"/>
    </row>
    <row r="18823" spans="25:25" hidden="1" x14ac:dyDescent="0.25">
      <c r="Y18823" s="501"/>
    </row>
    <row r="18824" spans="25:25" hidden="1" x14ac:dyDescent="0.25">
      <c r="Y18824" s="501"/>
    </row>
    <row r="18825" spans="25:25" hidden="1" x14ac:dyDescent="0.25">
      <c r="Y18825" s="501"/>
    </row>
    <row r="18826" spans="25:25" hidden="1" x14ac:dyDescent="0.25">
      <c r="Y18826" s="501"/>
    </row>
    <row r="18827" spans="25:25" hidden="1" x14ac:dyDescent="0.25">
      <c r="Y18827" s="501"/>
    </row>
    <row r="18828" spans="25:25" hidden="1" x14ac:dyDescent="0.25">
      <c r="Y18828" s="501"/>
    </row>
    <row r="18829" spans="25:25" hidden="1" x14ac:dyDescent="0.25">
      <c r="Y18829" s="501"/>
    </row>
    <row r="18830" spans="25:25" hidden="1" x14ac:dyDescent="0.25">
      <c r="Y18830" s="501"/>
    </row>
    <row r="18831" spans="25:25" hidden="1" x14ac:dyDescent="0.25">
      <c r="Y18831" s="501"/>
    </row>
    <row r="18832" spans="25:25" hidden="1" x14ac:dyDescent="0.25">
      <c r="Y18832" s="501"/>
    </row>
    <row r="18833" spans="25:25" hidden="1" x14ac:dyDescent="0.25">
      <c r="Y18833" s="501"/>
    </row>
    <row r="18834" spans="25:25" hidden="1" x14ac:dyDescent="0.25">
      <c r="Y18834" s="501"/>
    </row>
    <row r="18835" spans="25:25" hidden="1" x14ac:dyDescent="0.25">
      <c r="Y18835" s="501"/>
    </row>
    <row r="18836" spans="25:25" hidden="1" x14ac:dyDescent="0.25">
      <c r="Y18836" s="501"/>
    </row>
    <row r="18837" spans="25:25" hidden="1" x14ac:dyDescent="0.25">
      <c r="Y18837" s="501"/>
    </row>
    <row r="18838" spans="25:25" hidden="1" x14ac:dyDescent="0.25">
      <c r="Y18838" s="501"/>
    </row>
    <row r="18839" spans="25:25" hidden="1" x14ac:dyDescent="0.25">
      <c r="Y18839" s="501"/>
    </row>
    <row r="18840" spans="25:25" hidden="1" x14ac:dyDescent="0.25">
      <c r="Y18840" s="501"/>
    </row>
    <row r="18841" spans="25:25" hidden="1" x14ac:dyDescent="0.25">
      <c r="Y18841" s="501"/>
    </row>
    <row r="18842" spans="25:25" hidden="1" x14ac:dyDescent="0.25">
      <c r="Y18842" s="501"/>
    </row>
    <row r="18843" spans="25:25" hidden="1" x14ac:dyDescent="0.25">
      <c r="Y18843" s="501"/>
    </row>
    <row r="18844" spans="25:25" hidden="1" x14ac:dyDescent="0.25">
      <c r="Y18844" s="501"/>
    </row>
    <row r="18845" spans="25:25" hidden="1" x14ac:dyDescent="0.25">
      <c r="Y18845" s="501"/>
    </row>
    <row r="18846" spans="25:25" hidden="1" x14ac:dyDescent="0.25">
      <c r="Y18846" s="501"/>
    </row>
    <row r="18847" spans="25:25" hidden="1" x14ac:dyDescent="0.25">
      <c r="Y18847" s="501"/>
    </row>
    <row r="18848" spans="25:25" hidden="1" x14ac:dyDescent="0.25">
      <c r="Y18848" s="501"/>
    </row>
    <row r="18849" spans="25:25" hidden="1" x14ac:dyDescent="0.25">
      <c r="Y18849" s="501"/>
    </row>
    <row r="18850" spans="25:25" hidden="1" x14ac:dyDescent="0.25">
      <c r="Y18850" s="501"/>
    </row>
    <row r="18851" spans="25:25" hidden="1" x14ac:dyDescent="0.25">
      <c r="Y18851" s="501"/>
    </row>
    <row r="18852" spans="25:25" hidden="1" x14ac:dyDescent="0.25">
      <c r="Y18852" s="501"/>
    </row>
    <row r="18853" spans="25:25" hidden="1" x14ac:dyDescent="0.25">
      <c r="Y18853" s="501"/>
    </row>
    <row r="18854" spans="25:25" hidden="1" x14ac:dyDescent="0.25">
      <c r="Y18854" s="501"/>
    </row>
    <row r="18855" spans="25:25" hidden="1" x14ac:dyDescent="0.25">
      <c r="Y18855" s="501"/>
    </row>
    <row r="18856" spans="25:25" hidden="1" x14ac:dyDescent="0.25">
      <c r="Y18856" s="501"/>
    </row>
    <row r="18857" spans="25:25" hidden="1" x14ac:dyDescent="0.25">
      <c r="Y18857" s="501"/>
    </row>
    <row r="18858" spans="25:25" hidden="1" x14ac:dyDescent="0.25">
      <c r="Y18858" s="501"/>
    </row>
    <row r="18859" spans="25:25" hidden="1" x14ac:dyDescent="0.25">
      <c r="Y18859" s="501"/>
    </row>
    <row r="18860" spans="25:25" hidden="1" x14ac:dyDescent="0.25">
      <c r="Y18860" s="501"/>
    </row>
    <row r="18861" spans="25:25" hidden="1" x14ac:dyDescent="0.25">
      <c r="Y18861" s="501"/>
    </row>
    <row r="18862" spans="25:25" hidden="1" x14ac:dyDescent="0.25">
      <c r="Y18862" s="501"/>
    </row>
    <row r="18863" spans="25:25" hidden="1" x14ac:dyDescent="0.25">
      <c r="Y18863" s="501"/>
    </row>
    <row r="18864" spans="25:25" hidden="1" x14ac:dyDescent="0.25">
      <c r="Y18864" s="501"/>
    </row>
    <row r="18865" spans="25:25" hidden="1" x14ac:dyDescent="0.25">
      <c r="Y18865" s="501"/>
    </row>
    <row r="18866" spans="25:25" hidden="1" x14ac:dyDescent="0.25">
      <c r="Y18866" s="501"/>
    </row>
    <row r="18867" spans="25:25" hidden="1" x14ac:dyDescent="0.25">
      <c r="Y18867" s="501"/>
    </row>
    <row r="18868" spans="25:25" hidden="1" x14ac:dyDescent="0.25">
      <c r="Y18868" s="501"/>
    </row>
    <row r="18869" spans="25:25" hidden="1" x14ac:dyDescent="0.25">
      <c r="Y18869" s="501"/>
    </row>
    <row r="18870" spans="25:25" hidden="1" x14ac:dyDescent="0.25">
      <c r="Y18870" s="501"/>
    </row>
    <row r="18871" spans="25:25" hidden="1" x14ac:dyDescent="0.25">
      <c r="Y18871" s="501"/>
    </row>
    <row r="18872" spans="25:25" hidden="1" x14ac:dyDescent="0.25">
      <c r="Y18872" s="501"/>
    </row>
    <row r="18873" spans="25:25" hidden="1" x14ac:dyDescent="0.25">
      <c r="Y18873" s="501"/>
    </row>
    <row r="18874" spans="25:25" hidden="1" x14ac:dyDescent="0.25">
      <c r="Y18874" s="501"/>
    </row>
    <row r="18875" spans="25:25" hidden="1" x14ac:dyDescent="0.25">
      <c r="Y18875" s="501"/>
    </row>
    <row r="18876" spans="25:25" hidden="1" x14ac:dyDescent="0.25">
      <c r="Y18876" s="501"/>
    </row>
    <row r="18877" spans="25:25" hidden="1" x14ac:dyDescent="0.25">
      <c r="Y18877" s="501"/>
    </row>
    <row r="18878" spans="25:25" hidden="1" x14ac:dyDescent="0.25">
      <c r="Y18878" s="501"/>
    </row>
    <row r="18879" spans="25:25" hidden="1" x14ac:dyDescent="0.25">
      <c r="Y18879" s="501"/>
    </row>
    <row r="18880" spans="25:25" hidden="1" x14ac:dyDescent="0.25">
      <c r="Y18880" s="501"/>
    </row>
    <row r="18881" spans="25:25" hidden="1" x14ac:dyDescent="0.25">
      <c r="Y18881" s="501"/>
    </row>
    <row r="18882" spans="25:25" hidden="1" x14ac:dyDescent="0.25">
      <c r="Y18882" s="501"/>
    </row>
    <row r="18883" spans="25:25" hidden="1" x14ac:dyDescent="0.25">
      <c r="Y18883" s="501"/>
    </row>
    <row r="18884" spans="25:25" hidden="1" x14ac:dyDescent="0.25">
      <c r="Y18884" s="501"/>
    </row>
    <row r="18885" spans="25:25" hidden="1" x14ac:dyDescent="0.25">
      <c r="Y18885" s="501"/>
    </row>
    <row r="18886" spans="25:25" hidden="1" x14ac:dyDescent="0.25">
      <c r="Y18886" s="501"/>
    </row>
    <row r="18887" spans="25:25" hidden="1" x14ac:dyDescent="0.25">
      <c r="Y18887" s="501"/>
    </row>
    <row r="18888" spans="25:25" hidden="1" x14ac:dyDescent="0.25">
      <c r="Y18888" s="501"/>
    </row>
    <row r="18889" spans="25:25" hidden="1" x14ac:dyDescent="0.25">
      <c r="Y18889" s="501"/>
    </row>
    <row r="18890" spans="25:25" hidden="1" x14ac:dyDescent="0.25">
      <c r="Y18890" s="501"/>
    </row>
    <row r="18891" spans="25:25" hidden="1" x14ac:dyDescent="0.25">
      <c r="Y18891" s="501"/>
    </row>
    <row r="18892" spans="25:25" hidden="1" x14ac:dyDescent="0.25">
      <c r="Y18892" s="501"/>
    </row>
    <row r="18893" spans="25:25" hidden="1" x14ac:dyDescent="0.25">
      <c r="Y18893" s="501"/>
    </row>
    <row r="18894" spans="25:25" hidden="1" x14ac:dyDescent="0.25">
      <c r="Y18894" s="501"/>
    </row>
    <row r="18895" spans="25:25" hidden="1" x14ac:dyDescent="0.25">
      <c r="Y18895" s="501"/>
    </row>
    <row r="18896" spans="25:25" hidden="1" x14ac:dyDescent="0.25">
      <c r="Y18896" s="501"/>
    </row>
    <row r="18897" spans="25:25" hidden="1" x14ac:dyDescent="0.25">
      <c r="Y18897" s="501"/>
    </row>
    <row r="18898" spans="25:25" hidden="1" x14ac:dyDescent="0.25">
      <c r="Y18898" s="501"/>
    </row>
    <row r="18899" spans="25:25" hidden="1" x14ac:dyDescent="0.25">
      <c r="Y18899" s="501"/>
    </row>
    <row r="18900" spans="25:25" hidden="1" x14ac:dyDescent="0.25">
      <c r="Y18900" s="501"/>
    </row>
    <row r="18901" spans="25:25" hidden="1" x14ac:dyDescent="0.25">
      <c r="Y18901" s="501"/>
    </row>
    <row r="18902" spans="25:25" hidden="1" x14ac:dyDescent="0.25">
      <c r="Y18902" s="501"/>
    </row>
    <row r="18903" spans="25:25" hidden="1" x14ac:dyDescent="0.25">
      <c r="Y18903" s="501"/>
    </row>
    <row r="18904" spans="25:25" hidden="1" x14ac:dyDescent="0.25">
      <c r="Y18904" s="501"/>
    </row>
    <row r="18905" spans="25:25" hidden="1" x14ac:dyDescent="0.25">
      <c r="Y18905" s="501"/>
    </row>
    <row r="18906" spans="25:25" hidden="1" x14ac:dyDescent="0.25">
      <c r="Y18906" s="501"/>
    </row>
    <row r="18907" spans="25:25" hidden="1" x14ac:dyDescent="0.25">
      <c r="Y18907" s="501"/>
    </row>
    <row r="18908" spans="25:25" hidden="1" x14ac:dyDescent="0.25">
      <c r="Y18908" s="501"/>
    </row>
    <row r="18909" spans="25:25" hidden="1" x14ac:dyDescent="0.25">
      <c r="Y18909" s="501"/>
    </row>
    <row r="18910" spans="25:25" hidden="1" x14ac:dyDescent="0.25">
      <c r="Y18910" s="501"/>
    </row>
    <row r="18911" spans="25:25" hidden="1" x14ac:dyDescent="0.25">
      <c r="Y18911" s="501"/>
    </row>
    <row r="18912" spans="25:25" hidden="1" x14ac:dyDescent="0.25">
      <c r="Y18912" s="501"/>
    </row>
    <row r="18913" spans="25:25" hidden="1" x14ac:dyDescent="0.25">
      <c r="Y18913" s="501"/>
    </row>
    <row r="18914" spans="25:25" hidden="1" x14ac:dyDescent="0.25">
      <c r="Y18914" s="501"/>
    </row>
    <row r="18915" spans="25:25" hidden="1" x14ac:dyDescent="0.25">
      <c r="Y18915" s="501"/>
    </row>
    <row r="18916" spans="25:25" hidden="1" x14ac:dyDescent="0.25">
      <c r="Y18916" s="501"/>
    </row>
    <row r="18917" spans="25:25" hidden="1" x14ac:dyDescent="0.25">
      <c r="Y18917" s="501"/>
    </row>
    <row r="18918" spans="25:25" hidden="1" x14ac:dyDescent="0.25">
      <c r="Y18918" s="501"/>
    </row>
    <row r="18919" spans="25:25" hidden="1" x14ac:dyDescent="0.25">
      <c r="Y18919" s="501"/>
    </row>
    <row r="18920" spans="25:25" hidden="1" x14ac:dyDescent="0.25">
      <c r="Y18920" s="501"/>
    </row>
    <row r="18921" spans="25:25" hidden="1" x14ac:dyDescent="0.25">
      <c r="Y18921" s="501"/>
    </row>
    <row r="18922" spans="25:25" hidden="1" x14ac:dyDescent="0.25">
      <c r="Y18922" s="501"/>
    </row>
    <row r="18923" spans="25:25" hidden="1" x14ac:dyDescent="0.25">
      <c r="Y18923" s="501"/>
    </row>
    <row r="18924" spans="25:25" hidden="1" x14ac:dyDescent="0.25">
      <c r="Y18924" s="501"/>
    </row>
    <row r="18925" spans="25:25" hidden="1" x14ac:dyDescent="0.25">
      <c r="Y18925" s="501"/>
    </row>
    <row r="18926" spans="25:25" hidden="1" x14ac:dyDescent="0.25">
      <c r="Y18926" s="501"/>
    </row>
    <row r="18927" spans="25:25" hidden="1" x14ac:dyDescent="0.25">
      <c r="Y18927" s="501"/>
    </row>
    <row r="18928" spans="25:25" hidden="1" x14ac:dyDescent="0.25">
      <c r="Y18928" s="501"/>
    </row>
    <row r="18929" spans="25:25" hidden="1" x14ac:dyDescent="0.25">
      <c r="Y18929" s="501"/>
    </row>
    <row r="18930" spans="25:25" hidden="1" x14ac:dyDescent="0.25">
      <c r="Y18930" s="501"/>
    </row>
    <row r="18931" spans="25:25" hidden="1" x14ac:dyDescent="0.25">
      <c r="Y18931" s="501"/>
    </row>
    <row r="18932" spans="25:25" hidden="1" x14ac:dyDescent="0.25">
      <c r="Y18932" s="501"/>
    </row>
    <row r="18933" spans="25:25" hidden="1" x14ac:dyDescent="0.25">
      <c r="Y18933" s="501"/>
    </row>
    <row r="18934" spans="25:25" hidden="1" x14ac:dyDescent="0.25">
      <c r="Y18934" s="501"/>
    </row>
    <row r="18935" spans="25:25" hidden="1" x14ac:dyDescent="0.25">
      <c r="Y18935" s="501"/>
    </row>
    <row r="18936" spans="25:25" hidden="1" x14ac:dyDescent="0.25">
      <c r="Y18936" s="501"/>
    </row>
    <row r="18937" spans="25:25" hidden="1" x14ac:dyDescent="0.25">
      <c r="Y18937" s="501"/>
    </row>
    <row r="18938" spans="25:25" hidden="1" x14ac:dyDescent="0.25">
      <c r="Y18938" s="501"/>
    </row>
    <row r="18939" spans="25:25" hidden="1" x14ac:dyDescent="0.25">
      <c r="Y18939" s="501"/>
    </row>
    <row r="18940" spans="25:25" hidden="1" x14ac:dyDescent="0.25">
      <c r="Y18940" s="501"/>
    </row>
    <row r="18941" spans="25:25" hidden="1" x14ac:dyDescent="0.25">
      <c r="Y18941" s="501"/>
    </row>
    <row r="18942" spans="25:25" hidden="1" x14ac:dyDescent="0.25">
      <c r="Y18942" s="501"/>
    </row>
    <row r="18943" spans="25:25" hidden="1" x14ac:dyDescent="0.25">
      <c r="Y18943" s="501"/>
    </row>
    <row r="18944" spans="25:25" hidden="1" x14ac:dyDescent="0.25">
      <c r="Y18944" s="501"/>
    </row>
    <row r="18945" spans="25:25" hidden="1" x14ac:dyDescent="0.25">
      <c r="Y18945" s="501"/>
    </row>
    <row r="18946" spans="25:25" hidden="1" x14ac:dyDescent="0.25">
      <c r="Y18946" s="501"/>
    </row>
    <row r="18947" spans="25:25" hidden="1" x14ac:dyDescent="0.25">
      <c r="Y18947" s="501"/>
    </row>
    <row r="18948" spans="25:25" hidden="1" x14ac:dyDescent="0.25">
      <c r="Y18948" s="501"/>
    </row>
    <row r="18949" spans="25:25" hidden="1" x14ac:dyDescent="0.25">
      <c r="Y18949" s="501"/>
    </row>
    <row r="18950" spans="25:25" hidden="1" x14ac:dyDescent="0.25">
      <c r="Y18950" s="501"/>
    </row>
    <row r="18951" spans="25:25" hidden="1" x14ac:dyDescent="0.25">
      <c r="Y18951" s="501"/>
    </row>
    <row r="18952" spans="25:25" hidden="1" x14ac:dyDescent="0.25">
      <c r="Y18952" s="501"/>
    </row>
    <row r="18953" spans="25:25" hidden="1" x14ac:dyDescent="0.25">
      <c r="Y18953" s="501"/>
    </row>
    <row r="18954" spans="25:25" hidden="1" x14ac:dyDescent="0.25">
      <c r="Y18954" s="501"/>
    </row>
    <row r="18955" spans="25:25" hidden="1" x14ac:dyDescent="0.25">
      <c r="Y18955" s="501"/>
    </row>
    <row r="18956" spans="25:25" hidden="1" x14ac:dyDescent="0.25">
      <c r="Y18956" s="501"/>
    </row>
    <row r="18957" spans="25:25" hidden="1" x14ac:dyDescent="0.25">
      <c r="Y18957" s="501"/>
    </row>
    <row r="18958" spans="25:25" hidden="1" x14ac:dyDescent="0.25">
      <c r="Y18958" s="501"/>
    </row>
    <row r="18959" spans="25:25" hidden="1" x14ac:dyDescent="0.25">
      <c r="Y18959" s="501"/>
    </row>
    <row r="18960" spans="25:25" hidden="1" x14ac:dyDescent="0.25">
      <c r="Y18960" s="501"/>
    </row>
    <row r="18961" spans="25:25" hidden="1" x14ac:dyDescent="0.25">
      <c r="Y18961" s="501"/>
    </row>
    <row r="18962" spans="25:25" hidden="1" x14ac:dyDescent="0.25">
      <c r="Y18962" s="501"/>
    </row>
    <row r="18963" spans="25:25" hidden="1" x14ac:dyDescent="0.25">
      <c r="Y18963" s="501"/>
    </row>
    <row r="18964" spans="25:25" hidden="1" x14ac:dyDescent="0.25">
      <c r="Y18964" s="501"/>
    </row>
    <row r="18965" spans="25:25" hidden="1" x14ac:dyDescent="0.25">
      <c r="Y18965" s="501"/>
    </row>
    <row r="18966" spans="25:25" hidden="1" x14ac:dyDescent="0.25">
      <c r="Y18966" s="501"/>
    </row>
    <row r="18967" spans="25:25" hidden="1" x14ac:dyDescent="0.25">
      <c r="Y18967" s="501"/>
    </row>
    <row r="18968" spans="25:25" hidden="1" x14ac:dyDescent="0.25">
      <c r="Y18968" s="501"/>
    </row>
    <row r="18969" spans="25:25" hidden="1" x14ac:dyDescent="0.25">
      <c r="Y18969" s="501"/>
    </row>
    <row r="18970" spans="25:25" hidden="1" x14ac:dyDescent="0.25">
      <c r="Y18970" s="501"/>
    </row>
    <row r="18971" spans="25:25" hidden="1" x14ac:dyDescent="0.25">
      <c r="Y18971" s="501"/>
    </row>
    <row r="18972" spans="25:25" hidden="1" x14ac:dyDescent="0.25">
      <c r="Y18972" s="501"/>
    </row>
    <row r="18973" spans="25:25" hidden="1" x14ac:dyDescent="0.25">
      <c r="Y18973" s="501"/>
    </row>
    <row r="18974" spans="25:25" hidden="1" x14ac:dyDescent="0.25">
      <c r="Y18974" s="501"/>
    </row>
    <row r="18975" spans="25:25" hidden="1" x14ac:dyDescent="0.25">
      <c r="Y18975" s="501"/>
    </row>
    <row r="18976" spans="25:25" hidden="1" x14ac:dyDescent="0.25">
      <c r="Y18976" s="501"/>
    </row>
    <row r="18977" spans="25:25" hidden="1" x14ac:dyDescent="0.25">
      <c r="Y18977" s="501"/>
    </row>
    <row r="18978" spans="25:25" hidden="1" x14ac:dyDescent="0.25">
      <c r="Y18978" s="501"/>
    </row>
    <row r="18979" spans="25:25" hidden="1" x14ac:dyDescent="0.25">
      <c r="Y18979" s="501"/>
    </row>
    <row r="18980" spans="25:25" hidden="1" x14ac:dyDescent="0.25">
      <c r="Y18980" s="501"/>
    </row>
    <row r="18981" spans="25:25" hidden="1" x14ac:dyDescent="0.25">
      <c r="Y18981" s="501"/>
    </row>
    <row r="18982" spans="25:25" hidden="1" x14ac:dyDescent="0.25">
      <c r="Y18982" s="501"/>
    </row>
    <row r="18983" spans="25:25" hidden="1" x14ac:dyDescent="0.25">
      <c r="Y18983" s="501"/>
    </row>
    <row r="18984" spans="25:25" hidden="1" x14ac:dyDescent="0.25">
      <c r="Y18984" s="501"/>
    </row>
    <row r="18985" spans="25:25" hidden="1" x14ac:dyDescent="0.25">
      <c r="Y18985" s="501"/>
    </row>
    <row r="18986" spans="25:25" hidden="1" x14ac:dyDescent="0.25">
      <c r="Y18986" s="501"/>
    </row>
    <row r="18987" spans="25:25" hidden="1" x14ac:dyDescent="0.25">
      <c r="Y18987" s="501"/>
    </row>
    <row r="18988" spans="25:25" hidden="1" x14ac:dyDescent="0.25">
      <c r="Y18988" s="501"/>
    </row>
    <row r="18989" spans="25:25" hidden="1" x14ac:dyDescent="0.25">
      <c r="Y18989" s="501"/>
    </row>
    <row r="18990" spans="25:25" hidden="1" x14ac:dyDescent="0.25">
      <c r="Y18990" s="501"/>
    </row>
    <row r="18991" spans="25:25" hidden="1" x14ac:dyDescent="0.25">
      <c r="Y18991" s="501"/>
    </row>
    <row r="18992" spans="25:25" hidden="1" x14ac:dyDescent="0.25">
      <c r="Y18992" s="501"/>
    </row>
    <row r="18993" spans="25:25" hidden="1" x14ac:dyDescent="0.25">
      <c r="Y18993" s="501"/>
    </row>
    <row r="18994" spans="25:25" hidden="1" x14ac:dyDescent="0.25">
      <c r="Y18994" s="501"/>
    </row>
    <row r="18995" spans="25:25" hidden="1" x14ac:dyDescent="0.25">
      <c r="Y18995" s="501"/>
    </row>
    <row r="18996" spans="25:25" hidden="1" x14ac:dyDescent="0.25">
      <c r="Y18996" s="501"/>
    </row>
    <row r="18997" spans="25:25" hidden="1" x14ac:dyDescent="0.25">
      <c r="Y18997" s="501"/>
    </row>
    <row r="18998" spans="25:25" hidden="1" x14ac:dyDescent="0.25">
      <c r="Y18998" s="501"/>
    </row>
    <row r="18999" spans="25:25" hidden="1" x14ac:dyDescent="0.25">
      <c r="Y18999" s="501"/>
    </row>
    <row r="19000" spans="25:25" hidden="1" x14ac:dyDescent="0.25">
      <c r="Y19000" s="501"/>
    </row>
    <row r="19001" spans="25:25" hidden="1" x14ac:dyDescent="0.25">
      <c r="Y19001" s="501"/>
    </row>
    <row r="19002" spans="25:25" hidden="1" x14ac:dyDescent="0.25">
      <c r="Y19002" s="501"/>
    </row>
    <row r="19003" spans="25:25" hidden="1" x14ac:dyDescent="0.25">
      <c r="Y19003" s="501"/>
    </row>
    <row r="19004" spans="25:25" hidden="1" x14ac:dyDescent="0.25">
      <c r="Y19004" s="501"/>
    </row>
    <row r="19005" spans="25:25" hidden="1" x14ac:dyDescent="0.25">
      <c r="Y19005" s="501"/>
    </row>
    <row r="19006" spans="25:25" hidden="1" x14ac:dyDescent="0.25">
      <c r="Y19006" s="501"/>
    </row>
    <row r="19007" spans="25:25" hidden="1" x14ac:dyDescent="0.25">
      <c r="Y19007" s="501"/>
    </row>
    <row r="19008" spans="25:25" hidden="1" x14ac:dyDescent="0.25">
      <c r="Y19008" s="501"/>
    </row>
    <row r="19009" spans="25:25" hidden="1" x14ac:dyDescent="0.25">
      <c r="Y19009" s="501"/>
    </row>
    <row r="19010" spans="25:25" hidden="1" x14ac:dyDescent="0.25">
      <c r="Y19010" s="501"/>
    </row>
    <row r="19011" spans="25:25" hidden="1" x14ac:dyDescent="0.25">
      <c r="Y19011" s="501"/>
    </row>
    <row r="19012" spans="25:25" hidden="1" x14ac:dyDescent="0.25">
      <c r="Y19012" s="501"/>
    </row>
    <row r="19013" spans="25:25" hidden="1" x14ac:dyDescent="0.25">
      <c r="Y19013" s="501"/>
    </row>
    <row r="19014" spans="25:25" hidden="1" x14ac:dyDescent="0.25">
      <c r="Y19014" s="501"/>
    </row>
    <row r="19015" spans="25:25" hidden="1" x14ac:dyDescent="0.25">
      <c r="Y19015" s="501"/>
    </row>
    <row r="19016" spans="25:25" hidden="1" x14ac:dyDescent="0.25">
      <c r="Y19016" s="501"/>
    </row>
    <row r="19017" spans="25:25" hidden="1" x14ac:dyDescent="0.25">
      <c r="Y19017" s="501"/>
    </row>
    <row r="19018" spans="25:25" hidden="1" x14ac:dyDescent="0.25">
      <c r="Y19018" s="501"/>
    </row>
    <row r="19019" spans="25:25" hidden="1" x14ac:dyDescent="0.25">
      <c r="Y19019" s="501"/>
    </row>
    <row r="19020" spans="25:25" hidden="1" x14ac:dyDescent="0.25">
      <c r="Y19020" s="501"/>
    </row>
    <row r="19021" spans="25:25" hidden="1" x14ac:dyDescent="0.25">
      <c r="Y19021" s="501"/>
    </row>
    <row r="19022" spans="25:25" hidden="1" x14ac:dyDescent="0.25">
      <c r="Y19022" s="501"/>
    </row>
    <row r="19023" spans="25:25" hidden="1" x14ac:dyDescent="0.25">
      <c r="Y19023" s="501"/>
    </row>
    <row r="19024" spans="25:25" hidden="1" x14ac:dyDescent="0.25">
      <c r="Y19024" s="501"/>
    </row>
    <row r="19025" spans="25:25" hidden="1" x14ac:dyDescent="0.25">
      <c r="Y19025" s="501"/>
    </row>
    <row r="19026" spans="25:25" hidden="1" x14ac:dyDescent="0.25">
      <c r="Y19026" s="501"/>
    </row>
    <row r="19027" spans="25:25" hidden="1" x14ac:dyDescent="0.25">
      <c r="Y19027" s="501"/>
    </row>
    <row r="19028" spans="25:25" hidden="1" x14ac:dyDescent="0.25">
      <c r="Y19028" s="501"/>
    </row>
    <row r="19029" spans="25:25" hidden="1" x14ac:dyDescent="0.25">
      <c r="Y19029" s="501"/>
    </row>
    <row r="19030" spans="25:25" hidden="1" x14ac:dyDescent="0.25">
      <c r="Y19030" s="501"/>
    </row>
    <row r="19031" spans="25:25" hidden="1" x14ac:dyDescent="0.25">
      <c r="Y19031" s="501"/>
    </row>
    <row r="19032" spans="25:25" hidden="1" x14ac:dyDescent="0.25">
      <c r="Y19032" s="501"/>
    </row>
    <row r="19033" spans="25:25" hidden="1" x14ac:dyDescent="0.25">
      <c r="Y19033" s="501"/>
    </row>
    <row r="19034" spans="25:25" hidden="1" x14ac:dyDescent="0.25">
      <c r="Y19034" s="501"/>
    </row>
    <row r="19035" spans="25:25" hidden="1" x14ac:dyDescent="0.25">
      <c r="Y19035" s="501"/>
    </row>
    <row r="19036" spans="25:25" hidden="1" x14ac:dyDescent="0.25">
      <c r="Y19036" s="501"/>
    </row>
    <row r="19037" spans="25:25" hidden="1" x14ac:dyDescent="0.25">
      <c r="Y19037" s="501"/>
    </row>
    <row r="19038" spans="25:25" hidden="1" x14ac:dyDescent="0.25">
      <c r="Y19038" s="501"/>
    </row>
    <row r="19039" spans="25:25" hidden="1" x14ac:dyDescent="0.25">
      <c r="Y19039" s="501"/>
    </row>
    <row r="19040" spans="25:25" hidden="1" x14ac:dyDescent="0.25">
      <c r="Y19040" s="501"/>
    </row>
    <row r="19041" spans="25:25" hidden="1" x14ac:dyDescent="0.25">
      <c r="Y19041" s="501"/>
    </row>
    <row r="19042" spans="25:25" hidden="1" x14ac:dyDescent="0.25">
      <c r="Y19042" s="501"/>
    </row>
    <row r="19043" spans="25:25" hidden="1" x14ac:dyDescent="0.25">
      <c r="Y19043" s="501"/>
    </row>
    <row r="19044" spans="25:25" hidden="1" x14ac:dyDescent="0.25">
      <c r="Y19044" s="501"/>
    </row>
    <row r="19045" spans="25:25" hidden="1" x14ac:dyDescent="0.25">
      <c r="Y19045" s="501"/>
    </row>
    <row r="19046" spans="25:25" hidden="1" x14ac:dyDescent="0.25">
      <c r="Y19046" s="501"/>
    </row>
    <row r="19047" spans="25:25" hidden="1" x14ac:dyDescent="0.25">
      <c r="Y19047" s="501"/>
    </row>
    <row r="19048" spans="25:25" hidden="1" x14ac:dyDescent="0.25">
      <c r="Y19048" s="501"/>
    </row>
    <row r="19049" spans="25:25" hidden="1" x14ac:dyDescent="0.25">
      <c r="Y19049" s="501"/>
    </row>
    <row r="19050" spans="25:25" hidden="1" x14ac:dyDescent="0.25">
      <c r="Y19050" s="501"/>
    </row>
    <row r="19051" spans="25:25" hidden="1" x14ac:dyDescent="0.25">
      <c r="Y19051" s="501"/>
    </row>
    <row r="19052" spans="25:25" hidden="1" x14ac:dyDescent="0.25">
      <c r="Y19052" s="501"/>
    </row>
    <row r="19053" spans="25:25" hidden="1" x14ac:dyDescent="0.25">
      <c r="Y19053" s="501"/>
    </row>
    <row r="19054" spans="25:25" hidden="1" x14ac:dyDescent="0.25">
      <c r="Y19054" s="501"/>
    </row>
    <row r="19055" spans="25:25" hidden="1" x14ac:dyDescent="0.25">
      <c r="Y19055" s="501"/>
    </row>
    <row r="19056" spans="25:25" hidden="1" x14ac:dyDescent="0.25">
      <c r="Y19056" s="501"/>
    </row>
    <row r="19057" spans="25:25" hidden="1" x14ac:dyDescent="0.25">
      <c r="Y19057" s="501"/>
    </row>
    <row r="19058" spans="25:25" hidden="1" x14ac:dyDescent="0.25">
      <c r="Y19058" s="501"/>
    </row>
    <row r="19059" spans="25:25" hidden="1" x14ac:dyDescent="0.25">
      <c r="Y19059" s="501"/>
    </row>
    <row r="19060" spans="25:25" hidden="1" x14ac:dyDescent="0.25">
      <c r="Y19060" s="501"/>
    </row>
    <row r="19061" spans="25:25" hidden="1" x14ac:dyDescent="0.25">
      <c r="Y19061" s="501"/>
    </row>
    <row r="19062" spans="25:25" hidden="1" x14ac:dyDescent="0.25">
      <c r="Y19062" s="501"/>
    </row>
    <row r="19063" spans="25:25" hidden="1" x14ac:dyDescent="0.25">
      <c r="Y19063" s="501"/>
    </row>
    <row r="19064" spans="25:25" hidden="1" x14ac:dyDescent="0.25">
      <c r="Y19064" s="501"/>
    </row>
    <row r="19065" spans="25:25" hidden="1" x14ac:dyDescent="0.25">
      <c r="Y19065" s="501"/>
    </row>
    <row r="19066" spans="25:25" hidden="1" x14ac:dyDescent="0.25">
      <c r="Y19066" s="501"/>
    </row>
    <row r="19067" spans="25:25" hidden="1" x14ac:dyDescent="0.25">
      <c r="Y19067" s="501"/>
    </row>
    <row r="19068" spans="25:25" hidden="1" x14ac:dyDescent="0.25">
      <c r="Y19068" s="501"/>
    </row>
    <row r="19069" spans="25:25" hidden="1" x14ac:dyDescent="0.25">
      <c r="Y19069" s="501"/>
    </row>
    <row r="19070" spans="25:25" hidden="1" x14ac:dyDescent="0.25">
      <c r="Y19070" s="501"/>
    </row>
    <row r="19071" spans="25:25" hidden="1" x14ac:dyDescent="0.25">
      <c r="Y19071" s="501"/>
    </row>
    <row r="19072" spans="25:25" hidden="1" x14ac:dyDescent="0.25">
      <c r="Y19072" s="501"/>
    </row>
    <row r="19073" spans="25:25" hidden="1" x14ac:dyDescent="0.25">
      <c r="Y19073" s="501"/>
    </row>
    <row r="19074" spans="25:25" hidden="1" x14ac:dyDescent="0.25">
      <c r="Y19074" s="501"/>
    </row>
    <row r="19075" spans="25:25" hidden="1" x14ac:dyDescent="0.25">
      <c r="Y19075" s="501"/>
    </row>
    <row r="19076" spans="25:25" hidden="1" x14ac:dyDescent="0.25">
      <c r="Y19076" s="501"/>
    </row>
    <row r="19077" spans="25:25" hidden="1" x14ac:dyDescent="0.25">
      <c r="Y19077" s="501"/>
    </row>
    <row r="19078" spans="25:25" hidden="1" x14ac:dyDescent="0.25">
      <c r="Y19078" s="501"/>
    </row>
    <row r="19079" spans="25:25" hidden="1" x14ac:dyDescent="0.25">
      <c r="Y19079" s="501"/>
    </row>
    <row r="19080" spans="25:25" hidden="1" x14ac:dyDescent="0.25">
      <c r="Y19080" s="501"/>
    </row>
    <row r="19081" spans="25:25" hidden="1" x14ac:dyDescent="0.25">
      <c r="Y19081" s="501"/>
    </row>
    <row r="19082" spans="25:25" hidden="1" x14ac:dyDescent="0.25">
      <c r="Y19082" s="501"/>
    </row>
    <row r="19083" spans="25:25" hidden="1" x14ac:dyDescent="0.25">
      <c r="Y19083" s="501"/>
    </row>
    <row r="19084" spans="25:25" hidden="1" x14ac:dyDescent="0.25">
      <c r="Y19084" s="501"/>
    </row>
    <row r="19085" spans="25:25" hidden="1" x14ac:dyDescent="0.25">
      <c r="Y19085" s="501"/>
    </row>
    <row r="19086" spans="25:25" hidden="1" x14ac:dyDescent="0.25">
      <c r="Y19086" s="501"/>
    </row>
    <row r="19087" spans="25:25" hidden="1" x14ac:dyDescent="0.25">
      <c r="Y19087" s="501"/>
    </row>
    <row r="19088" spans="25:25" hidden="1" x14ac:dyDescent="0.25">
      <c r="Y19088" s="501"/>
    </row>
    <row r="19089" spans="25:25" hidden="1" x14ac:dyDescent="0.25">
      <c r="Y19089" s="501"/>
    </row>
    <row r="19090" spans="25:25" hidden="1" x14ac:dyDescent="0.25">
      <c r="Y19090" s="501"/>
    </row>
    <row r="19091" spans="25:25" hidden="1" x14ac:dyDescent="0.25">
      <c r="Y19091" s="501"/>
    </row>
    <row r="19092" spans="25:25" hidden="1" x14ac:dyDescent="0.25">
      <c r="Y19092" s="501"/>
    </row>
    <row r="19093" spans="25:25" hidden="1" x14ac:dyDescent="0.25">
      <c r="Y19093" s="501"/>
    </row>
    <row r="19094" spans="25:25" hidden="1" x14ac:dyDescent="0.25">
      <c r="Y19094" s="501"/>
    </row>
    <row r="19095" spans="25:25" hidden="1" x14ac:dyDescent="0.25">
      <c r="Y19095" s="501"/>
    </row>
    <row r="19096" spans="25:25" hidden="1" x14ac:dyDescent="0.25">
      <c r="Y19096" s="501"/>
    </row>
    <row r="19097" spans="25:25" hidden="1" x14ac:dyDescent="0.25">
      <c r="Y19097" s="501"/>
    </row>
    <row r="19098" spans="25:25" hidden="1" x14ac:dyDescent="0.25">
      <c r="Y19098" s="501"/>
    </row>
    <row r="19099" spans="25:25" hidden="1" x14ac:dyDescent="0.25">
      <c r="Y19099" s="501"/>
    </row>
    <row r="19100" spans="25:25" hidden="1" x14ac:dyDescent="0.25">
      <c r="Y19100" s="501"/>
    </row>
    <row r="19101" spans="25:25" hidden="1" x14ac:dyDescent="0.25">
      <c r="Y19101" s="501"/>
    </row>
    <row r="19102" spans="25:25" hidden="1" x14ac:dyDescent="0.25">
      <c r="Y19102" s="501"/>
    </row>
    <row r="19103" spans="25:25" hidden="1" x14ac:dyDescent="0.25">
      <c r="Y19103" s="501"/>
    </row>
    <row r="19104" spans="25:25" hidden="1" x14ac:dyDescent="0.25">
      <c r="Y19104" s="501"/>
    </row>
    <row r="19105" spans="25:25" hidden="1" x14ac:dyDescent="0.25">
      <c r="Y19105" s="501"/>
    </row>
    <row r="19106" spans="25:25" hidden="1" x14ac:dyDescent="0.25">
      <c r="Y19106" s="501"/>
    </row>
    <row r="19107" spans="25:25" hidden="1" x14ac:dyDescent="0.25">
      <c r="Y19107" s="501"/>
    </row>
    <row r="19108" spans="25:25" hidden="1" x14ac:dyDescent="0.25">
      <c r="Y19108" s="501"/>
    </row>
    <row r="19109" spans="25:25" hidden="1" x14ac:dyDescent="0.25">
      <c r="Y19109" s="501"/>
    </row>
    <row r="19110" spans="25:25" hidden="1" x14ac:dyDescent="0.25">
      <c r="Y19110" s="501"/>
    </row>
    <row r="19111" spans="25:25" hidden="1" x14ac:dyDescent="0.25">
      <c r="Y19111" s="501"/>
    </row>
    <row r="19112" spans="25:25" hidden="1" x14ac:dyDescent="0.25">
      <c r="Y19112" s="501"/>
    </row>
    <row r="19113" spans="25:25" hidden="1" x14ac:dyDescent="0.25">
      <c r="Y19113" s="501"/>
    </row>
    <row r="19114" spans="25:25" hidden="1" x14ac:dyDescent="0.25">
      <c r="Y19114" s="501"/>
    </row>
    <row r="19115" spans="25:25" hidden="1" x14ac:dyDescent="0.25">
      <c r="Y19115" s="501"/>
    </row>
    <row r="19116" spans="25:25" hidden="1" x14ac:dyDescent="0.25">
      <c r="Y19116" s="501"/>
    </row>
    <row r="19117" spans="25:25" hidden="1" x14ac:dyDescent="0.25">
      <c r="Y19117" s="501"/>
    </row>
    <row r="19118" spans="25:25" hidden="1" x14ac:dyDescent="0.25">
      <c r="Y19118" s="501"/>
    </row>
    <row r="19119" spans="25:25" hidden="1" x14ac:dyDescent="0.25">
      <c r="Y19119" s="501"/>
    </row>
    <row r="19120" spans="25:25" hidden="1" x14ac:dyDescent="0.25">
      <c r="Y19120" s="501"/>
    </row>
    <row r="19121" spans="25:25" hidden="1" x14ac:dyDescent="0.25">
      <c r="Y19121" s="501"/>
    </row>
    <row r="19122" spans="25:25" hidden="1" x14ac:dyDescent="0.25">
      <c r="Y19122" s="501"/>
    </row>
    <row r="19123" spans="25:25" hidden="1" x14ac:dyDescent="0.25">
      <c r="Y19123" s="501"/>
    </row>
    <row r="19124" spans="25:25" hidden="1" x14ac:dyDescent="0.25">
      <c r="Y19124" s="501"/>
    </row>
    <row r="19125" spans="25:25" hidden="1" x14ac:dyDescent="0.25">
      <c r="Y19125" s="501"/>
    </row>
    <row r="19126" spans="25:25" hidden="1" x14ac:dyDescent="0.25">
      <c r="Y19126" s="501"/>
    </row>
    <row r="19127" spans="25:25" hidden="1" x14ac:dyDescent="0.25">
      <c r="Y19127" s="501"/>
    </row>
    <row r="19128" spans="25:25" hidden="1" x14ac:dyDescent="0.25">
      <c r="Y19128" s="501"/>
    </row>
    <row r="19129" spans="25:25" hidden="1" x14ac:dyDescent="0.25">
      <c r="Y19129" s="501"/>
    </row>
    <row r="19130" spans="25:25" hidden="1" x14ac:dyDescent="0.25">
      <c r="Y19130" s="501"/>
    </row>
    <row r="19131" spans="25:25" hidden="1" x14ac:dyDescent="0.25">
      <c r="Y19131" s="501"/>
    </row>
    <row r="19132" spans="25:25" hidden="1" x14ac:dyDescent="0.25">
      <c r="Y19132" s="501"/>
    </row>
    <row r="19133" spans="25:25" hidden="1" x14ac:dyDescent="0.25">
      <c r="Y19133" s="501"/>
    </row>
    <row r="19134" spans="25:25" hidden="1" x14ac:dyDescent="0.25">
      <c r="Y19134" s="501"/>
    </row>
    <row r="19135" spans="25:25" hidden="1" x14ac:dyDescent="0.25">
      <c r="Y19135" s="501"/>
    </row>
    <row r="19136" spans="25:25" hidden="1" x14ac:dyDescent="0.25">
      <c r="Y19136" s="501"/>
    </row>
    <row r="19137" spans="25:25" hidden="1" x14ac:dyDescent="0.25">
      <c r="Y19137" s="501"/>
    </row>
    <row r="19138" spans="25:25" hidden="1" x14ac:dyDescent="0.25">
      <c r="Y19138" s="501"/>
    </row>
    <row r="19139" spans="25:25" hidden="1" x14ac:dyDescent="0.25">
      <c r="Y19139" s="501"/>
    </row>
    <row r="19140" spans="25:25" hidden="1" x14ac:dyDescent="0.25">
      <c r="Y19140" s="501"/>
    </row>
    <row r="19141" spans="25:25" hidden="1" x14ac:dyDescent="0.25">
      <c r="Y19141" s="501"/>
    </row>
    <row r="19142" spans="25:25" hidden="1" x14ac:dyDescent="0.25">
      <c r="Y19142" s="501"/>
    </row>
    <row r="19143" spans="25:25" hidden="1" x14ac:dyDescent="0.25">
      <c r="Y19143" s="501"/>
    </row>
    <row r="19144" spans="25:25" hidden="1" x14ac:dyDescent="0.25">
      <c r="Y19144" s="501"/>
    </row>
    <row r="19145" spans="25:25" hidden="1" x14ac:dyDescent="0.25">
      <c r="Y19145" s="501"/>
    </row>
    <row r="19146" spans="25:25" hidden="1" x14ac:dyDescent="0.25">
      <c r="Y19146" s="501"/>
    </row>
    <row r="19147" spans="25:25" hidden="1" x14ac:dyDescent="0.25">
      <c r="Y19147" s="501"/>
    </row>
    <row r="19148" spans="25:25" hidden="1" x14ac:dyDescent="0.25">
      <c r="Y19148" s="501"/>
    </row>
    <row r="19149" spans="25:25" hidden="1" x14ac:dyDescent="0.25">
      <c r="Y19149" s="501"/>
    </row>
    <row r="19150" spans="25:25" hidden="1" x14ac:dyDescent="0.25">
      <c r="Y19150" s="501"/>
    </row>
    <row r="19151" spans="25:25" hidden="1" x14ac:dyDescent="0.25">
      <c r="Y19151" s="501"/>
    </row>
    <row r="19152" spans="25:25" hidden="1" x14ac:dyDescent="0.25">
      <c r="Y19152" s="501"/>
    </row>
    <row r="19153" spans="25:25" hidden="1" x14ac:dyDescent="0.25">
      <c r="Y19153" s="501"/>
    </row>
    <row r="19154" spans="25:25" hidden="1" x14ac:dyDescent="0.25">
      <c r="Y19154" s="501"/>
    </row>
    <row r="19155" spans="25:25" hidden="1" x14ac:dyDescent="0.25">
      <c r="Y19155" s="501"/>
    </row>
    <row r="19156" spans="25:25" hidden="1" x14ac:dyDescent="0.25">
      <c r="Y19156" s="501"/>
    </row>
    <row r="19157" spans="25:25" hidden="1" x14ac:dyDescent="0.25">
      <c r="Y19157" s="501"/>
    </row>
    <row r="19158" spans="25:25" hidden="1" x14ac:dyDescent="0.25">
      <c r="Y19158" s="501"/>
    </row>
    <row r="19159" spans="25:25" hidden="1" x14ac:dyDescent="0.25">
      <c r="Y19159" s="501"/>
    </row>
    <row r="19160" spans="25:25" hidden="1" x14ac:dyDescent="0.25">
      <c r="Y19160" s="501"/>
    </row>
    <row r="19161" spans="25:25" hidden="1" x14ac:dyDescent="0.25">
      <c r="Y19161" s="501"/>
    </row>
    <row r="19162" spans="25:25" hidden="1" x14ac:dyDescent="0.25">
      <c r="Y19162" s="501"/>
    </row>
    <row r="19163" spans="25:25" hidden="1" x14ac:dyDescent="0.25">
      <c r="Y19163" s="501"/>
    </row>
    <row r="19164" spans="25:25" hidden="1" x14ac:dyDescent="0.25">
      <c r="Y19164" s="501"/>
    </row>
    <row r="19165" spans="25:25" hidden="1" x14ac:dyDescent="0.25">
      <c r="Y19165" s="501"/>
    </row>
    <row r="19166" spans="25:25" hidden="1" x14ac:dyDescent="0.25">
      <c r="Y19166" s="501"/>
    </row>
    <row r="19167" spans="25:25" hidden="1" x14ac:dyDescent="0.25">
      <c r="Y19167" s="501"/>
    </row>
    <row r="19168" spans="25:25" hidden="1" x14ac:dyDescent="0.25">
      <c r="Y19168" s="501"/>
    </row>
    <row r="19169" spans="25:25" hidden="1" x14ac:dyDescent="0.25">
      <c r="Y19169" s="501"/>
    </row>
    <row r="19170" spans="25:25" hidden="1" x14ac:dyDescent="0.25">
      <c r="Y19170" s="501"/>
    </row>
    <row r="19171" spans="25:25" hidden="1" x14ac:dyDescent="0.25">
      <c r="Y19171" s="501"/>
    </row>
    <row r="19172" spans="25:25" hidden="1" x14ac:dyDescent="0.25">
      <c r="Y19172" s="501"/>
    </row>
    <row r="19173" spans="25:25" hidden="1" x14ac:dyDescent="0.25">
      <c r="Y19173" s="501"/>
    </row>
    <row r="19174" spans="25:25" hidden="1" x14ac:dyDescent="0.25">
      <c r="Y19174" s="501"/>
    </row>
    <row r="19175" spans="25:25" hidden="1" x14ac:dyDescent="0.25">
      <c r="Y19175" s="501"/>
    </row>
    <row r="19176" spans="25:25" hidden="1" x14ac:dyDescent="0.25">
      <c r="Y19176" s="501"/>
    </row>
    <row r="19177" spans="25:25" hidden="1" x14ac:dyDescent="0.25">
      <c r="Y19177" s="501"/>
    </row>
    <row r="19178" spans="25:25" hidden="1" x14ac:dyDescent="0.25">
      <c r="Y19178" s="501"/>
    </row>
    <row r="19179" spans="25:25" hidden="1" x14ac:dyDescent="0.25">
      <c r="Y19179" s="501"/>
    </row>
    <row r="19180" spans="25:25" hidden="1" x14ac:dyDescent="0.25">
      <c r="Y19180" s="501"/>
    </row>
    <row r="19181" spans="25:25" hidden="1" x14ac:dyDescent="0.25">
      <c r="Y19181" s="501"/>
    </row>
    <row r="19182" spans="25:25" hidden="1" x14ac:dyDescent="0.25">
      <c r="Y19182" s="501"/>
    </row>
    <row r="19183" spans="25:25" hidden="1" x14ac:dyDescent="0.25">
      <c r="Y19183" s="501"/>
    </row>
    <row r="19184" spans="25:25" hidden="1" x14ac:dyDescent="0.25">
      <c r="Y19184" s="501"/>
    </row>
    <row r="19185" spans="25:25" hidden="1" x14ac:dyDescent="0.25">
      <c r="Y19185" s="501"/>
    </row>
    <row r="19186" spans="25:25" hidden="1" x14ac:dyDescent="0.25">
      <c r="Y19186" s="501"/>
    </row>
    <row r="19187" spans="25:25" hidden="1" x14ac:dyDescent="0.25">
      <c r="Y19187" s="501"/>
    </row>
    <row r="19188" spans="25:25" hidden="1" x14ac:dyDescent="0.25">
      <c r="Y19188" s="501"/>
    </row>
    <row r="19189" spans="25:25" hidden="1" x14ac:dyDescent="0.25">
      <c r="Y19189" s="501"/>
    </row>
    <row r="19190" spans="25:25" hidden="1" x14ac:dyDescent="0.25">
      <c r="Y19190" s="501"/>
    </row>
    <row r="19191" spans="25:25" hidden="1" x14ac:dyDescent="0.25">
      <c r="Y19191" s="501"/>
    </row>
    <row r="19192" spans="25:25" hidden="1" x14ac:dyDescent="0.25">
      <c r="Y19192" s="501"/>
    </row>
    <row r="19193" spans="25:25" hidden="1" x14ac:dyDescent="0.25">
      <c r="Y19193" s="501"/>
    </row>
    <row r="19194" spans="25:25" hidden="1" x14ac:dyDescent="0.25">
      <c r="Y19194" s="501"/>
    </row>
    <row r="19195" spans="25:25" hidden="1" x14ac:dyDescent="0.25">
      <c r="Y19195" s="501"/>
    </row>
    <row r="19196" spans="25:25" hidden="1" x14ac:dyDescent="0.25">
      <c r="Y19196" s="501"/>
    </row>
    <row r="19197" spans="25:25" hidden="1" x14ac:dyDescent="0.25">
      <c r="Y19197" s="501"/>
    </row>
    <row r="19198" spans="25:25" hidden="1" x14ac:dyDescent="0.25">
      <c r="Y19198" s="501"/>
    </row>
    <row r="19199" spans="25:25" hidden="1" x14ac:dyDescent="0.25">
      <c r="Y19199" s="501"/>
    </row>
    <row r="19200" spans="25:25" hidden="1" x14ac:dyDescent="0.25">
      <c r="Y19200" s="501"/>
    </row>
    <row r="19201" spans="25:25" hidden="1" x14ac:dyDescent="0.25">
      <c r="Y19201" s="501"/>
    </row>
    <row r="19202" spans="25:25" hidden="1" x14ac:dyDescent="0.25">
      <c r="Y19202" s="501"/>
    </row>
    <row r="19203" spans="25:25" hidden="1" x14ac:dyDescent="0.25">
      <c r="Y19203" s="501"/>
    </row>
    <row r="19204" spans="25:25" hidden="1" x14ac:dyDescent="0.25">
      <c r="Y19204" s="501"/>
    </row>
    <row r="19205" spans="25:25" hidden="1" x14ac:dyDescent="0.25">
      <c r="Y19205" s="501"/>
    </row>
    <row r="19206" spans="25:25" hidden="1" x14ac:dyDescent="0.25">
      <c r="Y19206" s="501"/>
    </row>
    <row r="19207" spans="25:25" hidden="1" x14ac:dyDescent="0.25">
      <c r="Y19207" s="501"/>
    </row>
    <row r="19208" spans="25:25" hidden="1" x14ac:dyDescent="0.25">
      <c r="Y19208" s="501"/>
    </row>
    <row r="19209" spans="25:25" hidden="1" x14ac:dyDescent="0.25">
      <c r="Y19209" s="501"/>
    </row>
    <row r="19210" spans="25:25" hidden="1" x14ac:dyDescent="0.25">
      <c r="Y19210" s="501"/>
    </row>
    <row r="19211" spans="25:25" hidden="1" x14ac:dyDescent="0.25">
      <c r="Y19211" s="501"/>
    </row>
    <row r="19212" spans="25:25" hidden="1" x14ac:dyDescent="0.25">
      <c r="Y19212" s="501"/>
    </row>
    <row r="19213" spans="25:25" hidden="1" x14ac:dyDescent="0.25">
      <c r="Y19213" s="501"/>
    </row>
    <row r="19214" spans="25:25" hidden="1" x14ac:dyDescent="0.25">
      <c r="Y19214" s="501"/>
    </row>
    <row r="19215" spans="25:25" hidden="1" x14ac:dyDescent="0.25">
      <c r="Y19215" s="501"/>
    </row>
    <row r="19216" spans="25:25" hidden="1" x14ac:dyDescent="0.25">
      <c r="Y19216" s="501"/>
    </row>
    <row r="19217" spans="25:25" hidden="1" x14ac:dyDescent="0.25">
      <c r="Y19217" s="501"/>
    </row>
    <row r="19218" spans="25:25" hidden="1" x14ac:dyDescent="0.25">
      <c r="Y19218" s="501"/>
    </row>
    <row r="19219" spans="25:25" hidden="1" x14ac:dyDescent="0.25">
      <c r="Y19219" s="501"/>
    </row>
    <row r="19220" spans="25:25" hidden="1" x14ac:dyDescent="0.25">
      <c r="Y19220" s="501"/>
    </row>
    <row r="19221" spans="25:25" hidden="1" x14ac:dyDescent="0.25">
      <c r="Y19221" s="501"/>
    </row>
    <row r="19222" spans="25:25" hidden="1" x14ac:dyDescent="0.25">
      <c r="Y19222" s="501"/>
    </row>
    <row r="19223" spans="25:25" hidden="1" x14ac:dyDescent="0.25">
      <c r="Y19223" s="501"/>
    </row>
    <row r="19224" spans="25:25" hidden="1" x14ac:dyDescent="0.25">
      <c r="Y19224" s="501"/>
    </row>
    <row r="19225" spans="25:25" hidden="1" x14ac:dyDescent="0.25">
      <c r="Y19225" s="501"/>
    </row>
    <row r="19226" spans="25:25" hidden="1" x14ac:dyDescent="0.25">
      <c r="Y19226" s="501"/>
    </row>
    <row r="19227" spans="25:25" hidden="1" x14ac:dyDescent="0.25">
      <c r="Y19227" s="501"/>
    </row>
    <row r="19228" spans="25:25" hidden="1" x14ac:dyDescent="0.25">
      <c r="Y19228" s="501"/>
    </row>
    <row r="19229" spans="25:25" hidden="1" x14ac:dyDescent="0.25">
      <c r="Y19229" s="501"/>
    </row>
    <row r="19230" spans="25:25" hidden="1" x14ac:dyDescent="0.25">
      <c r="Y19230" s="501"/>
    </row>
    <row r="19231" spans="25:25" hidden="1" x14ac:dyDescent="0.25">
      <c r="Y19231" s="501"/>
    </row>
    <row r="19232" spans="25:25" hidden="1" x14ac:dyDescent="0.25">
      <c r="Y19232" s="501"/>
    </row>
    <row r="19233" spans="25:25" hidden="1" x14ac:dyDescent="0.25">
      <c r="Y19233" s="501"/>
    </row>
    <row r="19234" spans="25:25" hidden="1" x14ac:dyDescent="0.25">
      <c r="Y19234" s="501"/>
    </row>
    <row r="19235" spans="25:25" hidden="1" x14ac:dyDescent="0.25">
      <c r="Y19235" s="501"/>
    </row>
    <row r="19236" spans="25:25" hidden="1" x14ac:dyDescent="0.25">
      <c r="Y19236" s="501"/>
    </row>
    <row r="19237" spans="25:25" hidden="1" x14ac:dyDescent="0.25">
      <c r="Y19237" s="501"/>
    </row>
    <row r="19238" spans="25:25" hidden="1" x14ac:dyDescent="0.25">
      <c r="Y19238" s="501"/>
    </row>
    <row r="19239" spans="25:25" hidden="1" x14ac:dyDescent="0.25">
      <c r="Y19239" s="501"/>
    </row>
    <row r="19240" spans="25:25" hidden="1" x14ac:dyDescent="0.25">
      <c r="Y19240" s="501"/>
    </row>
    <row r="19241" spans="25:25" hidden="1" x14ac:dyDescent="0.25">
      <c r="Y19241" s="501"/>
    </row>
    <row r="19242" spans="25:25" hidden="1" x14ac:dyDescent="0.25">
      <c r="Y19242" s="501"/>
    </row>
    <row r="19243" spans="25:25" hidden="1" x14ac:dyDescent="0.25">
      <c r="Y19243" s="501"/>
    </row>
    <row r="19244" spans="25:25" hidden="1" x14ac:dyDescent="0.25">
      <c r="Y19244" s="501"/>
    </row>
    <row r="19245" spans="25:25" hidden="1" x14ac:dyDescent="0.25">
      <c r="Y19245" s="501"/>
    </row>
    <row r="19246" spans="25:25" hidden="1" x14ac:dyDescent="0.25">
      <c r="Y19246" s="501"/>
    </row>
    <row r="19247" spans="25:25" hidden="1" x14ac:dyDescent="0.25">
      <c r="Y19247" s="501"/>
    </row>
    <row r="19248" spans="25:25" hidden="1" x14ac:dyDescent="0.25">
      <c r="Y19248" s="501"/>
    </row>
    <row r="19249" spans="25:25" hidden="1" x14ac:dyDescent="0.25">
      <c r="Y19249" s="501"/>
    </row>
    <row r="19250" spans="25:25" hidden="1" x14ac:dyDescent="0.25">
      <c r="Y19250" s="501"/>
    </row>
    <row r="19251" spans="25:25" hidden="1" x14ac:dyDescent="0.25">
      <c r="Y19251" s="501"/>
    </row>
    <row r="19252" spans="25:25" hidden="1" x14ac:dyDescent="0.25">
      <c r="Y19252" s="501"/>
    </row>
    <row r="19253" spans="25:25" hidden="1" x14ac:dyDescent="0.25">
      <c r="Y19253" s="501"/>
    </row>
    <row r="19254" spans="25:25" hidden="1" x14ac:dyDescent="0.25">
      <c r="Y19254" s="501"/>
    </row>
    <row r="19255" spans="25:25" hidden="1" x14ac:dyDescent="0.25">
      <c r="Y19255" s="501"/>
    </row>
    <row r="19256" spans="25:25" hidden="1" x14ac:dyDescent="0.25">
      <c r="Y19256" s="501"/>
    </row>
    <row r="19257" spans="25:25" hidden="1" x14ac:dyDescent="0.25">
      <c r="Y19257" s="501"/>
    </row>
    <row r="19258" spans="25:25" hidden="1" x14ac:dyDescent="0.25">
      <c r="Y19258" s="501"/>
    </row>
    <row r="19259" spans="25:25" hidden="1" x14ac:dyDescent="0.25">
      <c r="Y19259" s="501"/>
    </row>
    <row r="19260" spans="25:25" hidden="1" x14ac:dyDescent="0.25">
      <c r="Y19260" s="501"/>
    </row>
    <row r="19261" spans="25:25" hidden="1" x14ac:dyDescent="0.25">
      <c r="Y19261" s="501"/>
    </row>
    <row r="19262" spans="25:25" hidden="1" x14ac:dyDescent="0.25">
      <c r="Y19262" s="501"/>
    </row>
    <row r="19263" spans="25:25" hidden="1" x14ac:dyDescent="0.25">
      <c r="Y19263" s="501"/>
    </row>
    <row r="19264" spans="25:25" hidden="1" x14ac:dyDescent="0.25">
      <c r="Y19264" s="501"/>
    </row>
    <row r="19265" spans="25:25" hidden="1" x14ac:dyDescent="0.25">
      <c r="Y19265" s="501"/>
    </row>
    <row r="19266" spans="25:25" hidden="1" x14ac:dyDescent="0.25">
      <c r="Y19266" s="501"/>
    </row>
    <row r="19267" spans="25:25" hidden="1" x14ac:dyDescent="0.25">
      <c r="Y19267" s="501"/>
    </row>
    <row r="19268" spans="25:25" hidden="1" x14ac:dyDescent="0.25">
      <c r="Y19268" s="501"/>
    </row>
    <row r="19269" spans="25:25" hidden="1" x14ac:dyDescent="0.25">
      <c r="Y19269" s="501"/>
    </row>
    <row r="19270" spans="25:25" hidden="1" x14ac:dyDescent="0.25">
      <c r="Y19270" s="501"/>
    </row>
    <row r="19271" spans="25:25" hidden="1" x14ac:dyDescent="0.25">
      <c r="Y19271" s="501"/>
    </row>
    <row r="19272" spans="25:25" hidden="1" x14ac:dyDescent="0.25">
      <c r="Y19272" s="501"/>
    </row>
    <row r="19273" spans="25:25" hidden="1" x14ac:dyDescent="0.25">
      <c r="Y19273" s="501"/>
    </row>
    <row r="19274" spans="25:25" hidden="1" x14ac:dyDescent="0.25">
      <c r="Y19274" s="501"/>
    </row>
    <row r="19275" spans="25:25" hidden="1" x14ac:dyDescent="0.25">
      <c r="Y19275" s="501"/>
    </row>
    <row r="19276" spans="25:25" hidden="1" x14ac:dyDescent="0.25">
      <c r="Y19276" s="501"/>
    </row>
    <row r="19277" spans="25:25" hidden="1" x14ac:dyDescent="0.25">
      <c r="Y19277" s="501"/>
    </row>
    <row r="19278" spans="25:25" hidden="1" x14ac:dyDescent="0.25">
      <c r="Y19278" s="501"/>
    </row>
    <row r="19279" spans="25:25" hidden="1" x14ac:dyDescent="0.25">
      <c r="Y19279" s="501"/>
    </row>
    <row r="19280" spans="25:25" hidden="1" x14ac:dyDescent="0.25">
      <c r="Y19280" s="501"/>
    </row>
    <row r="19281" spans="25:25" hidden="1" x14ac:dyDescent="0.25">
      <c r="Y19281" s="501"/>
    </row>
    <row r="19282" spans="25:25" hidden="1" x14ac:dyDescent="0.25">
      <c r="Y19282" s="501"/>
    </row>
    <row r="19283" spans="25:25" hidden="1" x14ac:dyDescent="0.25">
      <c r="Y19283" s="501"/>
    </row>
    <row r="19284" spans="25:25" hidden="1" x14ac:dyDescent="0.25">
      <c r="Y19284" s="501"/>
    </row>
    <row r="19285" spans="25:25" hidden="1" x14ac:dyDescent="0.25">
      <c r="Y19285" s="501"/>
    </row>
    <row r="19286" spans="25:25" hidden="1" x14ac:dyDescent="0.25">
      <c r="Y19286" s="501"/>
    </row>
    <row r="19287" spans="25:25" hidden="1" x14ac:dyDescent="0.25">
      <c r="Y19287" s="501"/>
    </row>
    <row r="19288" spans="25:25" hidden="1" x14ac:dyDescent="0.25">
      <c r="Y19288" s="501"/>
    </row>
    <row r="19289" spans="25:25" hidden="1" x14ac:dyDescent="0.25">
      <c r="Y19289" s="501"/>
    </row>
    <row r="19290" spans="25:25" hidden="1" x14ac:dyDescent="0.25">
      <c r="Y19290" s="501"/>
    </row>
    <row r="19291" spans="25:25" hidden="1" x14ac:dyDescent="0.25">
      <c r="Y19291" s="501"/>
    </row>
    <row r="19292" spans="25:25" hidden="1" x14ac:dyDescent="0.25">
      <c r="Y19292" s="501"/>
    </row>
    <row r="19293" spans="25:25" hidden="1" x14ac:dyDescent="0.25">
      <c r="Y19293" s="501"/>
    </row>
    <row r="19294" spans="25:25" hidden="1" x14ac:dyDescent="0.25">
      <c r="Y19294" s="501"/>
    </row>
    <row r="19295" spans="25:25" hidden="1" x14ac:dyDescent="0.25">
      <c r="Y19295" s="501"/>
    </row>
    <row r="19296" spans="25:25" hidden="1" x14ac:dyDescent="0.25">
      <c r="Y19296" s="501"/>
    </row>
    <row r="19297" spans="25:25" hidden="1" x14ac:dyDescent="0.25">
      <c r="Y19297" s="501"/>
    </row>
    <row r="19298" spans="25:25" hidden="1" x14ac:dyDescent="0.25">
      <c r="Y19298" s="501"/>
    </row>
    <row r="19299" spans="25:25" hidden="1" x14ac:dyDescent="0.25">
      <c r="Y19299" s="501"/>
    </row>
    <row r="19300" spans="25:25" hidden="1" x14ac:dyDescent="0.25">
      <c r="Y19300" s="501"/>
    </row>
    <row r="19301" spans="25:25" hidden="1" x14ac:dyDescent="0.25">
      <c r="Y19301" s="501"/>
    </row>
    <row r="19302" spans="25:25" hidden="1" x14ac:dyDescent="0.25">
      <c r="Y19302" s="501"/>
    </row>
    <row r="19303" spans="25:25" hidden="1" x14ac:dyDescent="0.25">
      <c r="Y19303" s="501"/>
    </row>
    <row r="19304" spans="25:25" hidden="1" x14ac:dyDescent="0.25">
      <c r="Y19304" s="501"/>
    </row>
    <row r="19305" spans="25:25" hidden="1" x14ac:dyDescent="0.25">
      <c r="Y19305" s="501"/>
    </row>
    <row r="19306" spans="25:25" hidden="1" x14ac:dyDescent="0.25">
      <c r="Y19306" s="501"/>
    </row>
    <row r="19307" spans="25:25" hidden="1" x14ac:dyDescent="0.25">
      <c r="Y19307" s="501"/>
    </row>
    <row r="19308" spans="25:25" hidden="1" x14ac:dyDescent="0.25">
      <c r="Y19308" s="501"/>
    </row>
    <row r="19309" spans="25:25" hidden="1" x14ac:dyDescent="0.25">
      <c r="Y19309" s="501"/>
    </row>
    <row r="19310" spans="25:25" hidden="1" x14ac:dyDescent="0.25">
      <c r="Y19310" s="501"/>
    </row>
    <row r="19311" spans="25:25" hidden="1" x14ac:dyDescent="0.25">
      <c r="Y19311" s="501"/>
    </row>
    <row r="19312" spans="25:25" hidden="1" x14ac:dyDescent="0.25">
      <c r="Y19312" s="501"/>
    </row>
    <row r="19313" spans="25:25" hidden="1" x14ac:dyDescent="0.25">
      <c r="Y19313" s="501"/>
    </row>
    <row r="19314" spans="25:25" hidden="1" x14ac:dyDescent="0.25">
      <c r="Y19314" s="501"/>
    </row>
    <row r="19315" spans="25:25" hidden="1" x14ac:dyDescent="0.25">
      <c r="Y19315" s="501"/>
    </row>
    <row r="19316" spans="25:25" hidden="1" x14ac:dyDescent="0.25">
      <c r="Y19316" s="501"/>
    </row>
    <row r="19317" spans="25:25" hidden="1" x14ac:dyDescent="0.25">
      <c r="Y19317" s="501"/>
    </row>
    <row r="19318" spans="25:25" hidden="1" x14ac:dyDescent="0.25">
      <c r="Y19318" s="501"/>
    </row>
    <row r="19319" spans="25:25" hidden="1" x14ac:dyDescent="0.25">
      <c r="Y19319" s="501"/>
    </row>
    <row r="19320" spans="25:25" hidden="1" x14ac:dyDescent="0.25">
      <c r="Y19320" s="501"/>
    </row>
    <row r="19321" spans="25:25" hidden="1" x14ac:dyDescent="0.25">
      <c r="Y19321" s="501"/>
    </row>
    <row r="19322" spans="25:25" hidden="1" x14ac:dyDescent="0.25">
      <c r="Y19322" s="501"/>
    </row>
    <row r="19323" spans="25:25" hidden="1" x14ac:dyDescent="0.25">
      <c r="Y19323" s="501"/>
    </row>
    <row r="19324" spans="25:25" hidden="1" x14ac:dyDescent="0.25">
      <c r="Y19324" s="501"/>
    </row>
    <row r="19325" spans="25:25" hidden="1" x14ac:dyDescent="0.25">
      <c r="Y19325" s="501"/>
    </row>
    <row r="19326" spans="25:25" hidden="1" x14ac:dyDescent="0.25">
      <c r="Y19326" s="501"/>
    </row>
    <row r="19327" spans="25:25" hidden="1" x14ac:dyDescent="0.25">
      <c r="Y19327" s="501"/>
    </row>
    <row r="19328" spans="25:25" hidden="1" x14ac:dyDescent="0.25">
      <c r="Y19328" s="501"/>
    </row>
    <row r="19329" spans="25:25" hidden="1" x14ac:dyDescent="0.25">
      <c r="Y19329" s="501"/>
    </row>
    <row r="19330" spans="25:25" hidden="1" x14ac:dyDescent="0.25">
      <c r="Y19330" s="501"/>
    </row>
    <row r="19331" spans="25:25" hidden="1" x14ac:dyDescent="0.25">
      <c r="Y19331" s="501"/>
    </row>
    <row r="19332" spans="25:25" hidden="1" x14ac:dyDescent="0.25">
      <c r="Y19332" s="501"/>
    </row>
    <row r="19333" spans="25:25" hidden="1" x14ac:dyDescent="0.25">
      <c r="Y19333" s="501"/>
    </row>
    <row r="19334" spans="25:25" hidden="1" x14ac:dyDescent="0.25">
      <c r="Y19334" s="501"/>
    </row>
    <row r="19335" spans="25:25" hidden="1" x14ac:dyDescent="0.25">
      <c r="Y19335" s="501"/>
    </row>
    <row r="19336" spans="25:25" hidden="1" x14ac:dyDescent="0.25">
      <c r="Y19336" s="501"/>
    </row>
    <row r="19337" spans="25:25" hidden="1" x14ac:dyDescent="0.25">
      <c r="Y19337" s="501"/>
    </row>
    <row r="19338" spans="25:25" hidden="1" x14ac:dyDescent="0.25">
      <c r="Y19338" s="501"/>
    </row>
    <row r="19339" spans="25:25" hidden="1" x14ac:dyDescent="0.25">
      <c r="Y19339" s="501"/>
    </row>
    <row r="19340" spans="25:25" hidden="1" x14ac:dyDescent="0.25">
      <c r="Y19340" s="501"/>
    </row>
    <row r="19341" spans="25:25" hidden="1" x14ac:dyDescent="0.25">
      <c r="Y19341" s="501"/>
    </row>
    <row r="19342" spans="25:25" hidden="1" x14ac:dyDescent="0.25">
      <c r="Y19342" s="501"/>
    </row>
    <row r="19343" spans="25:25" hidden="1" x14ac:dyDescent="0.25">
      <c r="Y19343" s="501"/>
    </row>
    <row r="19344" spans="25:25" hidden="1" x14ac:dyDescent="0.25">
      <c r="Y19344" s="501"/>
    </row>
    <row r="19345" spans="25:25" hidden="1" x14ac:dyDescent="0.25">
      <c r="Y19345" s="501"/>
    </row>
    <row r="19346" spans="25:25" hidden="1" x14ac:dyDescent="0.25">
      <c r="Y19346" s="501"/>
    </row>
    <row r="19347" spans="25:25" hidden="1" x14ac:dyDescent="0.25">
      <c r="Y19347" s="501"/>
    </row>
    <row r="19348" spans="25:25" hidden="1" x14ac:dyDescent="0.25">
      <c r="Y19348" s="501"/>
    </row>
    <row r="19349" spans="25:25" hidden="1" x14ac:dyDescent="0.25">
      <c r="Y19349" s="501"/>
    </row>
    <row r="19350" spans="25:25" hidden="1" x14ac:dyDescent="0.25">
      <c r="Y19350" s="501"/>
    </row>
    <row r="19351" spans="25:25" hidden="1" x14ac:dyDescent="0.25">
      <c r="Y19351" s="501"/>
    </row>
    <row r="19352" spans="25:25" hidden="1" x14ac:dyDescent="0.25">
      <c r="Y19352" s="501"/>
    </row>
    <row r="19353" spans="25:25" hidden="1" x14ac:dyDescent="0.25">
      <c r="Y19353" s="501"/>
    </row>
    <row r="19354" spans="25:25" hidden="1" x14ac:dyDescent="0.25">
      <c r="Y19354" s="501"/>
    </row>
    <row r="19355" spans="25:25" hidden="1" x14ac:dyDescent="0.25">
      <c r="Y19355" s="501"/>
    </row>
    <row r="19356" spans="25:25" hidden="1" x14ac:dyDescent="0.25">
      <c r="Y19356" s="501"/>
    </row>
    <row r="19357" spans="25:25" hidden="1" x14ac:dyDescent="0.25">
      <c r="Y19357" s="501"/>
    </row>
    <row r="19358" spans="25:25" hidden="1" x14ac:dyDescent="0.25">
      <c r="Y19358" s="501"/>
    </row>
    <row r="19359" spans="25:25" hidden="1" x14ac:dyDescent="0.25">
      <c r="Y19359" s="501"/>
    </row>
    <row r="19360" spans="25:25" hidden="1" x14ac:dyDescent="0.25">
      <c r="Y19360" s="501"/>
    </row>
    <row r="19361" spans="25:25" hidden="1" x14ac:dyDescent="0.25">
      <c r="Y19361" s="501"/>
    </row>
    <row r="19362" spans="25:25" hidden="1" x14ac:dyDescent="0.25">
      <c r="Y19362" s="501"/>
    </row>
    <row r="19363" spans="25:25" hidden="1" x14ac:dyDescent="0.25">
      <c r="Y19363" s="501"/>
    </row>
    <row r="19364" spans="25:25" hidden="1" x14ac:dyDescent="0.25">
      <c r="Y19364" s="501"/>
    </row>
    <row r="19365" spans="25:25" hidden="1" x14ac:dyDescent="0.25">
      <c r="Y19365" s="501"/>
    </row>
    <row r="19366" spans="25:25" hidden="1" x14ac:dyDescent="0.25">
      <c r="Y19366" s="501"/>
    </row>
    <row r="19367" spans="25:25" hidden="1" x14ac:dyDescent="0.25">
      <c r="Y19367" s="501"/>
    </row>
    <row r="19368" spans="25:25" hidden="1" x14ac:dyDescent="0.25">
      <c r="Y19368" s="501"/>
    </row>
    <row r="19369" spans="25:25" hidden="1" x14ac:dyDescent="0.25">
      <c r="Y19369" s="501"/>
    </row>
    <row r="19370" spans="25:25" hidden="1" x14ac:dyDescent="0.25">
      <c r="Y19370" s="501"/>
    </row>
    <row r="19371" spans="25:25" hidden="1" x14ac:dyDescent="0.25">
      <c r="Y19371" s="501"/>
    </row>
    <row r="19372" spans="25:25" hidden="1" x14ac:dyDescent="0.25">
      <c r="Y19372" s="501"/>
    </row>
    <row r="19373" spans="25:25" hidden="1" x14ac:dyDescent="0.25">
      <c r="Y19373" s="501"/>
    </row>
    <row r="19374" spans="25:25" hidden="1" x14ac:dyDescent="0.25">
      <c r="Y19374" s="501"/>
    </row>
    <row r="19375" spans="25:25" hidden="1" x14ac:dyDescent="0.25">
      <c r="Y19375" s="501"/>
    </row>
    <row r="19376" spans="25:25" hidden="1" x14ac:dyDescent="0.25">
      <c r="Y19376" s="501"/>
    </row>
    <row r="19377" spans="25:25" hidden="1" x14ac:dyDescent="0.25">
      <c r="Y19377" s="501"/>
    </row>
    <row r="19378" spans="25:25" hidden="1" x14ac:dyDescent="0.25">
      <c r="Y19378" s="501"/>
    </row>
    <row r="19379" spans="25:25" hidden="1" x14ac:dyDescent="0.25">
      <c r="Y19379" s="501"/>
    </row>
    <row r="19380" spans="25:25" hidden="1" x14ac:dyDescent="0.25">
      <c r="Y19380" s="501"/>
    </row>
    <row r="19381" spans="25:25" hidden="1" x14ac:dyDescent="0.25">
      <c r="Y19381" s="501"/>
    </row>
    <row r="19382" spans="25:25" hidden="1" x14ac:dyDescent="0.25">
      <c r="Y19382" s="501"/>
    </row>
    <row r="19383" spans="25:25" hidden="1" x14ac:dyDescent="0.25">
      <c r="Y19383" s="501"/>
    </row>
    <row r="19384" spans="25:25" hidden="1" x14ac:dyDescent="0.25">
      <c r="Y19384" s="501"/>
    </row>
    <row r="19385" spans="25:25" hidden="1" x14ac:dyDescent="0.25">
      <c r="Y19385" s="501"/>
    </row>
    <row r="19386" spans="25:25" hidden="1" x14ac:dyDescent="0.25">
      <c r="Y19386" s="501"/>
    </row>
    <row r="19387" spans="25:25" hidden="1" x14ac:dyDescent="0.25">
      <c r="Y19387" s="501"/>
    </row>
    <row r="19388" spans="25:25" hidden="1" x14ac:dyDescent="0.25">
      <c r="Y19388" s="501"/>
    </row>
    <row r="19389" spans="25:25" hidden="1" x14ac:dyDescent="0.25">
      <c r="Y19389" s="501"/>
    </row>
    <row r="19390" spans="25:25" hidden="1" x14ac:dyDescent="0.25">
      <c r="Y19390" s="501"/>
    </row>
    <row r="19391" spans="25:25" hidden="1" x14ac:dyDescent="0.25">
      <c r="Y19391" s="501"/>
    </row>
    <row r="19392" spans="25:25" hidden="1" x14ac:dyDescent="0.25">
      <c r="Y19392" s="501"/>
    </row>
    <row r="19393" spans="25:25" hidden="1" x14ac:dyDescent="0.25">
      <c r="Y19393" s="501"/>
    </row>
    <row r="19394" spans="25:25" hidden="1" x14ac:dyDescent="0.25">
      <c r="Y19394" s="501"/>
    </row>
    <row r="19395" spans="25:25" hidden="1" x14ac:dyDescent="0.25">
      <c r="Y19395" s="501"/>
    </row>
    <row r="19396" spans="25:25" hidden="1" x14ac:dyDescent="0.25">
      <c r="Y19396" s="501"/>
    </row>
    <row r="19397" spans="25:25" hidden="1" x14ac:dyDescent="0.25">
      <c r="Y19397" s="501"/>
    </row>
    <row r="19398" spans="25:25" hidden="1" x14ac:dyDescent="0.25">
      <c r="Y19398" s="501"/>
    </row>
    <row r="19399" spans="25:25" hidden="1" x14ac:dyDescent="0.25">
      <c r="Y19399" s="501"/>
    </row>
    <row r="19400" spans="25:25" hidden="1" x14ac:dyDescent="0.25">
      <c r="Y19400" s="501"/>
    </row>
    <row r="19401" spans="25:25" hidden="1" x14ac:dyDescent="0.25">
      <c r="Y19401" s="501"/>
    </row>
    <row r="19402" spans="25:25" hidden="1" x14ac:dyDescent="0.25">
      <c r="Y19402" s="501"/>
    </row>
    <row r="19403" spans="25:25" hidden="1" x14ac:dyDescent="0.25">
      <c r="Y19403" s="501"/>
    </row>
    <row r="19404" spans="25:25" hidden="1" x14ac:dyDescent="0.25">
      <c r="Y19404" s="501"/>
    </row>
    <row r="19405" spans="25:25" hidden="1" x14ac:dyDescent="0.25">
      <c r="Y19405" s="501"/>
    </row>
    <row r="19406" spans="25:25" hidden="1" x14ac:dyDescent="0.25">
      <c r="Y19406" s="501"/>
    </row>
    <row r="19407" spans="25:25" hidden="1" x14ac:dyDescent="0.25">
      <c r="Y19407" s="501"/>
    </row>
    <row r="19408" spans="25:25" hidden="1" x14ac:dyDescent="0.25">
      <c r="Y19408" s="501"/>
    </row>
    <row r="19409" spans="25:25" hidden="1" x14ac:dyDescent="0.25">
      <c r="Y19409" s="501"/>
    </row>
    <row r="19410" spans="25:25" hidden="1" x14ac:dyDescent="0.25">
      <c r="Y19410" s="501"/>
    </row>
    <row r="19411" spans="25:25" hidden="1" x14ac:dyDescent="0.25">
      <c r="Y19411" s="501"/>
    </row>
    <row r="19412" spans="25:25" hidden="1" x14ac:dyDescent="0.25">
      <c r="Y19412" s="501"/>
    </row>
    <row r="19413" spans="25:25" hidden="1" x14ac:dyDescent="0.25">
      <c r="Y19413" s="501"/>
    </row>
    <row r="19414" spans="25:25" hidden="1" x14ac:dyDescent="0.25">
      <c r="Y19414" s="501"/>
    </row>
    <row r="19415" spans="25:25" hidden="1" x14ac:dyDescent="0.25">
      <c r="Y19415" s="501"/>
    </row>
    <row r="19416" spans="25:25" hidden="1" x14ac:dyDescent="0.25">
      <c r="Y19416" s="501"/>
    </row>
    <row r="19417" spans="25:25" hidden="1" x14ac:dyDescent="0.25">
      <c r="Y19417" s="501"/>
    </row>
    <row r="19418" spans="25:25" hidden="1" x14ac:dyDescent="0.25">
      <c r="Y19418" s="501"/>
    </row>
    <row r="19419" spans="25:25" hidden="1" x14ac:dyDescent="0.25">
      <c r="Y19419" s="501"/>
    </row>
    <row r="19420" spans="25:25" hidden="1" x14ac:dyDescent="0.25">
      <c r="Y19420" s="501"/>
    </row>
    <row r="19421" spans="25:25" hidden="1" x14ac:dyDescent="0.25">
      <c r="Y19421" s="501"/>
    </row>
    <row r="19422" spans="25:25" hidden="1" x14ac:dyDescent="0.25">
      <c r="Y19422" s="501"/>
    </row>
    <row r="19423" spans="25:25" hidden="1" x14ac:dyDescent="0.25">
      <c r="Y19423" s="501"/>
    </row>
    <row r="19424" spans="25:25" hidden="1" x14ac:dyDescent="0.25">
      <c r="Y19424" s="501"/>
    </row>
    <row r="19425" spans="25:25" hidden="1" x14ac:dyDescent="0.25">
      <c r="Y19425" s="501"/>
    </row>
    <row r="19426" spans="25:25" hidden="1" x14ac:dyDescent="0.25">
      <c r="Y19426" s="501"/>
    </row>
    <row r="19427" spans="25:25" hidden="1" x14ac:dyDescent="0.25">
      <c r="Y19427" s="501"/>
    </row>
    <row r="19428" spans="25:25" hidden="1" x14ac:dyDescent="0.25">
      <c r="Y19428" s="501"/>
    </row>
    <row r="19429" spans="25:25" hidden="1" x14ac:dyDescent="0.25">
      <c r="Y19429" s="501"/>
    </row>
    <row r="19430" spans="25:25" hidden="1" x14ac:dyDescent="0.25">
      <c r="Y19430" s="501"/>
    </row>
    <row r="19431" spans="25:25" hidden="1" x14ac:dyDescent="0.25">
      <c r="Y19431" s="501"/>
    </row>
    <row r="19432" spans="25:25" hidden="1" x14ac:dyDescent="0.25">
      <c r="Y19432" s="501"/>
    </row>
    <row r="19433" spans="25:25" hidden="1" x14ac:dyDescent="0.25">
      <c r="Y19433" s="501"/>
    </row>
    <row r="19434" spans="25:25" hidden="1" x14ac:dyDescent="0.25">
      <c r="Y19434" s="501"/>
    </row>
    <row r="19435" spans="25:25" hidden="1" x14ac:dyDescent="0.25">
      <c r="Y19435" s="501"/>
    </row>
    <row r="19436" spans="25:25" hidden="1" x14ac:dyDescent="0.25">
      <c r="Y19436" s="501"/>
    </row>
    <row r="19437" spans="25:25" hidden="1" x14ac:dyDescent="0.25">
      <c r="Y19437" s="501"/>
    </row>
    <row r="19438" spans="25:25" hidden="1" x14ac:dyDescent="0.25">
      <c r="Y19438" s="501"/>
    </row>
    <row r="19439" spans="25:25" hidden="1" x14ac:dyDescent="0.25">
      <c r="Y19439" s="501"/>
    </row>
    <row r="19440" spans="25:25" hidden="1" x14ac:dyDescent="0.25">
      <c r="Y19440" s="501"/>
    </row>
    <row r="19441" spans="25:25" hidden="1" x14ac:dyDescent="0.25">
      <c r="Y19441" s="501"/>
    </row>
    <row r="19442" spans="25:25" hidden="1" x14ac:dyDescent="0.25">
      <c r="Y19442" s="501"/>
    </row>
    <row r="19443" spans="25:25" hidden="1" x14ac:dyDescent="0.25">
      <c r="Y19443" s="501"/>
    </row>
    <row r="19444" spans="25:25" hidden="1" x14ac:dyDescent="0.25">
      <c r="Y19444" s="501"/>
    </row>
    <row r="19445" spans="25:25" hidden="1" x14ac:dyDescent="0.25">
      <c r="Y19445" s="501"/>
    </row>
    <row r="19446" spans="25:25" hidden="1" x14ac:dyDescent="0.25">
      <c r="Y19446" s="501"/>
    </row>
    <row r="19447" spans="25:25" hidden="1" x14ac:dyDescent="0.25">
      <c r="Y19447" s="501"/>
    </row>
    <row r="19448" spans="25:25" hidden="1" x14ac:dyDescent="0.25">
      <c r="Y19448" s="501"/>
    </row>
    <row r="19449" spans="25:25" hidden="1" x14ac:dyDescent="0.25">
      <c r="Y19449" s="501"/>
    </row>
    <row r="19450" spans="25:25" hidden="1" x14ac:dyDescent="0.25">
      <c r="Y19450" s="501"/>
    </row>
    <row r="19451" spans="25:25" hidden="1" x14ac:dyDescent="0.25">
      <c r="Y19451" s="501"/>
    </row>
    <row r="19452" spans="25:25" hidden="1" x14ac:dyDescent="0.25">
      <c r="Y19452" s="501"/>
    </row>
    <row r="19453" spans="25:25" hidden="1" x14ac:dyDescent="0.25">
      <c r="Y19453" s="501"/>
    </row>
    <row r="19454" spans="25:25" hidden="1" x14ac:dyDescent="0.25">
      <c r="Y19454" s="501"/>
    </row>
    <row r="19455" spans="25:25" hidden="1" x14ac:dyDescent="0.25">
      <c r="Y19455" s="501"/>
    </row>
    <row r="19456" spans="25:25" hidden="1" x14ac:dyDescent="0.25">
      <c r="Y19456" s="501"/>
    </row>
    <row r="19457" spans="25:25" hidden="1" x14ac:dyDescent="0.25">
      <c r="Y19457" s="501"/>
    </row>
    <row r="19458" spans="25:25" hidden="1" x14ac:dyDescent="0.25">
      <c r="Y19458" s="501"/>
    </row>
    <row r="19459" spans="25:25" hidden="1" x14ac:dyDescent="0.25">
      <c r="Y19459" s="501"/>
    </row>
    <row r="19460" spans="25:25" hidden="1" x14ac:dyDescent="0.25">
      <c r="Y19460" s="501"/>
    </row>
    <row r="19461" spans="25:25" hidden="1" x14ac:dyDescent="0.25">
      <c r="Y19461" s="501"/>
    </row>
    <row r="19462" spans="25:25" hidden="1" x14ac:dyDescent="0.25">
      <c r="Y19462" s="501"/>
    </row>
    <row r="19463" spans="25:25" hidden="1" x14ac:dyDescent="0.25">
      <c r="Y19463" s="501"/>
    </row>
    <row r="19464" spans="25:25" hidden="1" x14ac:dyDescent="0.25">
      <c r="Y19464" s="501"/>
    </row>
    <row r="19465" spans="25:25" hidden="1" x14ac:dyDescent="0.25">
      <c r="Y19465" s="501"/>
    </row>
    <row r="19466" spans="25:25" hidden="1" x14ac:dyDescent="0.25">
      <c r="Y19466" s="501"/>
    </row>
    <row r="19467" spans="25:25" hidden="1" x14ac:dyDescent="0.25">
      <c r="Y19467" s="501"/>
    </row>
    <row r="19468" spans="25:25" hidden="1" x14ac:dyDescent="0.25">
      <c r="Y19468" s="501"/>
    </row>
    <row r="19469" spans="25:25" hidden="1" x14ac:dyDescent="0.25">
      <c r="Y19469" s="501"/>
    </row>
    <row r="19470" spans="25:25" hidden="1" x14ac:dyDescent="0.25">
      <c r="Y19470" s="501"/>
    </row>
    <row r="19471" spans="25:25" hidden="1" x14ac:dyDescent="0.25">
      <c r="Y19471" s="501"/>
    </row>
    <row r="19472" spans="25:25" hidden="1" x14ac:dyDescent="0.25">
      <c r="Y19472" s="501"/>
    </row>
    <row r="19473" spans="25:25" hidden="1" x14ac:dyDescent="0.25">
      <c r="Y19473" s="501"/>
    </row>
    <row r="19474" spans="25:25" hidden="1" x14ac:dyDescent="0.25">
      <c r="Y19474" s="501"/>
    </row>
    <row r="19475" spans="25:25" hidden="1" x14ac:dyDescent="0.25">
      <c r="Y19475" s="501"/>
    </row>
    <row r="19476" spans="25:25" hidden="1" x14ac:dyDescent="0.25">
      <c r="Y19476" s="501"/>
    </row>
    <row r="19477" spans="25:25" hidden="1" x14ac:dyDescent="0.25">
      <c r="Y19477" s="501"/>
    </row>
    <row r="19478" spans="25:25" hidden="1" x14ac:dyDescent="0.25">
      <c r="Y19478" s="501"/>
    </row>
    <row r="19479" spans="25:25" hidden="1" x14ac:dyDescent="0.25">
      <c r="Y19479" s="501"/>
    </row>
    <row r="19480" spans="25:25" hidden="1" x14ac:dyDescent="0.25">
      <c r="Y19480" s="501"/>
    </row>
    <row r="19481" spans="25:25" hidden="1" x14ac:dyDescent="0.25">
      <c r="Y19481" s="501"/>
    </row>
    <row r="19482" spans="25:25" hidden="1" x14ac:dyDescent="0.25">
      <c r="Y19482" s="501"/>
    </row>
    <row r="19483" spans="25:25" hidden="1" x14ac:dyDescent="0.25">
      <c r="Y19483" s="501"/>
    </row>
    <row r="19484" spans="25:25" hidden="1" x14ac:dyDescent="0.25">
      <c r="Y19484" s="501"/>
    </row>
    <row r="19485" spans="25:25" hidden="1" x14ac:dyDescent="0.25">
      <c r="Y19485" s="501"/>
    </row>
    <row r="19486" spans="25:25" hidden="1" x14ac:dyDescent="0.25">
      <c r="Y19486" s="501"/>
    </row>
    <row r="19487" spans="25:25" hidden="1" x14ac:dyDescent="0.25">
      <c r="Y19487" s="501"/>
    </row>
    <row r="19488" spans="25:25" hidden="1" x14ac:dyDescent="0.25">
      <c r="Y19488" s="501"/>
    </row>
    <row r="19489" spans="25:25" hidden="1" x14ac:dyDescent="0.25">
      <c r="Y19489" s="501"/>
    </row>
    <row r="19490" spans="25:25" hidden="1" x14ac:dyDescent="0.25">
      <c r="Y19490" s="501"/>
    </row>
    <row r="19491" spans="25:25" hidden="1" x14ac:dyDescent="0.25">
      <c r="Y19491" s="501"/>
    </row>
    <row r="19492" spans="25:25" hidden="1" x14ac:dyDescent="0.25">
      <c r="Y19492" s="501"/>
    </row>
    <row r="19493" spans="25:25" hidden="1" x14ac:dyDescent="0.25">
      <c r="Y19493" s="501"/>
    </row>
    <row r="19494" spans="25:25" hidden="1" x14ac:dyDescent="0.25">
      <c r="Y19494" s="501"/>
    </row>
    <row r="19495" spans="25:25" hidden="1" x14ac:dyDescent="0.25">
      <c r="Y19495" s="501"/>
    </row>
    <row r="19496" spans="25:25" hidden="1" x14ac:dyDescent="0.25">
      <c r="Y19496" s="501"/>
    </row>
    <row r="19497" spans="25:25" hidden="1" x14ac:dyDescent="0.25">
      <c r="Y19497" s="501"/>
    </row>
    <row r="19498" spans="25:25" hidden="1" x14ac:dyDescent="0.25">
      <c r="Y19498" s="501"/>
    </row>
    <row r="19499" spans="25:25" hidden="1" x14ac:dyDescent="0.25">
      <c r="Y19499" s="501"/>
    </row>
    <row r="19500" spans="25:25" hidden="1" x14ac:dyDescent="0.25">
      <c r="Y19500" s="501"/>
    </row>
    <row r="19501" spans="25:25" hidden="1" x14ac:dyDescent="0.25">
      <c r="Y19501" s="501"/>
    </row>
    <row r="19502" spans="25:25" hidden="1" x14ac:dyDescent="0.25">
      <c r="Y19502" s="501"/>
    </row>
    <row r="19503" spans="25:25" hidden="1" x14ac:dyDescent="0.25">
      <c r="Y19503" s="501"/>
    </row>
    <row r="19504" spans="25:25" hidden="1" x14ac:dyDescent="0.25">
      <c r="Y19504" s="501"/>
    </row>
    <row r="19505" spans="25:25" hidden="1" x14ac:dyDescent="0.25">
      <c r="Y19505" s="501"/>
    </row>
    <row r="19506" spans="25:25" hidden="1" x14ac:dyDescent="0.25">
      <c r="Y19506" s="501"/>
    </row>
    <row r="19507" spans="25:25" hidden="1" x14ac:dyDescent="0.25">
      <c r="Y19507" s="501"/>
    </row>
    <row r="19508" spans="25:25" hidden="1" x14ac:dyDescent="0.25">
      <c r="Y19508" s="501"/>
    </row>
    <row r="19509" spans="25:25" hidden="1" x14ac:dyDescent="0.25">
      <c r="Y19509" s="501"/>
    </row>
    <row r="19510" spans="25:25" hidden="1" x14ac:dyDescent="0.25">
      <c r="Y19510" s="501"/>
    </row>
    <row r="19511" spans="25:25" hidden="1" x14ac:dyDescent="0.25">
      <c r="Y19511" s="501"/>
    </row>
    <row r="19512" spans="25:25" hidden="1" x14ac:dyDescent="0.25">
      <c r="Y19512" s="501"/>
    </row>
    <row r="19513" spans="25:25" hidden="1" x14ac:dyDescent="0.25">
      <c r="Y19513" s="501"/>
    </row>
    <row r="19514" spans="25:25" hidden="1" x14ac:dyDescent="0.25">
      <c r="Y19514" s="501"/>
    </row>
    <row r="19515" spans="25:25" hidden="1" x14ac:dyDescent="0.25">
      <c r="Y19515" s="501"/>
    </row>
    <row r="19516" spans="25:25" hidden="1" x14ac:dyDescent="0.25">
      <c r="Y19516" s="501"/>
    </row>
    <row r="19517" spans="25:25" hidden="1" x14ac:dyDescent="0.25">
      <c r="Y19517" s="501"/>
    </row>
    <row r="19518" spans="25:25" hidden="1" x14ac:dyDescent="0.25">
      <c r="Y19518" s="501"/>
    </row>
    <row r="19519" spans="25:25" hidden="1" x14ac:dyDescent="0.25">
      <c r="Y19519" s="501"/>
    </row>
    <row r="19520" spans="25:25" hidden="1" x14ac:dyDescent="0.25">
      <c r="Y19520" s="501"/>
    </row>
    <row r="19521" spans="25:25" hidden="1" x14ac:dyDescent="0.25">
      <c r="Y19521" s="501"/>
    </row>
    <row r="19522" spans="25:25" hidden="1" x14ac:dyDescent="0.25">
      <c r="Y19522" s="501"/>
    </row>
    <row r="19523" spans="25:25" hidden="1" x14ac:dyDescent="0.25">
      <c r="Y19523" s="501"/>
    </row>
    <row r="19524" spans="25:25" hidden="1" x14ac:dyDescent="0.25">
      <c r="Y19524" s="501"/>
    </row>
    <row r="19525" spans="25:25" hidden="1" x14ac:dyDescent="0.25">
      <c r="Y19525" s="501"/>
    </row>
    <row r="19526" spans="25:25" hidden="1" x14ac:dyDescent="0.25">
      <c r="Y19526" s="501"/>
    </row>
    <row r="19527" spans="25:25" hidden="1" x14ac:dyDescent="0.25">
      <c r="Y19527" s="501"/>
    </row>
    <row r="19528" spans="25:25" hidden="1" x14ac:dyDescent="0.25">
      <c r="Y19528" s="501"/>
    </row>
    <row r="19529" spans="25:25" hidden="1" x14ac:dyDescent="0.25">
      <c r="Y19529" s="501"/>
    </row>
    <row r="19530" spans="25:25" hidden="1" x14ac:dyDescent="0.25">
      <c r="Y19530" s="501"/>
    </row>
    <row r="19531" spans="25:25" hidden="1" x14ac:dyDescent="0.25">
      <c r="Y19531" s="501"/>
    </row>
    <row r="19532" spans="25:25" hidden="1" x14ac:dyDescent="0.25">
      <c r="Y19532" s="501"/>
    </row>
    <row r="19533" spans="25:25" hidden="1" x14ac:dyDescent="0.25">
      <c r="Y19533" s="501"/>
    </row>
    <row r="19534" spans="25:25" hidden="1" x14ac:dyDescent="0.25">
      <c r="Y19534" s="501"/>
    </row>
    <row r="19535" spans="25:25" hidden="1" x14ac:dyDescent="0.25">
      <c r="Y19535" s="501"/>
    </row>
    <row r="19536" spans="25:25" hidden="1" x14ac:dyDescent="0.25">
      <c r="Y19536" s="501"/>
    </row>
    <row r="19537" spans="25:25" hidden="1" x14ac:dyDescent="0.25">
      <c r="Y19537" s="501"/>
    </row>
    <row r="19538" spans="25:25" hidden="1" x14ac:dyDescent="0.25">
      <c r="Y19538" s="501"/>
    </row>
    <row r="19539" spans="25:25" hidden="1" x14ac:dyDescent="0.25">
      <c r="Y19539" s="501"/>
    </row>
    <row r="19540" spans="25:25" hidden="1" x14ac:dyDescent="0.25">
      <c r="Y19540" s="501"/>
    </row>
    <row r="19541" spans="25:25" hidden="1" x14ac:dyDescent="0.25">
      <c r="Y19541" s="501"/>
    </row>
    <row r="19542" spans="25:25" hidden="1" x14ac:dyDescent="0.25">
      <c r="Y19542" s="501"/>
    </row>
    <row r="19543" spans="25:25" hidden="1" x14ac:dyDescent="0.25">
      <c r="Y19543" s="501"/>
    </row>
    <row r="19544" spans="25:25" hidden="1" x14ac:dyDescent="0.25">
      <c r="Y19544" s="501"/>
    </row>
    <row r="19545" spans="25:25" hidden="1" x14ac:dyDescent="0.25">
      <c r="Y19545" s="501"/>
    </row>
    <row r="19546" spans="25:25" hidden="1" x14ac:dyDescent="0.25">
      <c r="Y19546" s="501"/>
    </row>
    <row r="19547" spans="25:25" hidden="1" x14ac:dyDescent="0.25">
      <c r="Y19547" s="501"/>
    </row>
    <row r="19548" spans="25:25" hidden="1" x14ac:dyDescent="0.25">
      <c r="Y19548" s="501"/>
    </row>
    <row r="19549" spans="25:25" hidden="1" x14ac:dyDescent="0.25">
      <c r="Y19549" s="501"/>
    </row>
    <row r="19550" spans="25:25" hidden="1" x14ac:dyDescent="0.25">
      <c r="Y19550" s="501"/>
    </row>
    <row r="19551" spans="25:25" hidden="1" x14ac:dyDescent="0.25">
      <c r="Y19551" s="501"/>
    </row>
    <row r="19552" spans="25:25" hidden="1" x14ac:dyDescent="0.25">
      <c r="Y19552" s="501"/>
    </row>
    <row r="19553" spans="25:25" hidden="1" x14ac:dyDescent="0.25">
      <c r="Y19553" s="501"/>
    </row>
    <row r="19554" spans="25:25" hidden="1" x14ac:dyDescent="0.25">
      <c r="Y19554" s="501"/>
    </row>
    <row r="19555" spans="25:25" hidden="1" x14ac:dyDescent="0.25">
      <c r="Y19555" s="501"/>
    </row>
    <row r="19556" spans="25:25" hidden="1" x14ac:dyDescent="0.25">
      <c r="Y19556" s="501"/>
    </row>
    <row r="19557" spans="25:25" hidden="1" x14ac:dyDescent="0.25">
      <c r="Y19557" s="501"/>
    </row>
    <row r="19558" spans="25:25" hidden="1" x14ac:dyDescent="0.25">
      <c r="Y19558" s="501"/>
    </row>
    <row r="19559" spans="25:25" hidden="1" x14ac:dyDescent="0.25">
      <c r="Y19559" s="501"/>
    </row>
    <row r="19560" spans="25:25" hidden="1" x14ac:dyDescent="0.25">
      <c r="Y19560" s="501"/>
    </row>
    <row r="19561" spans="25:25" hidden="1" x14ac:dyDescent="0.25">
      <c r="Y19561" s="501"/>
    </row>
    <row r="19562" spans="25:25" hidden="1" x14ac:dyDescent="0.25">
      <c r="Y19562" s="501"/>
    </row>
    <row r="19563" spans="25:25" hidden="1" x14ac:dyDescent="0.25">
      <c r="Y19563" s="501"/>
    </row>
    <row r="19564" spans="25:25" hidden="1" x14ac:dyDescent="0.25">
      <c r="Y19564" s="501"/>
    </row>
    <row r="19565" spans="25:25" hidden="1" x14ac:dyDescent="0.25">
      <c r="Y19565" s="501"/>
    </row>
    <row r="19566" spans="25:25" hidden="1" x14ac:dyDescent="0.25">
      <c r="Y19566" s="501"/>
    </row>
    <row r="19567" spans="25:25" hidden="1" x14ac:dyDescent="0.25">
      <c r="Y19567" s="501"/>
    </row>
    <row r="19568" spans="25:25" hidden="1" x14ac:dyDescent="0.25">
      <c r="Y19568" s="501"/>
    </row>
    <row r="19569" spans="25:25" hidden="1" x14ac:dyDescent="0.25">
      <c r="Y19569" s="501"/>
    </row>
    <row r="19570" spans="25:25" hidden="1" x14ac:dyDescent="0.25">
      <c r="Y19570" s="501"/>
    </row>
    <row r="19571" spans="25:25" hidden="1" x14ac:dyDescent="0.25">
      <c r="Y19571" s="501"/>
    </row>
    <row r="19572" spans="25:25" hidden="1" x14ac:dyDescent="0.25">
      <c r="Y19572" s="501"/>
    </row>
    <row r="19573" spans="25:25" hidden="1" x14ac:dyDescent="0.25">
      <c r="Y19573" s="501"/>
    </row>
    <row r="19574" spans="25:25" hidden="1" x14ac:dyDescent="0.25">
      <c r="Y19574" s="501"/>
    </row>
    <row r="19575" spans="25:25" hidden="1" x14ac:dyDescent="0.25">
      <c r="Y19575" s="501"/>
    </row>
    <row r="19576" spans="25:25" hidden="1" x14ac:dyDescent="0.25">
      <c r="Y19576" s="501"/>
    </row>
    <row r="19577" spans="25:25" hidden="1" x14ac:dyDescent="0.25">
      <c r="Y19577" s="501"/>
    </row>
    <row r="19578" spans="25:25" hidden="1" x14ac:dyDescent="0.25">
      <c r="Y19578" s="501"/>
    </row>
    <row r="19579" spans="25:25" hidden="1" x14ac:dyDescent="0.25">
      <c r="Y19579" s="501"/>
    </row>
    <row r="19580" spans="25:25" hidden="1" x14ac:dyDescent="0.25">
      <c r="Y19580" s="501"/>
    </row>
    <row r="19581" spans="25:25" hidden="1" x14ac:dyDescent="0.25">
      <c r="Y19581" s="501"/>
    </row>
    <row r="19582" spans="25:25" hidden="1" x14ac:dyDescent="0.25">
      <c r="Y19582" s="501"/>
    </row>
    <row r="19583" spans="25:25" hidden="1" x14ac:dyDescent="0.25">
      <c r="Y19583" s="501"/>
    </row>
    <row r="19584" spans="25:25" hidden="1" x14ac:dyDescent="0.25">
      <c r="Y19584" s="501"/>
    </row>
    <row r="19585" spans="25:25" hidden="1" x14ac:dyDescent="0.25">
      <c r="Y19585" s="501"/>
    </row>
    <row r="19586" spans="25:25" hidden="1" x14ac:dyDescent="0.25">
      <c r="Y19586" s="501"/>
    </row>
    <row r="19587" spans="25:25" hidden="1" x14ac:dyDescent="0.25">
      <c r="Y19587" s="501"/>
    </row>
    <row r="19588" spans="25:25" hidden="1" x14ac:dyDescent="0.25">
      <c r="Y19588" s="501"/>
    </row>
    <row r="19589" spans="25:25" hidden="1" x14ac:dyDescent="0.25">
      <c r="Y19589" s="501"/>
    </row>
    <row r="19590" spans="25:25" hidden="1" x14ac:dyDescent="0.25">
      <c r="Y19590" s="501"/>
    </row>
    <row r="19591" spans="25:25" hidden="1" x14ac:dyDescent="0.25">
      <c r="Y19591" s="501"/>
    </row>
    <row r="19592" spans="25:25" hidden="1" x14ac:dyDescent="0.25">
      <c r="Y19592" s="501"/>
    </row>
    <row r="19593" spans="25:25" hidden="1" x14ac:dyDescent="0.25">
      <c r="Y19593" s="501"/>
    </row>
    <row r="19594" spans="25:25" hidden="1" x14ac:dyDescent="0.25">
      <c r="Y19594" s="501"/>
    </row>
    <row r="19595" spans="25:25" hidden="1" x14ac:dyDescent="0.25">
      <c r="Y19595" s="501"/>
    </row>
    <row r="19596" spans="25:25" hidden="1" x14ac:dyDescent="0.25">
      <c r="Y19596" s="501"/>
    </row>
    <row r="19597" spans="25:25" hidden="1" x14ac:dyDescent="0.25">
      <c r="Y19597" s="501"/>
    </row>
    <row r="19598" spans="25:25" hidden="1" x14ac:dyDescent="0.25">
      <c r="Y19598" s="501"/>
    </row>
    <row r="19599" spans="25:25" hidden="1" x14ac:dyDescent="0.25">
      <c r="Y19599" s="501"/>
    </row>
    <row r="19600" spans="25:25" hidden="1" x14ac:dyDescent="0.25">
      <c r="Y19600" s="501"/>
    </row>
    <row r="19601" spans="25:25" hidden="1" x14ac:dyDescent="0.25">
      <c r="Y19601" s="501"/>
    </row>
    <row r="19602" spans="25:25" hidden="1" x14ac:dyDescent="0.25">
      <c r="Y19602" s="501"/>
    </row>
    <row r="19603" spans="25:25" hidden="1" x14ac:dyDescent="0.25">
      <c r="Y19603" s="501"/>
    </row>
    <row r="19604" spans="25:25" hidden="1" x14ac:dyDescent="0.25">
      <c r="Y19604" s="501"/>
    </row>
    <row r="19605" spans="25:25" hidden="1" x14ac:dyDescent="0.25">
      <c r="Y19605" s="501"/>
    </row>
    <row r="19606" spans="25:25" hidden="1" x14ac:dyDescent="0.25">
      <c r="Y19606" s="501"/>
    </row>
    <row r="19607" spans="25:25" hidden="1" x14ac:dyDescent="0.25">
      <c r="Y19607" s="501"/>
    </row>
    <row r="19608" spans="25:25" hidden="1" x14ac:dyDescent="0.25">
      <c r="Y19608" s="501"/>
    </row>
    <row r="19609" spans="25:25" hidden="1" x14ac:dyDescent="0.25">
      <c r="Y19609" s="501"/>
    </row>
    <row r="19610" spans="25:25" hidden="1" x14ac:dyDescent="0.25">
      <c r="Y19610" s="501"/>
    </row>
    <row r="19611" spans="25:25" hidden="1" x14ac:dyDescent="0.25">
      <c r="Y19611" s="501"/>
    </row>
    <row r="19612" spans="25:25" hidden="1" x14ac:dyDescent="0.25">
      <c r="Y19612" s="501"/>
    </row>
    <row r="19613" spans="25:25" hidden="1" x14ac:dyDescent="0.25">
      <c r="Y19613" s="501"/>
    </row>
    <row r="19614" spans="25:25" hidden="1" x14ac:dyDescent="0.25">
      <c r="Y19614" s="501"/>
    </row>
    <row r="19615" spans="25:25" hidden="1" x14ac:dyDescent="0.25">
      <c r="Y19615" s="501"/>
    </row>
    <row r="19616" spans="25:25" hidden="1" x14ac:dyDescent="0.25">
      <c r="Y19616" s="501"/>
    </row>
    <row r="19617" spans="25:25" hidden="1" x14ac:dyDescent="0.25">
      <c r="Y19617" s="501"/>
    </row>
    <row r="19618" spans="25:25" hidden="1" x14ac:dyDescent="0.25">
      <c r="Y19618" s="501"/>
    </row>
    <row r="19619" spans="25:25" hidden="1" x14ac:dyDescent="0.25">
      <c r="Y19619" s="501"/>
    </row>
    <row r="19620" spans="25:25" hidden="1" x14ac:dyDescent="0.25">
      <c r="Y19620" s="501"/>
    </row>
    <row r="19621" spans="25:25" hidden="1" x14ac:dyDescent="0.25">
      <c r="Y19621" s="501"/>
    </row>
    <row r="19622" spans="25:25" hidden="1" x14ac:dyDescent="0.25">
      <c r="Y19622" s="501"/>
    </row>
    <row r="19623" spans="25:25" hidden="1" x14ac:dyDescent="0.25">
      <c r="Y19623" s="501"/>
    </row>
    <row r="19624" spans="25:25" hidden="1" x14ac:dyDescent="0.25">
      <c r="Y19624" s="501"/>
    </row>
    <row r="19625" spans="25:25" hidden="1" x14ac:dyDescent="0.25">
      <c r="Y19625" s="501"/>
    </row>
    <row r="19626" spans="25:25" hidden="1" x14ac:dyDescent="0.25">
      <c r="Y19626" s="501"/>
    </row>
    <row r="19627" spans="25:25" hidden="1" x14ac:dyDescent="0.25">
      <c r="Y19627" s="501"/>
    </row>
    <row r="19628" spans="25:25" hidden="1" x14ac:dyDescent="0.25">
      <c r="Y19628" s="501"/>
    </row>
    <row r="19629" spans="25:25" hidden="1" x14ac:dyDescent="0.25">
      <c r="Y19629" s="501"/>
    </row>
    <row r="19630" spans="25:25" hidden="1" x14ac:dyDescent="0.25">
      <c r="Y19630" s="501"/>
    </row>
    <row r="19631" spans="25:25" hidden="1" x14ac:dyDescent="0.25">
      <c r="Y19631" s="501"/>
    </row>
    <row r="19632" spans="25:25" hidden="1" x14ac:dyDescent="0.25">
      <c r="Y19632" s="501"/>
    </row>
    <row r="19633" spans="25:25" hidden="1" x14ac:dyDescent="0.25">
      <c r="Y19633" s="501"/>
    </row>
    <row r="19634" spans="25:25" hidden="1" x14ac:dyDescent="0.25">
      <c r="Y19634" s="501"/>
    </row>
    <row r="19635" spans="25:25" hidden="1" x14ac:dyDescent="0.25">
      <c r="Y19635" s="501"/>
    </row>
    <row r="19636" spans="25:25" hidden="1" x14ac:dyDescent="0.25">
      <c r="Y19636" s="501"/>
    </row>
    <row r="19637" spans="25:25" hidden="1" x14ac:dyDescent="0.25">
      <c r="Y19637" s="501"/>
    </row>
    <row r="19638" spans="25:25" hidden="1" x14ac:dyDescent="0.25">
      <c r="Y19638" s="501"/>
    </row>
    <row r="19639" spans="25:25" hidden="1" x14ac:dyDescent="0.25">
      <c r="Y19639" s="501"/>
    </row>
    <row r="19640" spans="25:25" hidden="1" x14ac:dyDescent="0.25">
      <c r="Y19640" s="501"/>
    </row>
    <row r="19641" spans="25:25" hidden="1" x14ac:dyDescent="0.25">
      <c r="Y19641" s="501"/>
    </row>
    <row r="19642" spans="25:25" hidden="1" x14ac:dyDescent="0.25">
      <c r="Y19642" s="501"/>
    </row>
    <row r="19643" spans="25:25" hidden="1" x14ac:dyDescent="0.25">
      <c r="Y19643" s="501"/>
    </row>
    <row r="19644" spans="25:25" hidden="1" x14ac:dyDescent="0.25">
      <c r="Y19644" s="501"/>
    </row>
    <row r="19645" spans="25:25" hidden="1" x14ac:dyDescent="0.25">
      <c r="Y19645" s="501"/>
    </row>
    <row r="19646" spans="25:25" hidden="1" x14ac:dyDescent="0.25">
      <c r="Y19646" s="501"/>
    </row>
    <row r="19647" spans="25:25" hidden="1" x14ac:dyDescent="0.25">
      <c r="Y19647" s="501"/>
    </row>
    <row r="19648" spans="25:25" hidden="1" x14ac:dyDescent="0.25">
      <c r="Y19648" s="501"/>
    </row>
    <row r="19649" spans="25:25" hidden="1" x14ac:dyDescent="0.25">
      <c r="Y19649" s="501"/>
    </row>
    <row r="19650" spans="25:25" hidden="1" x14ac:dyDescent="0.25">
      <c r="Y19650" s="501"/>
    </row>
    <row r="19651" spans="25:25" hidden="1" x14ac:dyDescent="0.25">
      <c r="Y19651" s="501"/>
    </row>
    <row r="19652" spans="25:25" hidden="1" x14ac:dyDescent="0.25">
      <c r="Y19652" s="501"/>
    </row>
    <row r="19653" spans="25:25" hidden="1" x14ac:dyDescent="0.25">
      <c r="Y19653" s="501"/>
    </row>
    <row r="19654" spans="25:25" hidden="1" x14ac:dyDescent="0.25">
      <c r="Y19654" s="501"/>
    </row>
    <row r="19655" spans="25:25" hidden="1" x14ac:dyDescent="0.25">
      <c r="Y19655" s="501"/>
    </row>
    <row r="19656" spans="25:25" hidden="1" x14ac:dyDescent="0.25">
      <c r="Y19656" s="501"/>
    </row>
    <row r="19657" spans="25:25" hidden="1" x14ac:dyDescent="0.25">
      <c r="Y19657" s="501"/>
    </row>
    <row r="19658" spans="25:25" hidden="1" x14ac:dyDescent="0.25">
      <c r="Y19658" s="501"/>
    </row>
    <row r="19659" spans="25:25" hidden="1" x14ac:dyDescent="0.25">
      <c r="Y19659" s="501"/>
    </row>
    <row r="19660" spans="25:25" hidden="1" x14ac:dyDescent="0.25">
      <c r="Y19660" s="501"/>
    </row>
    <row r="19661" spans="25:25" hidden="1" x14ac:dyDescent="0.25">
      <c r="Y19661" s="501"/>
    </row>
    <row r="19662" spans="25:25" hidden="1" x14ac:dyDescent="0.25">
      <c r="Y19662" s="501"/>
    </row>
    <row r="19663" spans="25:25" hidden="1" x14ac:dyDescent="0.25">
      <c r="Y19663" s="501"/>
    </row>
    <row r="19664" spans="25:25" hidden="1" x14ac:dyDescent="0.25">
      <c r="Y19664" s="501"/>
    </row>
    <row r="19665" spans="25:25" hidden="1" x14ac:dyDescent="0.25">
      <c r="Y19665" s="501"/>
    </row>
    <row r="19666" spans="25:25" hidden="1" x14ac:dyDescent="0.25">
      <c r="Y19666" s="501"/>
    </row>
    <row r="19667" spans="25:25" hidden="1" x14ac:dyDescent="0.25">
      <c r="Y19667" s="501"/>
    </row>
    <row r="19668" spans="25:25" hidden="1" x14ac:dyDescent="0.25">
      <c r="Y19668" s="501"/>
    </row>
    <row r="19669" spans="25:25" hidden="1" x14ac:dyDescent="0.25">
      <c r="Y19669" s="501"/>
    </row>
    <row r="19670" spans="25:25" hidden="1" x14ac:dyDescent="0.25">
      <c r="Y19670" s="501"/>
    </row>
    <row r="19671" spans="25:25" hidden="1" x14ac:dyDescent="0.25">
      <c r="Y19671" s="501"/>
    </row>
    <row r="19672" spans="25:25" hidden="1" x14ac:dyDescent="0.25">
      <c r="Y19672" s="501"/>
    </row>
    <row r="19673" spans="25:25" hidden="1" x14ac:dyDescent="0.25">
      <c r="Y19673" s="501"/>
    </row>
    <row r="19674" spans="25:25" hidden="1" x14ac:dyDescent="0.25">
      <c r="Y19674" s="501"/>
    </row>
    <row r="19675" spans="25:25" hidden="1" x14ac:dyDescent="0.25">
      <c r="Y19675" s="501"/>
    </row>
    <row r="19676" spans="25:25" hidden="1" x14ac:dyDescent="0.25">
      <c r="Y19676" s="501"/>
    </row>
    <row r="19677" spans="25:25" hidden="1" x14ac:dyDescent="0.25">
      <c r="Y19677" s="501"/>
    </row>
    <row r="19678" spans="25:25" hidden="1" x14ac:dyDescent="0.25">
      <c r="Y19678" s="501"/>
    </row>
    <row r="19679" spans="25:25" hidden="1" x14ac:dyDescent="0.25">
      <c r="Y19679" s="501"/>
    </row>
    <row r="19680" spans="25:25" hidden="1" x14ac:dyDescent="0.25">
      <c r="Y19680" s="501"/>
    </row>
    <row r="19681" spans="25:25" hidden="1" x14ac:dyDescent="0.25">
      <c r="Y19681" s="501"/>
    </row>
    <row r="19682" spans="25:25" hidden="1" x14ac:dyDescent="0.25">
      <c r="Y19682" s="501"/>
    </row>
    <row r="19683" spans="25:25" hidden="1" x14ac:dyDescent="0.25">
      <c r="Y19683" s="501"/>
    </row>
    <row r="19684" spans="25:25" hidden="1" x14ac:dyDescent="0.25">
      <c r="Y19684" s="501"/>
    </row>
    <row r="19685" spans="25:25" hidden="1" x14ac:dyDescent="0.25">
      <c r="Y19685" s="501"/>
    </row>
    <row r="19686" spans="25:25" hidden="1" x14ac:dyDescent="0.25">
      <c r="Y19686" s="501"/>
    </row>
    <row r="19687" spans="25:25" hidden="1" x14ac:dyDescent="0.25">
      <c r="Y19687" s="501"/>
    </row>
    <row r="19688" spans="25:25" hidden="1" x14ac:dyDescent="0.25">
      <c r="Y19688" s="501"/>
    </row>
    <row r="19689" spans="25:25" hidden="1" x14ac:dyDescent="0.25">
      <c r="Y19689" s="501"/>
    </row>
    <row r="19690" spans="25:25" hidden="1" x14ac:dyDescent="0.25">
      <c r="Y19690" s="501"/>
    </row>
    <row r="19691" spans="25:25" hidden="1" x14ac:dyDescent="0.25">
      <c r="Y19691" s="501"/>
    </row>
    <row r="19692" spans="25:25" hidden="1" x14ac:dyDescent="0.25">
      <c r="Y19692" s="501"/>
    </row>
    <row r="19693" spans="25:25" hidden="1" x14ac:dyDescent="0.25">
      <c r="Y19693" s="501"/>
    </row>
    <row r="19694" spans="25:25" hidden="1" x14ac:dyDescent="0.25">
      <c r="Y19694" s="501"/>
    </row>
    <row r="19695" spans="25:25" hidden="1" x14ac:dyDescent="0.25">
      <c r="Y19695" s="501"/>
    </row>
    <row r="19696" spans="25:25" hidden="1" x14ac:dyDescent="0.25">
      <c r="Y19696" s="501"/>
    </row>
    <row r="19697" spans="25:25" hidden="1" x14ac:dyDescent="0.25">
      <c r="Y19697" s="501"/>
    </row>
    <row r="19698" spans="25:25" hidden="1" x14ac:dyDescent="0.25">
      <c r="Y19698" s="501"/>
    </row>
    <row r="19699" spans="25:25" hidden="1" x14ac:dyDescent="0.25">
      <c r="Y19699" s="501"/>
    </row>
    <row r="19700" spans="25:25" hidden="1" x14ac:dyDescent="0.25">
      <c r="Y19700" s="501"/>
    </row>
    <row r="19701" spans="25:25" hidden="1" x14ac:dyDescent="0.25">
      <c r="Y19701" s="501"/>
    </row>
    <row r="19702" spans="25:25" hidden="1" x14ac:dyDescent="0.25">
      <c r="Y19702" s="501"/>
    </row>
    <row r="19703" spans="25:25" hidden="1" x14ac:dyDescent="0.25">
      <c r="Y19703" s="501"/>
    </row>
    <row r="19704" spans="25:25" hidden="1" x14ac:dyDescent="0.25">
      <c r="Y19704" s="501"/>
    </row>
    <row r="19705" spans="25:25" hidden="1" x14ac:dyDescent="0.25">
      <c r="Y19705" s="501"/>
    </row>
    <row r="19706" spans="25:25" hidden="1" x14ac:dyDescent="0.25">
      <c r="Y19706" s="501"/>
    </row>
    <row r="19707" spans="25:25" hidden="1" x14ac:dyDescent="0.25">
      <c r="Y19707" s="501"/>
    </row>
    <row r="19708" spans="25:25" hidden="1" x14ac:dyDescent="0.25">
      <c r="Y19708" s="501"/>
    </row>
    <row r="19709" spans="25:25" hidden="1" x14ac:dyDescent="0.25">
      <c r="Y19709" s="501"/>
    </row>
    <row r="19710" spans="25:25" hidden="1" x14ac:dyDescent="0.25">
      <c r="Y19710" s="501"/>
    </row>
    <row r="19711" spans="25:25" hidden="1" x14ac:dyDescent="0.25">
      <c r="Y19711" s="501"/>
    </row>
    <row r="19712" spans="25:25" hidden="1" x14ac:dyDescent="0.25">
      <c r="Y19712" s="501"/>
    </row>
    <row r="19713" spans="25:25" hidden="1" x14ac:dyDescent="0.25">
      <c r="Y19713" s="501"/>
    </row>
    <row r="19714" spans="25:25" hidden="1" x14ac:dyDescent="0.25">
      <c r="Y19714" s="501"/>
    </row>
    <row r="19715" spans="25:25" hidden="1" x14ac:dyDescent="0.25">
      <c r="Y19715" s="501"/>
    </row>
    <row r="19716" spans="25:25" hidden="1" x14ac:dyDescent="0.25">
      <c r="Y19716" s="501"/>
    </row>
    <row r="19717" spans="25:25" hidden="1" x14ac:dyDescent="0.25">
      <c r="Y19717" s="501"/>
    </row>
    <row r="19718" spans="25:25" hidden="1" x14ac:dyDescent="0.25">
      <c r="Y19718" s="501"/>
    </row>
    <row r="19719" spans="25:25" hidden="1" x14ac:dyDescent="0.25">
      <c r="Y19719" s="501"/>
    </row>
    <row r="19720" spans="25:25" hidden="1" x14ac:dyDescent="0.25">
      <c r="Y19720" s="501"/>
    </row>
    <row r="19721" spans="25:25" hidden="1" x14ac:dyDescent="0.25">
      <c r="Y19721" s="501"/>
    </row>
    <row r="19722" spans="25:25" hidden="1" x14ac:dyDescent="0.25">
      <c r="Y19722" s="501"/>
    </row>
    <row r="19723" spans="25:25" hidden="1" x14ac:dyDescent="0.25">
      <c r="Y19723" s="501"/>
    </row>
    <row r="19724" spans="25:25" hidden="1" x14ac:dyDescent="0.25">
      <c r="Y19724" s="501"/>
    </row>
    <row r="19725" spans="25:25" hidden="1" x14ac:dyDescent="0.25">
      <c r="Y19725" s="501"/>
    </row>
    <row r="19726" spans="25:25" hidden="1" x14ac:dyDescent="0.25">
      <c r="Y19726" s="501"/>
    </row>
    <row r="19727" spans="25:25" hidden="1" x14ac:dyDescent="0.25">
      <c r="Y19727" s="501"/>
    </row>
    <row r="19728" spans="25:25" hidden="1" x14ac:dyDescent="0.25">
      <c r="Y19728" s="501"/>
    </row>
    <row r="19729" spans="25:25" hidden="1" x14ac:dyDescent="0.25">
      <c r="Y19729" s="501"/>
    </row>
    <row r="19730" spans="25:25" hidden="1" x14ac:dyDescent="0.25">
      <c r="Y19730" s="501"/>
    </row>
    <row r="19731" spans="25:25" hidden="1" x14ac:dyDescent="0.25">
      <c r="Y19731" s="501"/>
    </row>
    <row r="19732" spans="25:25" hidden="1" x14ac:dyDescent="0.25">
      <c r="Y19732" s="501"/>
    </row>
    <row r="19733" spans="25:25" hidden="1" x14ac:dyDescent="0.25">
      <c r="Y19733" s="501"/>
    </row>
    <row r="19734" spans="25:25" hidden="1" x14ac:dyDescent="0.25">
      <c r="Y19734" s="501"/>
    </row>
    <row r="19735" spans="25:25" hidden="1" x14ac:dyDescent="0.25">
      <c r="Y19735" s="501"/>
    </row>
    <row r="19736" spans="25:25" hidden="1" x14ac:dyDescent="0.25">
      <c r="Y19736" s="501"/>
    </row>
    <row r="19737" spans="25:25" hidden="1" x14ac:dyDescent="0.25">
      <c r="Y19737" s="501"/>
    </row>
    <row r="19738" spans="25:25" hidden="1" x14ac:dyDescent="0.25">
      <c r="Y19738" s="501"/>
    </row>
    <row r="19739" spans="25:25" hidden="1" x14ac:dyDescent="0.25">
      <c r="Y19739" s="501"/>
    </row>
    <row r="19740" spans="25:25" hidden="1" x14ac:dyDescent="0.25">
      <c r="Y19740" s="501"/>
    </row>
    <row r="19741" spans="25:25" hidden="1" x14ac:dyDescent="0.25">
      <c r="Y19741" s="501"/>
    </row>
    <row r="19742" spans="25:25" hidden="1" x14ac:dyDescent="0.25">
      <c r="Y19742" s="501"/>
    </row>
    <row r="19743" spans="25:25" hidden="1" x14ac:dyDescent="0.25">
      <c r="Y19743" s="501"/>
    </row>
    <row r="19744" spans="25:25" hidden="1" x14ac:dyDescent="0.25">
      <c r="Y19744" s="501"/>
    </row>
    <row r="19745" spans="25:25" hidden="1" x14ac:dyDescent="0.25">
      <c r="Y19745" s="501"/>
    </row>
    <row r="19746" spans="25:25" hidden="1" x14ac:dyDescent="0.25">
      <c r="Y19746" s="501"/>
    </row>
    <row r="19747" spans="25:25" hidden="1" x14ac:dyDescent="0.25">
      <c r="Y19747" s="501"/>
    </row>
    <row r="19748" spans="25:25" hidden="1" x14ac:dyDescent="0.25">
      <c r="Y19748" s="501"/>
    </row>
    <row r="19749" spans="25:25" hidden="1" x14ac:dyDescent="0.25">
      <c r="Y19749" s="501"/>
    </row>
    <row r="19750" spans="25:25" hidden="1" x14ac:dyDescent="0.25">
      <c r="Y19750" s="501"/>
    </row>
    <row r="19751" spans="25:25" hidden="1" x14ac:dyDescent="0.25">
      <c r="Y19751" s="501"/>
    </row>
    <row r="19752" spans="25:25" hidden="1" x14ac:dyDescent="0.25">
      <c r="Y19752" s="501"/>
    </row>
    <row r="19753" spans="25:25" hidden="1" x14ac:dyDescent="0.25">
      <c r="Y19753" s="501"/>
    </row>
    <row r="19754" spans="25:25" hidden="1" x14ac:dyDescent="0.25">
      <c r="Y19754" s="501"/>
    </row>
    <row r="19755" spans="25:25" hidden="1" x14ac:dyDescent="0.25">
      <c r="Y19755" s="501"/>
    </row>
    <row r="19756" spans="25:25" hidden="1" x14ac:dyDescent="0.25">
      <c r="Y19756" s="501"/>
    </row>
    <row r="19757" spans="25:25" hidden="1" x14ac:dyDescent="0.25">
      <c r="Y19757" s="501"/>
    </row>
    <row r="19758" spans="25:25" hidden="1" x14ac:dyDescent="0.25">
      <c r="Y19758" s="501"/>
    </row>
    <row r="19759" spans="25:25" hidden="1" x14ac:dyDescent="0.25">
      <c r="Y19759" s="501"/>
    </row>
    <row r="19760" spans="25:25" hidden="1" x14ac:dyDescent="0.25">
      <c r="Y19760" s="501"/>
    </row>
    <row r="19761" spans="25:25" hidden="1" x14ac:dyDescent="0.25">
      <c r="Y19761" s="501"/>
    </row>
    <row r="19762" spans="25:25" hidden="1" x14ac:dyDescent="0.25">
      <c r="Y19762" s="501"/>
    </row>
    <row r="19763" spans="25:25" hidden="1" x14ac:dyDescent="0.25">
      <c r="Y19763" s="501"/>
    </row>
    <row r="19764" spans="25:25" hidden="1" x14ac:dyDescent="0.25">
      <c r="Y19764" s="501"/>
    </row>
    <row r="19765" spans="25:25" hidden="1" x14ac:dyDescent="0.25">
      <c r="Y19765" s="501"/>
    </row>
    <row r="19766" spans="25:25" hidden="1" x14ac:dyDescent="0.25">
      <c r="Y19766" s="501"/>
    </row>
    <row r="19767" spans="25:25" hidden="1" x14ac:dyDescent="0.25">
      <c r="Y19767" s="501"/>
    </row>
    <row r="19768" spans="25:25" hidden="1" x14ac:dyDescent="0.25">
      <c r="Y19768" s="501"/>
    </row>
    <row r="19769" spans="25:25" hidden="1" x14ac:dyDescent="0.25">
      <c r="Y19769" s="501"/>
    </row>
    <row r="19770" spans="25:25" hidden="1" x14ac:dyDescent="0.25">
      <c r="Y19770" s="501"/>
    </row>
    <row r="19771" spans="25:25" hidden="1" x14ac:dyDescent="0.25">
      <c r="Y19771" s="501"/>
    </row>
    <row r="19772" spans="25:25" hidden="1" x14ac:dyDescent="0.25">
      <c r="Y19772" s="501"/>
    </row>
    <row r="19773" spans="25:25" hidden="1" x14ac:dyDescent="0.25">
      <c r="Y19773" s="501"/>
    </row>
    <row r="19774" spans="25:25" hidden="1" x14ac:dyDescent="0.25">
      <c r="Y19774" s="501"/>
    </row>
    <row r="19775" spans="25:25" hidden="1" x14ac:dyDescent="0.25">
      <c r="Y19775" s="501"/>
    </row>
    <row r="19776" spans="25:25" hidden="1" x14ac:dyDescent="0.25">
      <c r="Y19776" s="501"/>
    </row>
    <row r="19777" spans="25:25" hidden="1" x14ac:dyDescent="0.25">
      <c r="Y19777" s="501"/>
    </row>
    <row r="19778" spans="25:25" hidden="1" x14ac:dyDescent="0.25">
      <c r="Y19778" s="501"/>
    </row>
    <row r="19779" spans="25:25" hidden="1" x14ac:dyDescent="0.25">
      <c r="Y19779" s="501"/>
    </row>
    <row r="19780" spans="25:25" hidden="1" x14ac:dyDescent="0.25">
      <c r="Y19780" s="501"/>
    </row>
    <row r="19781" spans="25:25" hidden="1" x14ac:dyDescent="0.25">
      <c r="Y19781" s="501"/>
    </row>
    <row r="19782" spans="25:25" hidden="1" x14ac:dyDescent="0.25">
      <c r="Y19782" s="501"/>
    </row>
    <row r="19783" spans="25:25" hidden="1" x14ac:dyDescent="0.25">
      <c r="Y19783" s="501"/>
    </row>
    <row r="19784" spans="25:25" hidden="1" x14ac:dyDescent="0.25">
      <c r="Y19784" s="501"/>
    </row>
    <row r="19785" spans="25:25" hidden="1" x14ac:dyDescent="0.25">
      <c r="Y19785" s="501"/>
    </row>
    <row r="19786" spans="25:25" hidden="1" x14ac:dyDescent="0.25">
      <c r="Y19786" s="501"/>
    </row>
    <row r="19787" spans="25:25" hidden="1" x14ac:dyDescent="0.25">
      <c r="Y19787" s="501"/>
    </row>
    <row r="19788" spans="25:25" hidden="1" x14ac:dyDescent="0.25">
      <c r="Y19788" s="501"/>
    </row>
    <row r="19789" spans="25:25" hidden="1" x14ac:dyDescent="0.25">
      <c r="Y19789" s="501"/>
    </row>
    <row r="19790" spans="25:25" hidden="1" x14ac:dyDescent="0.25">
      <c r="Y19790" s="501"/>
    </row>
    <row r="19791" spans="25:25" hidden="1" x14ac:dyDescent="0.25">
      <c r="Y19791" s="501"/>
    </row>
    <row r="19792" spans="25:25" hidden="1" x14ac:dyDescent="0.25">
      <c r="Y19792" s="501"/>
    </row>
    <row r="19793" spans="25:25" hidden="1" x14ac:dyDescent="0.25">
      <c r="Y19793" s="501"/>
    </row>
    <row r="19794" spans="25:25" hidden="1" x14ac:dyDescent="0.25">
      <c r="Y19794" s="501"/>
    </row>
    <row r="19795" spans="25:25" hidden="1" x14ac:dyDescent="0.25">
      <c r="Y19795" s="501"/>
    </row>
    <row r="19796" spans="25:25" hidden="1" x14ac:dyDescent="0.25">
      <c r="Y19796" s="501"/>
    </row>
    <row r="19797" spans="25:25" hidden="1" x14ac:dyDescent="0.25">
      <c r="Y19797" s="501"/>
    </row>
    <row r="19798" spans="25:25" hidden="1" x14ac:dyDescent="0.25">
      <c r="Y19798" s="501"/>
    </row>
    <row r="19799" spans="25:25" hidden="1" x14ac:dyDescent="0.25">
      <c r="Y19799" s="501"/>
    </row>
    <row r="19800" spans="25:25" hidden="1" x14ac:dyDescent="0.25">
      <c r="Y19800" s="501"/>
    </row>
    <row r="19801" spans="25:25" hidden="1" x14ac:dyDescent="0.25">
      <c r="Y19801" s="501"/>
    </row>
    <row r="19802" spans="25:25" hidden="1" x14ac:dyDescent="0.25">
      <c r="Y19802" s="501"/>
    </row>
    <row r="19803" spans="25:25" hidden="1" x14ac:dyDescent="0.25">
      <c r="Y19803" s="501"/>
    </row>
    <row r="19804" spans="25:25" hidden="1" x14ac:dyDescent="0.25">
      <c r="Y19804" s="501"/>
    </row>
    <row r="19805" spans="25:25" hidden="1" x14ac:dyDescent="0.25">
      <c r="Y19805" s="501"/>
    </row>
    <row r="19806" spans="25:25" hidden="1" x14ac:dyDescent="0.25">
      <c r="Y19806" s="501"/>
    </row>
    <row r="19807" spans="25:25" hidden="1" x14ac:dyDescent="0.25">
      <c r="Y19807" s="501"/>
    </row>
    <row r="19808" spans="25:25" hidden="1" x14ac:dyDescent="0.25">
      <c r="Y19808" s="501"/>
    </row>
    <row r="19809" spans="25:25" hidden="1" x14ac:dyDescent="0.25">
      <c r="Y19809" s="501"/>
    </row>
    <row r="19810" spans="25:25" hidden="1" x14ac:dyDescent="0.25">
      <c r="Y19810" s="501"/>
    </row>
    <row r="19811" spans="25:25" hidden="1" x14ac:dyDescent="0.25">
      <c r="Y19811" s="501"/>
    </row>
    <row r="19812" spans="25:25" hidden="1" x14ac:dyDescent="0.25">
      <c r="Y19812" s="501"/>
    </row>
    <row r="19813" spans="25:25" hidden="1" x14ac:dyDescent="0.25">
      <c r="Y19813" s="501"/>
    </row>
    <row r="19814" spans="25:25" hidden="1" x14ac:dyDescent="0.25">
      <c r="Y19814" s="501"/>
    </row>
    <row r="19815" spans="25:25" hidden="1" x14ac:dyDescent="0.25">
      <c r="Y19815" s="501"/>
    </row>
    <row r="19816" spans="25:25" hidden="1" x14ac:dyDescent="0.25">
      <c r="Y19816" s="501"/>
    </row>
    <row r="19817" spans="25:25" hidden="1" x14ac:dyDescent="0.25">
      <c r="Y19817" s="501"/>
    </row>
    <row r="19818" spans="25:25" hidden="1" x14ac:dyDescent="0.25">
      <c r="Y19818" s="501"/>
    </row>
    <row r="19819" spans="25:25" hidden="1" x14ac:dyDescent="0.25">
      <c r="Y19819" s="501"/>
    </row>
    <row r="19820" spans="25:25" hidden="1" x14ac:dyDescent="0.25">
      <c r="Y19820" s="501"/>
    </row>
    <row r="19821" spans="25:25" hidden="1" x14ac:dyDescent="0.25">
      <c r="Y19821" s="501"/>
    </row>
    <row r="19822" spans="25:25" hidden="1" x14ac:dyDescent="0.25">
      <c r="Y19822" s="501"/>
    </row>
    <row r="19823" spans="25:25" hidden="1" x14ac:dyDescent="0.25">
      <c r="Y19823" s="501"/>
    </row>
    <row r="19824" spans="25:25" hidden="1" x14ac:dyDescent="0.25">
      <c r="Y19824" s="501"/>
    </row>
    <row r="19825" spans="25:25" hidden="1" x14ac:dyDescent="0.25">
      <c r="Y19825" s="501"/>
    </row>
    <row r="19826" spans="25:25" hidden="1" x14ac:dyDescent="0.25">
      <c r="Y19826" s="501"/>
    </row>
    <row r="19827" spans="25:25" hidden="1" x14ac:dyDescent="0.25">
      <c r="Y19827" s="501"/>
    </row>
    <row r="19828" spans="25:25" hidden="1" x14ac:dyDescent="0.25">
      <c r="Y19828" s="501"/>
    </row>
    <row r="19829" spans="25:25" hidden="1" x14ac:dyDescent="0.25">
      <c r="Y19829" s="501"/>
    </row>
    <row r="19830" spans="25:25" hidden="1" x14ac:dyDescent="0.25">
      <c r="Y19830" s="501"/>
    </row>
    <row r="19831" spans="25:25" hidden="1" x14ac:dyDescent="0.25">
      <c r="Y19831" s="501"/>
    </row>
    <row r="19832" spans="25:25" hidden="1" x14ac:dyDescent="0.25">
      <c r="Y19832" s="501"/>
    </row>
    <row r="19833" spans="25:25" hidden="1" x14ac:dyDescent="0.25">
      <c r="Y19833" s="501"/>
    </row>
    <row r="19834" spans="25:25" hidden="1" x14ac:dyDescent="0.25">
      <c r="Y19834" s="501"/>
    </row>
    <row r="19835" spans="25:25" hidden="1" x14ac:dyDescent="0.25">
      <c r="Y19835" s="501"/>
    </row>
    <row r="19836" spans="25:25" hidden="1" x14ac:dyDescent="0.25">
      <c r="Y19836" s="501"/>
    </row>
    <row r="19837" spans="25:25" hidden="1" x14ac:dyDescent="0.25">
      <c r="Y19837" s="501"/>
    </row>
    <row r="19838" spans="25:25" hidden="1" x14ac:dyDescent="0.25">
      <c r="Y19838" s="501"/>
    </row>
    <row r="19839" spans="25:25" hidden="1" x14ac:dyDescent="0.25">
      <c r="Y19839" s="501"/>
    </row>
    <row r="19840" spans="25:25" hidden="1" x14ac:dyDescent="0.25">
      <c r="Y19840" s="501"/>
    </row>
    <row r="19841" spans="25:25" hidden="1" x14ac:dyDescent="0.25">
      <c r="Y19841" s="501"/>
    </row>
    <row r="19842" spans="25:25" hidden="1" x14ac:dyDescent="0.25">
      <c r="Y19842" s="501"/>
    </row>
    <row r="19843" spans="25:25" hidden="1" x14ac:dyDescent="0.25">
      <c r="Y19843" s="501"/>
    </row>
    <row r="19844" spans="25:25" hidden="1" x14ac:dyDescent="0.25">
      <c r="Y19844" s="501"/>
    </row>
    <row r="19845" spans="25:25" hidden="1" x14ac:dyDescent="0.25">
      <c r="Y19845" s="501"/>
    </row>
    <row r="19846" spans="25:25" hidden="1" x14ac:dyDescent="0.25">
      <c r="Y19846" s="501"/>
    </row>
    <row r="19847" spans="25:25" hidden="1" x14ac:dyDescent="0.25">
      <c r="Y19847" s="501"/>
    </row>
    <row r="19848" spans="25:25" hidden="1" x14ac:dyDescent="0.25">
      <c r="Y19848" s="501"/>
    </row>
    <row r="19849" spans="25:25" hidden="1" x14ac:dyDescent="0.25">
      <c r="Y19849" s="501"/>
    </row>
    <row r="19850" spans="25:25" hidden="1" x14ac:dyDescent="0.25">
      <c r="Y19850" s="501"/>
    </row>
    <row r="19851" spans="25:25" hidden="1" x14ac:dyDescent="0.25">
      <c r="Y19851" s="501"/>
    </row>
    <row r="19852" spans="25:25" hidden="1" x14ac:dyDescent="0.25">
      <c r="Y19852" s="501"/>
    </row>
    <row r="19853" spans="25:25" hidden="1" x14ac:dyDescent="0.25">
      <c r="Y19853" s="501"/>
    </row>
    <row r="19854" spans="25:25" hidden="1" x14ac:dyDescent="0.25">
      <c r="Y19854" s="501"/>
    </row>
    <row r="19855" spans="25:25" hidden="1" x14ac:dyDescent="0.25">
      <c r="Y19855" s="501"/>
    </row>
    <row r="19856" spans="25:25" hidden="1" x14ac:dyDescent="0.25">
      <c r="Y19856" s="501"/>
    </row>
    <row r="19857" spans="25:25" hidden="1" x14ac:dyDescent="0.25">
      <c r="Y19857" s="501"/>
    </row>
    <row r="19858" spans="25:25" hidden="1" x14ac:dyDescent="0.25">
      <c r="Y19858" s="501"/>
    </row>
    <row r="19859" spans="25:25" hidden="1" x14ac:dyDescent="0.25">
      <c r="Y19859" s="501"/>
    </row>
    <row r="19860" spans="25:25" hidden="1" x14ac:dyDescent="0.25">
      <c r="Y19860" s="501"/>
    </row>
    <row r="19861" spans="25:25" hidden="1" x14ac:dyDescent="0.25">
      <c r="Y19861" s="501"/>
    </row>
    <row r="19862" spans="25:25" hidden="1" x14ac:dyDescent="0.25">
      <c r="Y19862" s="501"/>
    </row>
    <row r="19863" spans="25:25" hidden="1" x14ac:dyDescent="0.25">
      <c r="Y19863" s="501"/>
    </row>
    <row r="19864" spans="25:25" hidden="1" x14ac:dyDescent="0.25">
      <c r="Y19864" s="501"/>
    </row>
    <row r="19865" spans="25:25" hidden="1" x14ac:dyDescent="0.25">
      <c r="Y19865" s="501"/>
    </row>
    <row r="19866" spans="25:25" hidden="1" x14ac:dyDescent="0.25">
      <c r="Y19866" s="501"/>
    </row>
    <row r="19867" spans="25:25" hidden="1" x14ac:dyDescent="0.25">
      <c r="Y19867" s="501"/>
    </row>
    <row r="19868" spans="25:25" hidden="1" x14ac:dyDescent="0.25">
      <c r="Y19868" s="501"/>
    </row>
    <row r="19869" spans="25:25" hidden="1" x14ac:dyDescent="0.25">
      <c r="Y19869" s="501"/>
    </row>
    <row r="19870" spans="25:25" hidden="1" x14ac:dyDescent="0.25">
      <c r="Y19870" s="501"/>
    </row>
    <row r="19871" spans="25:25" hidden="1" x14ac:dyDescent="0.25">
      <c r="Y19871" s="501"/>
    </row>
    <row r="19872" spans="25:25" hidden="1" x14ac:dyDescent="0.25">
      <c r="Y19872" s="501"/>
    </row>
    <row r="19873" spans="25:25" hidden="1" x14ac:dyDescent="0.25">
      <c r="Y19873" s="501"/>
    </row>
    <row r="19874" spans="25:25" hidden="1" x14ac:dyDescent="0.25">
      <c r="Y19874" s="501"/>
    </row>
    <row r="19875" spans="25:25" hidden="1" x14ac:dyDescent="0.25">
      <c r="Y19875" s="501"/>
    </row>
    <row r="19876" spans="25:25" hidden="1" x14ac:dyDescent="0.25">
      <c r="Y19876" s="501"/>
    </row>
    <row r="19877" spans="25:25" hidden="1" x14ac:dyDescent="0.25">
      <c r="Y19877" s="501"/>
    </row>
    <row r="19878" spans="25:25" hidden="1" x14ac:dyDescent="0.25">
      <c r="Y19878" s="501"/>
    </row>
    <row r="19879" spans="25:25" hidden="1" x14ac:dyDescent="0.25">
      <c r="Y19879" s="501"/>
    </row>
    <row r="19880" spans="25:25" hidden="1" x14ac:dyDescent="0.25">
      <c r="Y19880" s="501"/>
    </row>
    <row r="19881" spans="25:25" hidden="1" x14ac:dyDescent="0.25">
      <c r="Y19881" s="501"/>
    </row>
    <row r="19882" spans="25:25" hidden="1" x14ac:dyDescent="0.25">
      <c r="Y19882" s="501"/>
    </row>
    <row r="19883" spans="25:25" hidden="1" x14ac:dyDescent="0.25">
      <c r="Y19883" s="501"/>
    </row>
    <row r="19884" spans="25:25" hidden="1" x14ac:dyDescent="0.25">
      <c r="Y19884" s="501"/>
    </row>
    <row r="19885" spans="25:25" hidden="1" x14ac:dyDescent="0.25">
      <c r="Y19885" s="501"/>
    </row>
    <row r="19886" spans="25:25" hidden="1" x14ac:dyDescent="0.25">
      <c r="Y19886" s="501"/>
    </row>
    <row r="19887" spans="25:25" hidden="1" x14ac:dyDescent="0.25">
      <c r="Y19887" s="501"/>
    </row>
    <row r="19888" spans="25:25" hidden="1" x14ac:dyDescent="0.25">
      <c r="Y19888" s="501"/>
    </row>
    <row r="19889" spans="25:25" hidden="1" x14ac:dyDescent="0.25">
      <c r="Y19889" s="501"/>
    </row>
    <row r="19890" spans="25:25" hidden="1" x14ac:dyDescent="0.25">
      <c r="Y19890" s="501"/>
    </row>
    <row r="19891" spans="25:25" hidden="1" x14ac:dyDescent="0.25">
      <c r="Y19891" s="501"/>
    </row>
    <row r="19892" spans="25:25" hidden="1" x14ac:dyDescent="0.25">
      <c r="Y19892" s="501"/>
    </row>
    <row r="19893" spans="25:25" hidden="1" x14ac:dyDescent="0.25">
      <c r="Y19893" s="501"/>
    </row>
    <row r="19894" spans="25:25" hidden="1" x14ac:dyDescent="0.25">
      <c r="Y19894" s="501"/>
    </row>
    <row r="19895" spans="25:25" hidden="1" x14ac:dyDescent="0.25">
      <c r="Y19895" s="501"/>
    </row>
    <row r="19896" spans="25:25" hidden="1" x14ac:dyDescent="0.25">
      <c r="Y19896" s="501"/>
    </row>
    <row r="19897" spans="25:25" hidden="1" x14ac:dyDescent="0.25">
      <c r="Y19897" s="501"/>
    </row>
    <row r="19898" spans="25:25" hidden="1" x14ac:dyDescent="0.25">
      <c r="Y19898" s="501"/>
    </row>
    <row r="19899" spans="25:25" hidden="1" x14ac:dyDescent="0.25">
      <c r="Y19899" s="501"/>
    </row>
    <row r="19900" spans="25:25" hidden="1" x14ac:dyDescent="0.25">
      <c r="Y19900" s="501"/>
    </row>
    <row r="19901" spans="25:25" hidden="1" x14ac:dyDescent="0.25">
      <c r="Y19901" s="501"/>
    </row>
    <row r="19902" spans="25:25" hidden="1" x14ac:dyDescent="0.25">
      <c r="Y19902" s="501"/>
    </row>
    <row r="19903" spans="25:25" hidden="1" x14ac:dyDescent="0.25">
      <c r="Y19903" s="501"/>
    </row>
    <row r="19904" spans="25:25" hidden="1" x14ac:dyDescent="0.25">
      <c r="Y19904" s="501"/>
    </row>
    <row r="19905" spans="25:25" hidden="1" x14ac:dyDescent="0.25">
      <c r="Y19905" s="501"/>
    </row>
    <row r="19906" spans="25:25" hidden="1" x14ac:dyDescent="0.25">
      <c r="Y19906" s="501"/>
    </row>
    <row r="19907" spans="25:25" hidden="1" x14ac:dyDescent="0.25">
      <c r="Y19907" s="501"/>
    </row>
    <row r="19908" spans="25:25" hidden="1" x14ac:dyDescent="0.25">
      <c r="Y19908" s="501"/>
    </row>
    <row r="19909" spans="25:25" hidden="1" x14ac:dyDescent="0.25">
      <c r="Y19909" s="501"/>
    </row>
    <row r="19910" spans="25:25" hidden="1" x14ac:dyDescent="0.25">
      <c r="Y19910" s="501"/>
    </row>
    <row r="19911" spans="25:25" hidden="1" x14ac:dyDescent="0.25">
      <c r="Y19911" s="501"/>
    </row>
    <row r="19912" spans="25:25" hidden="1" x14ac:dyDescent="0.25">
      <c r="Y19912" s="501"/>
    </row>
    <row r="19913" spans="25:25" hidden="1" x14ac:dyDescent="0.25">
      <c r="Y19913" s="501"/>
    </row>
    <row r="19914" spans="25:25" hidden="1" x14ac:dyDescent="0.25">
      <c r="Y19914" s="501"/>
    </row>
    <row r="19915" spans="25:25" hidden="1" x14ac:dyDescent="0.25">
      <c r="Y19915" s="501"/>
    </row>
    <row r="19916" spans="25:25" hidden="1" x14ac:dyDescent="0.25">
      <c r="Y19916" s="501"/>
    </row>
    <row r="19917" spans="25:25" hidden="1" x14ac:dyDescent="0.25">
      <c r="Y19917" s="501"/>
    </row>
    <row r="19918" spans="25:25" hidden="1" x14ac:dyDescent="0.25">
      <c r="Y19918" s="501"/>
    </row>
    <row r="19919" spans="25:25" hidden="1" x14ac:dyDescent="0.25">
      <c r="Y19919" s="501"/>
    </row>
    <row r="19920" spans="25:25" hidden="1" x14ac:dyDescent="0.25">
      <c r="Y19920" s="501"/>
    </row>
    <row r="19921" spans="25:25" hidden="1" x14ac:dyDescent="0.25">
      <c r="Y19921" s="501"/>
    </row>
    <row r="19922" spans="25:25" hidden="1" x14ac:dyDescent="0.25">
      <c r="Y19922" s="501"/>
    </row>
    <row r="19923" spans="25:25" hidden="1" x14ac:dyDescent="0.25">
      <c r="Y19923" s="501"/>
    </row>
    <row r="19924" spans="25:25" hidden="1" x14ac:dyDescent="0.25">
      <c r="Y19924" s="501"/>
    </row>
    <row r="19925" spans="25:25" hidden="1" x14ac:dyDescent="0.25">
      <c r="Y19925" s="501"/>
    </row>
    <row r="19926" spans="25:25" hidden="1" x14ac:dyDescent="0.25">
      <c r="Y19926" s="501"/>
    </row>
    <row r="19927" spans="25:25" hidden="1" x14ac:dyDescent="0.25">
      <c r="Y19927" s="501"/>
    </row>
    <row r="19928" spans="25:25" hidden="1" x14ac:dyDescent="0.25">
      <c r="Y19928" s="501"/>
    </row>
    <row r="19929" spans="25:25" hidden="1" x14ac:dyDescent="0.25">
      <c r="Y19929" s="501"/>
    </row>
    <row r="19930" spans="25:25" hidden="1" x14ac:dyDescent="0.25">
      <c r="Y19930" s="501"/>
    </row>
    <row r="19931" spans="25:25" hidden="1" x14ac:dyDescent="0.25">
      <c r="Y19931" s="501"/>
    </row>
    <row r="19932" spans="25:25" hidden="1" x14ac:dyDescent="0.25">
      <c r="Y19932" s="501"/>
    </row>
    <row r="19933" spans="25:25" hidden="1" x14ac:dyDescent="0.25">
      <c r="Y19933" s="501"/>
    </row>
    <row r="19934" spans="25:25" hidden="1" x14ac:dyDescent="0.25">
      <c r="Y19934" s="501"/>
    </row>
    <row r="19935" spans="25:25" hidden="1" x14ac:dyDescent="0.25">
      <c r="Y19935" s="501"/>
    </row>
    <row r="19936" spans="25:25" hidden="1" x14ac:dyDescent="0.25">
      <c r="Y19936" s="501"/>
    </row>
    <row r="19937" spans="25:25" hidden="1" x14ac:dyDescent="0.25">
      <c r="Y19937" s="501"/>
    </row>
    <row r="19938" spans="25:25" hidden="1" x14ac:dyDescent="0.25">
      <c r="Y19938" s="501"/>
    </row>
    <row r="19939" spans="25:25" hidden="1" x14ac:dyDescent="0.25">
      <c r="Y19939" s="501"/>
    </row>
    <row r="19940" spans="25:25" hidden="1" x14ac:dyDescent="0.25">
      <c r="Y19940" s="501"/>
    </row>
    <row r="19941" spans="25:25" hidden="1" x14ac:dyDescent="0.25">
      <c r="Y19941" s="501"/>
    </row>
    <row r="19942" spans="25:25" hidden="1" x14ac:dyDescent="0.25">
      <c r="Y19942" s="501"/>
    </row>
    <row r="19943" spans="25:25" hidden="1" x14ac:dyDescent="0.25">
      <c r="Y19943" s="501"/>
    </row>
    <row r="19944" spans="25:25" hidden="1" x14ac:dyDescent="0.25">
      <c r="Y19944" s="501"/>
    </row>
    <row r="19945" spans="25:25" hidden="1" x14ac:dyDescent="0.25">
      <c r="Y19945" s="501"/>
    </row>
    <row r="19946" spans="25:25" hidden="1" x14ac:dyDescent="0.25">
      <c r="Y19946" s="501"/>
    </row>
    <row r="19947" spans="25:25" hidden="1" x14ac:dyDescent="0.25">
      <c r="Y19947" s="501"/>
    </row>
    <row r="19948" spans="25:25" hidden="1" x14ac:dyDescent="0.25">
      <c r="Y19948" s="501"/>
    </row>
    <row r="19949" spans="25:25" hidden="1" x14ac:dyDescent="0.25">
      <c r="Y19949" s="501"/>
    </row>
    <row r="19950" spans="25:25" hidden="1" x14ac:dyDescent="0.25">
      <c r="Y19950" s="501"/>
    </row>
    <row r="19951" spans="25:25" hidden="1" x14ac:dyDescent="0.25">
      <c r="Y19951" s="501"/>
    </row>
    <row r="19952" spans="25:25" hidden="1" x14ac:dyDescent="0.25">
      <c r="Y19952" s="501"/>
    </row>
    <row r="19953" spans="25:25" hidden="1" x14ac:dyDescent="0.25">
      <c r="Y19953" s="501"/>
    </row>
    <row r="19954" spans="25:25" hidden="1" x14ac:dyDescent="0.25">
      <c r="Y19954" s="501"/>
    </row>
    <row r="19955" spans="25:25" hidden="1" x14ac:dyDescent="0.25">
      <c r="Y19955" s="501"/>
    </row>
    <row r="19956" spans="25:25" hidden="1" x14ac:dyDescent="0.25">
      <c r="Y19956" s="501"/>
    </row>
    <row r="19957" spans="25:25" hidden="1" x14ac:dyDescent="0.25">
      <c r="Y19957" s="501"/>
    </row>
    <row r="19958" spans="25:25" hidden="1" x14ac:dyDescent="0.25">
      <c r="Y19958" s="501"/>
    </row>
    <row r="19959" spans="25:25" hidden="1" x14ac:dyDescent="0.25">
      <c r="Y19959" s="501"/>
    </row>
    <row r="19960" spans="25:25" hidden="1" x14ac:dyDescent="0.25">
      <c r="Y19960" s="501"/>
    </row>
    <row r="19961" spans="25:25" hidden="1" x14ac:dyDescent="0.25">
      <c r="Y19961" s="501"/>
    </row>
    <row r="19962" spans="25:25" hidden="1" x14ac:dyDescent="0.25">
      <c r="Y19962" s="501"/>
    </row>
    <row r="19963" spans="25:25" hidden="1" x14ac:dyDescent="0.25">
      <c r="Y19963" s="501"/>
    </row>
    <row r="19964" spans="25:25" hidden="1" x14ac:dyDescent="0.25">
      <c r="Y19964" s="501"/>
    </row>
    <row r="19965" spans="25:25" hidden="1" x14ac:dyDescent="0.25">
      <c r="Y19965" s="501"/>
    </row>
    <row r="19966" spans="25:25" hidden="1" x14ac:dyDescent="0.25">
      <c r="Y19966" s="501"/>
    </row>
    <row r="19967" spans="25:25" hidden="1" x14ac:dyDescent="0.25">
      <c r="Y19967" s="501"/>
    </row>
    <row r="19968" spans="25:25" hidden="1" x14ac:dyDescent="0.25">
      <c r="Y19968" s="501"/>
    </row>
    <row r="19969" spans="25:25" hidden="1" x14ac:dyDescent="0.25">
      <c r="Y19969" s="501"/>
    </row>
    <row r="19970" spans="25:25" hidden="1" x14ac:dyDescent="0.25">
      <c r="Y19970" s="501"/>
    </row>
    <row r="19971" spans="25:25" hidden="1" x14ac:dyDescent="0.25">
      <c r="Y19971" s="501"/>
    </row>
    <row r="19972" spans="25:25" hidden="1" x14ac:dyDescent="0.25">
      <c r="Y19972" s="501"/>
    </row>
    <row r="19973" spans="25:25" hidden="1" x14ac:dyDescent="0.25">
      <c r="Y19973" s="501"/>
    </row>
    <row r="19974" spans="25:25" hidden="1" x14ac:dyDescent="0.25">
      <c r="Y19974" s="501"/>
    </row>
    <row r="19975" spans="25:25" hidden="1" x14ac:dyDescent="0.25">
      <c r="Y19975" s="501"/>
    </row>
    <row r="19976" spans="25:25" hidden="1" x14ac:dyDescent="0.25">
      <c r="Y19976" s="501"/>
    </row>
    <row r="19977" spans="25:25" hidden="1" x14ac:dyDescent="0.25">
      <c r="Y19977" s="501"/>
    </row>
    <row r="19978" spans="25:25" hidden="1" x14ac:dyDescent="0.25">
      <c r="Y19978" s="501"/>
    </row>
    <row r="19979" spans="25:25" hidden="1" x14ac:dyDescent="0.25">
      <c r="Y19979" s="501"/>
    </row>
    <row r="19980" spans="25:25" hidden="1" x14ac:dyDescent="0.25">
      <c r="Y19980" s="501"/>
    </row>
    <row r="19981" spans="25:25" hidden="1" x14ac:dyDescent="0.25">
      <c r="Y19981" s="501"/>
    </row>
    <row r="19982" spans="25:25" hidden="1" x14ac:dyDescent="0.25">
      <c r="Y19982" s="501"/>
    </row>
    <row r="19983" spans="25:25" hidden="1" x14ac:dyDescent="0.25">
      <c r="Y19983" s="501"/>
    </row>
    <row r="19984" spans="25:25" hidden="1" x14ac:dyDescent="0.25">
      <c r="Y19984" s="501"/>
    </row>
    <row r="19985" spans="25:25" hidden="1" x14ac:dyDescent="0.25">
      <c r="Y19985" s="501"/>
    </row>
    <row r="19986" spans="25:25" hidden="1" x14ac:dyDescent="0.25">
      <c r="Y19986" s="501"/>
    </row>
    <row r="19987" spans="25:25" hidden="1" x14ac:dyDescent="0.25">
      <c r="Y19987" s="501"/>
    </row>
    <row r="19988" spans="25:25" hidden="1" x14ac:dyDescent="0.25">
      <c r="Y19988" s="501"/>
    </row>
    <row r="19989" spans="25:25" hidden="1" x14ac:dyDescent="0.25">
      <c r="Y19989" s="501"/>
    </row>
    <row r="19990" spans="25:25" hidden="1" x14ac:dyDescent="0.25">
      <c r="Y19990" s="501"/>
    </row>
    <row r="19991" spans="25:25" hidden="1" x14ac:dyDescent="0.25">
      <c r="Y19991" s="501"/>
    </row>
    <row r="19992" spans="25:25" hidden="1" x14ac:dyDescent="0.25">
      <c r="Y19992" s="501"/>
    </row>
    <row r="19993" spans="25:25" hidden="1" x14ac:dyDescent="0.25">
      <c r="Y19993" s="501"/>
    </row>
    <row r="19994" spans="25:25" hidden="1" x14ac:dyDescent="0.25">
      <c r="Y19994" s="501"/>
    </row>
    <row r="19995" spans="25:25" hidden="1" x14ac:dyDescent="0.25">
      <c r="Y19995" s="501"/>
    </row>
    <row r="19996" spans="25:25" hidden="1" x14ac:dyDescent="0.25">
      <c r="Y19996" s="501"/>
    </row>
    <row r="19997" spans="25:25" hidden="1" x14ac:dyDescent="0.25">
      <c r="Y19997" s="501"/>
    </row>
    <row r="19998" spans="25:25" hidden="1" x14ac:dyDescent="0.25">
      <c r="Y19998" s="501"/>
    </row>
    <row r="19999" spans="25:25" hidden="1" x14ac:dyDescent="0.25">
      <c r="Y19999" s="501"/>
    </row>
    <row r="20000" spans="25:25" hidden="1" x14ac:dyDescent="0.25">
      <c r="Y20000" s="501"/>
    </row>
    <row r="20001" spans="25:25" hidden="1" x14ac:dyDescent="0.25">
      <c r="Y20001" s="501"/>
    </row>
    <row r="20002" spans="25:25" hidden="1" x14ac:dyDescent="0.25">
      <c r="Y20002" s="501"/>
    </row>
    <row r="20003" spans="25:25" hidden="1" x14ac:dyDescent="0.25">
      <c r="Y20003" s="501"/>
    </row>
    <row r="20004" spans="25:25" hidden="1" x14ac:dyDescent="0.25">
      <c r="Y20004" s="501"/>
    </row>
    <row r="20005" spans="25:25" hidden="1" x14ac:dyDescent="0.25">
      <c r="Y20005" s="501"/>
    </row>
    <row r="20006" spans="25:25" hidden="1" x14ac:dyDescent="0.25">
      <c r="Y20006" s="501"/>
    </row>
    <row r="20007" spans="25:25" hidden="1" x14ac:dyDescent="0.25">
      <c r="Y20007" s="501"/>
    </row>
    <row r="20008" spans="25:25" hidden="1" x14ac:dyDescent="0.25">
      <c r="Y20008" s="501"/>
    </row>
    <row r="20009" spans="25:25" hidden="1" x14ac:dyDescent="0.25">
      <c r="Y20009" s="501"/>
    </row>
    <row r="20010" spans="25:25" hidden="1" x14ac:dyDescent="0.25">
      <c r="Y20010" s="501"/>
    </row>
    <row r="20011" spans="25:25" hidden="1" x14ac:dyDescent="0.25">
      <c r="Y20011" s="501"/>
    </row>
    <row r="20012" spans="25:25" hidden="1" x14ac:dyDescent="0.25">
      <c r="Y20012" s="501"/>
    </row>
    <row r="20013" spans="25:25" hidden="1" x14ac:dyDescent="0.25">
      <c r="Y20013" s="501"/>
    </row>
    <row r="20014" spans="25:25" hidden="1" x14ac:dyDescent="0.25">
      <c r="Y20014" s="501"/>
    </row>
    <row r="20015" spans="25:25" hidden="1" x14ac:dyDescent="0.25">
      <c r="Y20015" s="501"/>
    </row>
    <row r="20016" spans="25:25" hidden="1" x14ac:dyDescent="0.25">
      <c r="Y20016" s="501"/>
    </row>
    <row r="20017" spans="25:25" hidden="1" x14ac:dyDescent="0.25">
      <c r="Y20017" s="501"/>
    </row>
    <row r="20018" spans="25:25" hidden="1" x14ac:dyDescent="0.25">
      <c r="Y20018" s="501"/>
    </row>
    <row r="20019" spans="25:25" hidden="1" x14ac:dyDescent="0.25">
      <c r="Y20019" s="501"/>
    </row>
    <row r="20020" spans="25:25" hidden="1" x14ac:dyDescent="0.25">
      <c r="Y20020" s="501"/>
    </row>
    <row r="20021" spans="25:25" hidden="1" x14ac:dyDescent="0.25">
      <c r="Y20021" s="501"/>
    </row>
    <row r="20022" spans="25:25" hidden="1" x14ac:dyDescent="0.25">
      <c r="Y20022" s="501"/>
    </row>
    <row r="20023" spans="25:25" hidden="1" x14ac:dyDescent="0.25">
      <c r="Y20023" s="501"/>
    </row>
    <row r="20024" spans="25:25" hidden="1" x14ac:dyDescent="0.25">
      <c r="Y20024" s="501"/>
    </row>
    <row r="20025" spans="25:25" hidden="1" x14ac:dyDescent="0.25">
      <c r="Y20025" s="501"/>
    </row>
    <row r="20026" spans="25:25" hidden="1" x14ac:dyDescent="0.25">
      <c r="Y20026" s="501"/>
    </row>
    <row r="20027" spans="25:25" hidden="1" x14ac:dyDescent="0.25">
      <c r="Y20027" s="501"/>
    </row>
    <row r="20028" spans="25:25" hidden="1" x14ac:dyDescent="0.25">
      <c r="Y20028" s="501"/>
    </row>
    <row r="20029" spans="25:25" hidden="1" x14ac:dyDescent="0.25">
      <c r="Y20029" s="501"/>
    </row>
    <row r="20030" spans="25:25" hidden="1" x14ac:dyDescent="0.25">
      <c r="Y20030" s="501"/>
    </row>
    <row r="20031" spans="25:25" hidden="1" x14ac:dyDescent="0.25">
      <c r="Y20031" s="501"/>
    </row>
    <row r="20032" spans="25:25" hidden="1" x14ac:dyDescent="0.25">
      <c r="Y20032" s="501"/>
    </row>
    <row r="20033" spans="25:25" hidden="1" x14ac:dyDescent="0.25">
      <c r="Y20033" s="501"/>
    </row>
    <row r="20034" spans="25:25" hidden="1" x14ac:dyDescent="0.25">
      <c r="Y20034" s="501"/>
    </row>
    <row r="20035" spans="25:25" hidden="1" x14ac:dyDescent="0.25">
      <c r="Y20035" s="501"/>
    </row>
    <row r="20036" spans="25:25" hidden="1" x14ac:dyDescent="0.25">
      <c r="Y20036" s="501"/>
    </row>
    <row r="20037" spans="25:25" hidden="1" x14ac:dyDescent="0.25">
      <c r="Y20037" s="501"/>
    </row>
    <row r="20038" spans="25:25" hidden="1" x14ac:dyDescent="0.25">
      <c r="Y20038" s="501"/>
    </row>
    <row r="20039" spans="25:25" hidden="1" x14ac:dyDescent="0.25">
      <c r="Y20039" s="501"/>
    </row>
    <row r="20040" spans="25:25" hidden="1" x14ac:dyDescent="0.25">
      <c r="Y20040" s="501"/>
    </row>
    <row r="20041" spans="25:25" hidden="1" x14ac:dyDescent="0.25">
      <c r="Y20041" s="501"/>
    </row>
    <row r="20042" spans="25:25" hidden="1" x14ac:dyDescent="0.25">
      <c r="Y20042" s="501"/>
    </row>
    <row r="20043" spans="25:25" hidden="1" x14ac:dyDescent="0.25">
      <c r="Y20043" s="501"/>
    </row>
    <row r="20044" spans="25:25" hidden="1" x14ac:dyDescent="0.25">
      <c r="Y20044" s="501"/>
    </row>
    <row r="20045" spans="25:25" hidden="1" x14ac:dyDescent="0.25">
      <c r="Y20045" s="501"/>
    </row>
    <row r="20046" spans="25:25" hidden="1" x14ac:dyDescent="0.25">
      <c r="Y20046" s="501"/>
    </row>
    <row r="20047" spans="25:25" hidden="1" x14ac:dyDescent="0.25">
      <c r="Y20047" s="501"/>
    </row>
    <row r="20048" spans="25:25" hidden="1" x14ac:dyDescent="0.25">
      <c r="Y20048" s="501"/>
    </row>
    <row r="20049" spans="25:25" hidden="1" x14ac:dyDescent="0.25">
      <c r="Y20049" s="501"/>
    </row>
    <row r="20050" spans="25:25" hidden="1" x14ac:dyDescent="0.25">
      <c r="Y20050" s="501"/>
    </row>
    <row r="20051" spans="25:25" hidden="1" x14ac:dyDescent="0.25">
      <c r="Y20051" s="501"/>
    </row>
    <row r="20052" spans="25:25" hidden="1" x14ac:dyDescent="0.25">
      <c r="Y20052" s="501"/>
    </row>
    <row r="20053" spans="25:25" hidden="1" x14ac:dyDescent="0.25">
      <c r="Y20053" s="501"/>
    </row>
    <row r="20054" spans="25:25" hidden="1" x14ac:dyDescent="0.25">
      <c r="Y20054" s="501"/>
    </row>
    <row r="20055" spans="25:25" hidden="1" x14ac:dyDescent="0.25">
      <c r="Y20055" s="501"/>
    </row>
    <row r="20056" spans="25:25" hidden="1" x14ac:dyDescent="0.25">
      <c r="Y20056" s="501"/>
    </row>
    <row r="20057" spans="25:25" hidden="1" x14ac:dyDescent="0.25">
      <c r="Y20057" s="501"/>
    </row>
    <row r="20058" spans="25:25" hidden="1" x14ac:dyDescent="0.25">
      <c r="Y20058" s="501"/>
    </row>
    <row r="20059" spans="25:25" hidden="1" x14ac:dyDescent="0.25">
      <c r="Y20059" s="501"/>
    </row>
    <row r="20060" spans="25:25" hidden="1" x14ac:dyDescent="0.25">
      <c r="Y20060" s="501"/>
    </row>
    <row r="20061" spans="25:25" hidden="1" x14ac:dyDescent="0.25">
      <c r="Y20061" s="501"/>
    </row>
    <row r="20062" spans="25:25" hidden="1" x14ac:dyDescent="0.25">
      <c r="Y20062" s="501"/>
    </row>
    <row r="20063" spans="25:25" hidden="1" x14ac:dyDescent="0.25">
      <c r="Y20063" s="501"/>
    </row>
    <row r="20064" spans="25:25" hidden="1" x14ac:dyDescent="0.25">
      <c r="Y20064" s="501"/>
    </row>
    <row r="20065" spans="25:25" hidden="1" x14ac:dyDescent="0.25">
      <c r="Y20065" s="501"/>
    </row>
    <row r="20066" spans="25:25" hidden="1" x14ac:dyDescent="0.25">
      <c r="Y20066" s="501"/>
    </row>
    <row r="20067" spans="25:25" hidden="1" x14ac:dyDescent="0.25">
      <c r="Y20067" s="501"/>
    </row>
    <row r="20068" spans="25:25" hidden="1" x14ac:dyDescent="0.25">
      <c r="Y20068" s="501"/>
    </row>
    <row r="20069" spans="25:25" hidden="1" x14ac:dyDescent="0.25">
      <c r="Y20069" s="501"/>
    </row>
    <row r="20070" spans="25:25" hidden="1" x14ac:dyDescent="0.25">
      <c r="Y20070" s="501"/>
    </row>
    <row r="20071" spans="25:25" hidden="1" x14ac:dyDescent="0.25">
      <c r="Y20071" s="501"/>
    </row>
    <row r="20072" spans="25:25" hidden="1" x14ac:dyDescent="0.25">
      <c r="Y20072" s="501"/>
    </row>
    <row r="20073" spans="25:25" hidden="1" x14ac:dyDescent="0.25">
      <c r="Y20073" s="501"/>
    </row>
    <row r="20074" spans="25:25" hidden="1" x14ac:dyDescent="0.25">
      <c r="Y20074" s="501"/>
    </row>
    <row r="20075" spans="25:25" hidden="1" x14ac:dyDescent="0.25">
      <c r="Y20075" s="501"/>
    </row>
    <row r="20076" spans="25:25" hidden="1" x14ac:dyDescent="0.25">
      <c r="Y20076" s="501"/>
    </row>
    <row r="20077" spans="25:25" hidden="1" x14ac:dyDescent="0.25">
      <c r="Y20077" s="501"/>
    </row>
    <row r="20078" spans="25:25" hidden="1" x14ac:dyDescent="0.25">
      <c r="Y20078" s="501"/>
    </row>
    <row r="20079" spans="25:25" hidden="1" x14ac:dyDescent="0.25">
      <c r="Y20079" s="501"/>
    </row>
    <row r="20080" spans="25:25" hidden="1" x14ac:dyDescent="0.25">
      <c r="Y20080" s="501"/>
    </row>
    <row r="20081" spans="25:25" hidden="1" x14ac:dyDescent="0.25">
      <c r="Y20081" s="501"/>
    </row>
    <row r="20082" spans="25:25" hidden="1" x14ac:dyDescent="0.25">
      <c r="Y20082" s="501"/>
    </row>
    <row r="20083" spans="25:25" hidden="1" x14ac:dyDescent="0.25">
      <c r="Y20083" s="501"/>
    </row>
    <row r="20084" spans="25:25" hidden="1" x14ac:dyDescent="0.25">
      <c r="Y20084" s="501"/>
    </row>
    <row r="20085" spans="25:25" hidden="1" x14ac:dyDescent="0.25">
      <c r="Y20085" s="501"/>
    </row>
    <row r="20086" spans="25:25" hidden="1" x14ac:dyDescent="0.25">
      <c r="Y20086" s="501"/>
    </row>
    <row r="20087" spans="25:25" hidden="1" x14ac:dyDescent="0.25">
      <c r="Y20087" s="501"/>
    </row>
    <row r="20088" spans="25:25" hidden="1" x14ac:dyDescent="0.25">
      <c r="Y20088" s="501"/>
    </row>
    <row r="20089" spans="25:25" hidden="1" x14ac:dyDescent="0.25">
      <c r="Y20089" s="501"/>
    </row>
    <row r="20090" spans="25:25" hidden="1" x14ac:dyDescent="0.25">
      <c r="Y20090" s="501"/>
    </row>
    <row r="20091" spans="25:25" hidden="1" x14ac:dyDescent="0.25">
      <c r="Y20091" s="501"/>
    </row>
    <row r="20092" spans="25:25" hidden="1" x14ac:dyDescent="0.25">
      <c r="Y20092" s="501"/>
    </row>
    <row r="20093" spans="25:25" hidden="1" x14ac:dyDescent="0.25">
      <c r="Y20093" s="501"/>
    </row>
    <row r="20094" spans="25:25" hidden="1" x14ac:dyDescent="0.25">
      <c r="Y20094" s="501"/>
    </row>
    <row r="20095" spans="25:25" hidden="1" x14ac:dyDescent="0.25">
      <c r="Y20095" s="501"/>
    </row>
    <row r="20096" spans="25:25" hidden="1" x14ac:dyDescent="0.25">
      <c r="Y20096" s="501"/>
    </row>
    <row r="20097" spans="25:25" hidden="1" x14ac:dyDescent="0.25">
      <c r="Y20097" s="501"/>
    </row>
    <row r="20098" spans="25:25" hidden="1" x14ac:dyDescent="0.25">
      <c r="Y20098" s="501"/>
    </row>
    <row r="20099" spans="25:25" hidden="1" x14ac:dyDescent="0.25">
      <c r="Y20099" s="501"/>
    </row>
    <row r="20100" spans="25:25" hidden="1" x14ac:dyDescent="0.25">
      <c r="Y20100" s="501"/>
    </row>
    <row r="20101" spans="25:25" hidden="1" x14ac:dyDescent="0.25">
      <c r="Y20101" s="501"/>
    </row>
    <row r="20102" spans="25:25" hidden="1" x14ac:dyDescent="0.25">
      <c r="Y20102" s="501"/>
    </row>
    <row r="20103" spans="25:25" hidden="1" x14ac:dyDescent="0.25">
      <c r="Y20103" s="501"/>
    </row>
    <row r="20104" spans="25:25" hidden="1" x14ac:dyDescent="0.25">
      <c r="Y20104" s="501"/>
    </row>
    <row r="20105" spans="25:25" hidden="1" x14ac:dyDescent="0.25">
      <c r="Y20105" s="501"/>
    </row>
    <row r="20106" spans="25:25" hidden="1" x14ac:dyDescent="0.25">
      <c r="Y20106" s="501"/>
    </row>
    <row r="20107" spans="25:25" hidden="1" x14ac:dyDescent="0.25">
      <c r="Y20107" s="501"/>
    </row>
    <row r="20108" spans="25:25" hidden="1" x14ac:dyDescent="0.25">
      <c r="Y20108" s="501"/>
    </row>
    <row r="20109" spans="25:25" hidden="1" x14ac:dyDescent="0.25">
      <c r="Y20109" s="501"/>
    </row>
    <row r="20110" spans="25:25" hidden="1" x14ac:dyDescent="0.25">
      <c r="Y20110" s="501"/>
    </row>
    <row r="20111" spans="25:25" hidden="1" x14ac:dyDescent="0.25">
      <c r="Y20111" s="501"/>
    </row>
    <row r="20112" spans="25:25" hidden="1" x14ac:dyDescent="0.25">
      <c r="Y20112" s="501"/>
    </row>
    <row r="20113" spans="25:25" hidden="1" x14ac:dyDescent="0.25">
      <c r="Y20113" s="501"/>
    </row>
    <row r="20114" spans="25:25" hidden="1" x14ac:dyDescent="0.25">
      <c r="Y20114" s="501"/>
    </row>
    <row r="20115" spans="25:25" hidden="1" x14ac:dyDescent="0.25">
      <c r="Y20115" s="501"/>
    </row>
    <row r="20116" spans="25:25" hidden="1" x14ac:dyDescent="0.25">
      <c r="Y20116" s="501"/>
    </row>
    <row r="20117" spans="25:25" hidden="1" x14ac:dyDescent="0.25">
      <c r="Y20117" s="501"/>
    </row>
    <row r="20118" spans="25:25" hidden="1" x14ac:dyDescent="0.25">
      <c r="Y20118" s="501"/>
    </row>
    <row r="20119" spans="25:25" hidden="1" x14ac:dyDescent="0.25">
      <c r="Y20119" s="501"/>
    </row>
    <row r="20120" spans="25:25" hidden="1" x14ac:dyDescent="0.25">
      <c r="Y20120" s="501"/>
    </row>
    <row r="20121" spans="25:25" hidden="1" x14ac:dyDescent="0.25">
      <c r="Y20121" s="501"/>
    </row>
    <row r="20122" spans="25:25" hidden="1" x14ac:dyDescent="0.25">
      <c r="Y20122" s="501"/>
    </row>
    <row r="20123" spans="25:25" hidden="1" x14ac:dyDescent="0.25">
      <c r="Y20123" s="501"/>
    </row>
    <row r="20124" spans="25:25" hidden="1" x14ac:dyDescent="0.25">
      <c r="Y20124" s="501"/>
    </row>
    <row r="20125" spans="25:25" hidden="1" x14ac:dyDescent="0.25">
      <c r="Y20125" s="501"/>
    </row>
    <row r="20126" spans="25:25" hidden="1" x14ac:dyDescent="0.25">
      <c r="Y20126" s="501"/>
    </row>
    <row r="20127" spans="25:25" hidden="1" x14ac:dyDescent="0.25">
      <c r="Y20127" s="501"/>
    </row>
    <row r="20128" spans="25:25" hidden="1" x14ac:dyDescent="0.25">
      <c r="Y20128" s="501"/>
    </row>
    <row r="20129" spans="25:25" hidden="1" x14ac:dyDescent="0.25">
      <c r="Y20129" s="501"/>
    </row>
    <row r="20130" spans="25:25" hidden="1" x14ac:dyDescent="0.25">
      <c r="Y20130" s="501"/>
    </row>
    <row r="20131" spans="25:25" hidden="1" x14ac:dyDescent="0.25">
      <c r="Y20131" s="501"/>
    </row>
    <row r="20132" spans="25:25" hidden="1" x14ac:dyDescent="0.25">
      <c r="Y20132" s="501"/>
    </row>
    <row r="20133" spans="25:25" hidden="1" x14ac:dyDescent="0.25">
      <c r="Y20133" s="501"/>
    </row>
    <row r="20134" spans="25:25" hidden="1" x14ac:dyDescent="0.25">
      <c r="Y20134" s="501"/>
    </row>
    <row r="20135" spans="25:25" hidden="1" x14ac:dyDescent="0.25">
      <c r="Y20135" s="501"/>
    </row>
    <row r="20136" spans="25:25" hidden="1" x14ac:dyDescent="0.25">
      <c r="Y20136" s="501"/>
    </row>
    <row r="20137" spans="25:25" hidden="1" x14ac:dyDescent="0.25">
      <c r="Y20137" s="501"/>
    </row>
    <row r="20138" spans="25:25" hidden="1" x14ac:dyDescent="0.25">
      <c r="Y20138" s="501"/>
    </row>
    <row r="20139" spans="25:25" hidden="1" x14ac:dyDescent="0.25">
      <c r="Y20139" s="501"/>
    </row>
    <row r="20140" spans="25:25" hidden="1" x14ac:dyDescent="0.25">
      <c r="Y20140" s="501"/>
    </row>
    <row r="20141" spans="25:25" hidden="1" x14ac:dyDescent="0.25">
      <c r="Y20141" s="501"/>
    </row>
    <row r="20142" spans="25:25" hidden="1" x14ac:dyDescent="0.25">
      <c r="Y20142" s="501"/>
    </row>
    <row r="20143" spans="25:25" hidden="1" x14ac:dyDescent="0.25">
      <c r="Y20143" s="501"/>
    </row>
    <row r="20144" spans="25:25" hidden="1" x14ac:dyDescent="0.25">
      <c r="Y20144" s="501"/>
    </row>
    <row r="20145" spans="25:25" hidden="1" x14ac:dyDescent="0.25">
      <c r="Y20145" s="501"/>
    </row>
    <row r="20146" spans="25:25" hidden="1" x14ac:dyDescent="0.25">
      <c r="Y20146" s="501"/>
    </row>
    <row r="20147" spans="25:25" hidden="1" x14ac:dyDescent="0.25">
      <c r="Y20147" s="501"/>
    </row>
    <row r="20148" spans="25:25" hidden="1" x14ac:dyDescent="0.25">
      <c r="Y20148" s="501"/>
    </row>
    <row r="20149" spans="25:25" hidden="1" x14ac:dyDescent="0.25">
      <c r="Y20149" s="501"/>
    </row>
    <row r="20150" spans="25:25" hidden="1" x14ac:dyDescent="0.25">
      <c r="Y20150" s="501"/>
    </row>
    <row r="20151" spans="25:25" hidden="1" x14ac:dyDescent="0.25">
      <c r="Y20151" s="501"/>
    </row>
    <row r="20152" spans="25:25" hidden="1" x14ac:dyDescent="0.25">
      <c r="Y20152" s="501"/>
    </row>
    <row r="20153" spans="25:25" hidden="1" x14ac:dyDescent="0.25">
      <c r="Y20153" s="501"/>
    </row>
    <row r="20154" spans="25:25" hidden="1" x14ac:dyDescent="0.25">
      <c r="Y20154" s="501"/>
    </row>
    <row r="20155" spans="25:25" hidden="1" x14ac:dyDescent="0.25">
      <c r="Y20155" s="501"/>
    </row>
    <row r="20156" spans="25:25" hidden="1" x14ac:dyDescent="0.25">
      <c r="Y20156" s="501"/>
    </row>
    <row r="20157" spans="25:25" hidden="1" x14ac:dyDescent="0.25">
      <c r="Y20157" s="501"/>
    </row>
    <row r="20158" spans="25:25" hidden="1" x14ac:dyDescent="0.25">
      <c r="Y20158" s="501"/>
    </row>
    <row r="20159" spans="25:25" hidden="1" x14ac:dyDescent="0.25">
      <c r="Y20159" s="501"/>
    </row>
    <row r="20160" spans="25:25" hidden="1" x14ac:dyDescent="0.25">
      <c r="Y20160" s="501"/>
    </row>
    <row r="20161" spans="25:25" hidden="1" x14ac:dyDescent="0.25">
      <c r="Y20161" s="501"/>
    </row>
    <row r="20162" spans="25:25" hidden="1" x14ac:dyDescent="0.25">
      <c r="Y20162" s="501"/>
    </row>
    <row r="20163" spans="25:25" hidden="1" x14ac:dyDescent="0.25">
      <c r="Y20163" s="501"/>
    </row>
    <row r="20164" spans="25:25" hidden="1" x14ac:dyDescent="0.25">
      <c r="Y20164" s="501"/>
    </row>
    <row r="20165" spans="25:25" hidden="1" x14ac:dyDescent="0.25">
      <c r="Y20165" s="501"/>
    </row>
    <row r="20166" spans="25:25" hidden="1" x14ac:dyDescent="0.25">
      <c r="Y20166" s="501"/>
    </row>
    <row r="20167" spans="25:25" hidden="1" x14ac:dyDescent="0.25">
      <c r="Y20167" s="501"/>
    </row>
    <row r="20168" spans="25:25" hidden="1" x14ac:dyDescent="0.25">
      <c r="Y20168" s="501"/>
    </row>
    <row r="20169" spans="25:25" hidden="1" x14ac:dyDescent="0.25">
      <c r="Y20169" s="501"/>
    </row>
    <row r="20170" spans="25:25" hidden="1" x14ac:dyDescent="0.25">
      <c r="Y20170" s="501"/>
    </row>
    <row r="20171" spans="25:25" hidden="1" x14ac:dyDescent="0.25">
      <c r="Y20171" s="501"/>
    </row>
    <row r="20172" spans="25:25" hidden="1" x14ac:dyDescent="0.25">
      <c r="Y20172" s="501"/>
    </row>
    <row r="20173" spans="25:25" hidden="1" x14ac:dyDescent="0.25">
      <c r="Y20173" s="501"/>
    </row>
    <row r="20174" spans="25:25" hidden="1" x14ac:dyDescent="0.25">
      <c r="Y20174" s="501"/>
    </row>
    <row r="20175" spans="25:25" hidden="1" x14ac:dyDescent="0.25">
      <c r="Y20175" s="501"/>
    </row>
    <row r="20176" spans="25:25" hidden="1" x14ac:dyDescent="0.25">
      <c r="Y20176" s="501"/>
    </row>
    <row r="20177" spans="25:25" hidden="1" x14ac:dyDescent="0.25">
      <c r="Y20177" s="501"/>
    </row>
    <row r="20178" spans="25:25" hidden="1" x14ac:dyDescent="0.25">
      <c r="Y20178" s="501"/>
    </row>
    <row r="20179" spans="25:25" hidden="1" x14ac:dyDescent="0.25">
      <c r="Y20179" s="501"/>
    </row>
    <row r="20180" spans="25:25" hidden="1" x14ac:dyDescent="0.25">
      <c r="Y20180" s="501"/>
    </row>
    <row r="20181" spans="25:25" hidden="1" x14ac:dyDescent="0.25">
      <c r="Y20181" s="501"/>
    </row>
    <row r="20182" spans="25:25" hidden="1" x14ac:dyDescent="0.25">
      <c r="Y20182" s="501"/>
    </row>
    <row r="20183" spans="25:25" hidden="1" x14ac:dyDescent="0.25">
      <c r="Y20183" s="501"/>
    </row>
    <row r="20184" spans="25:25" hidden="1" x14ac:dyDescent="0.25">
      <c r="Y20184" s="501"/>
    </row>
    <row r="20185" spans="25:25" hidden="1" x14ac:dyDescent="0.25">
      <c r="Y20185" s="501"/>
    </row>
    <row r="20186" spans="25:25" hidden="1" x14ac:dyDescent="0.25">
      <c r="Y20186" s="501"/>
    </row>
    <row r="20187" spans="25:25" hidden="1" x14ac:dyDescent="0.25">
      <c r="Y20187" s="501"/>
    </row>
    <row r="20188" spans="25:25" hidden="1" x14ac:dyDescent="0.25">
      <c r="Y20188" s="501"/>
    </row>
    <row r="20189" spans="25:25" hidden="1" x14ac:dyDescent="0.25">
      <c r="Y20189" s="501"/>
    </row>
    <row r="20190" spans="25:25" hidden="1" x14ac:dyDescent="0.25">
      <c r="Y20190" s="501"/>
    </row>
    <row r="20191" spans="25:25" hidden="1" x14ac:dyDescent="0.25">
      <c r="Y20191" s="501"/>
    </row>
    <row r="20192" spans="25:25" hidden="1" x14ac:dyDescent="0.25">
      <c r="Y20192" s="501"/>
    </row>
    <row r="20193" spans="25:25" hidden="1" x14ac:dyDescent="0.25">
      <c r="Y20193" s="501"/>
    </row>
    <row r="20194" spans="25:25" hidden="1" x14ac:dyDescent="0.25">
      <c r="Y20194" s="501"/>
    </row>
    <row r="20195" spans="25:25" hidden="1" x14ac:dyDescent="0.25">
      <c r="Y20195" s="501"/>
    </row>
    <row r="20196" spans="25:25" hidden="1" x14ac:dyDescent="0.25">
      <c r="Y20196" s="501"/>
    </row>
    <row r="20197" spans="25:25" hidden="1" x14ac:dyDescent="0.25">
      <c r="Y20197" s="501"/>
    </row>
    <row r="20198" spans="25:25" hidden="1" x14ac:dyDescent="0.25">
      <c r="Y20198" s="501"/>
    </row>
    <row r="20199" spans="25:25" hidden="1" x14ac:dyDescent="0.25">
      <c r="Y20199" s="501"/>
    </row>
    <row r="20200" spans="25:25" hidden="1" x14ac:dyDescent="0.25">
      <c r="Y20200" s="501"/>
    </row>
    <row r="20201" spans="25:25" hidden="1" x14ac:dyDescent="0.25">
      <c r="Y20201" s="501"/>
    </row>
    <row r="20202" spans="25:25" hidden="1" x14ac:dyDescent="0.25">
      <c r="Y20202" s="501"/>
    </row>
    <row r="20203" spans="25:25" hidden="1" x14ac:dyDescent="0.25">
      <c r="Y20203" s="501"/>
    </row>
    <row r="20204" spans="25:25" hidden="1" x14ac:dyDescent="0.25">
      <c r="Y20204" s="501"/>
    </row>
    <row r="20205" spans="25:25" hidden="1" x14ac:dyDescent="0.25">
      <c r="Y20205" s="501"/>
    </row>
    <row r="20206" spans="25:25" hidden="1" x14ac:dyDescent="0.25">
      <c r="Y20206" s="501"/>
    </row>
    <row r="20207" spans="25:25" hidden="1" x14ac:dyDescent="0.25">
      <c r="Y20207" s="501"/>
    </row>
    <row r="20208" spans="25:25" hidden="1" x14ac:dyDescent="0.25">
      <c r="Y20208" s="501"/>
    </row>
    <row r="20209" spans="25:25" hidden="1" x14ac:dyDescent="0.25">
      <c r="Y20209" s="501"/>
    </row>
    <row r="20210" spans="25:25" hidden="1" x14ac:dyDescent="0.25">
      <c r="Y20210" s="501"/>
    </row>
    <row r="20211" spans="25:25" hidden="1" x14ac:dyDescent="0.25">
      <c r="Y20211" s="501"/>
    </row>
    <row r="20212" spans="25:25" hidden="1" x14ac:dyDescent="0.25">
      <c r="Y20212" s="501"/>
    </row>
    <row r="20213" spans="25:25" hidden="1" x14ac:dyDescent="0.25">
      <c r="Y20213" s="501"/>
    </row>
    <row r="20214" spans="25:25" hidden="1" x14ac:dyDescent="0.25">
      <c r="Y20214" s="501"/>
    </row>
    <row r="20215" spans="25:25" hidden="1" x14ac:dyDescent="0.25">
      <c r="Y20215" s="501"/>
    </row>
    <row r="20216" spans="25:25" hidden="1" x14ac:dyDescent="0.25">
      <c r="Y20216" s="501"/>
    </row>
    <row r="20217" spans="25:25" hidden="1" x14ac:dyDescent="0.25">
      <c r="Y20217" s="501"/>
    </row>
    <row r="20218" spans="25:25" hidden="1" x14ac:dyDescent="0.25">
      <c r="Y20218" s="501"/>
    </row>
    <row r="20219" spans="25:25" hidden="1" x14ac:dyDescent="0.25">
      <c r="Y20219" s="501"/>
    </row>
    <row r="20220" spans="25:25" hidden="1" x14ac:dyDescent="0.25">
      <c r="Y20220" s="501"/>
    </row>
    <row r="20221" spans="25:25" hidden="1" x14ac:dyDescent="0.25">
      <c r="Y20221" s="501"/>
    </row>
    <row r="20222" spans="25:25" hidden="1" x14ac:dyDescent="0.25">
      <c r="Y20222" s="501"/>
    </row>
    <row r="20223" spans="25:25" hidden="1" x14ac:dyDescent="0.25">
      <c r="Y20223" s="501"/>
    </row>
    <row r="20224" spans="25:25" hidden="1" x14ac:dyDescent="0.25">
      <c r="Y20224" s="501"/>
    </row>
    <row r="20225" spans="25:25" hidden="1" x14ac:dyDescent="0.25">
      <c r="Y20225" s="501"/>
    </row>
    <row r="20226" spans="25:25" hidden="1" x14ac:dyDescent="0.25">
      <c r="Y20226" s="501"/>
    </row>
    <row r="20227" spans="25:25" hidden="1" x14ac:dyDescent="0.25">
      <c r="Y20227" s="501"/>
    </row>
    <row r="20228" spans="25:25" hidden="1" x14ac:dyDescent="0.25">
      <c r="Y20228" s="501"/>
    </row>
    <row r="20229" spans="25:25" hidden="1" x14ac:dyDescent="0.25">
      <c r="Y20229" s="501"/>
    </row>
    <row r="20230" spans="25:25" hidden="1" x14ac:dyDescent="0.25">
      <c r="Y20230" s="501"/>
    </row>
    <row r="20231" spans="25:25" hidden="1" x14ac:dyDescent="0.25">
      <c r="Y20231" s="501"/>
    </row>
    <row r="20232" spans="25:25" hidden="1" x14ac:dyDescent="0.25">
      <c r="Y20232" s="501"/>
    </row>
    <row r="20233" spans="25:25" hidden="1" x14ac:dyDescent="0.25">
      <c r="Y20233" s="501"/>
    </row>
    <row r="20234" spans="25:25" hidden="1" x14ac:dyDescent="0.25">
      <c r="Y20234" s="501"/>
    </row>
    <row r="20235" spans="25:25" hidden="1" x14ac:dyDescent="0.25">
      <c r="Y20235" s="501"/>
    </row>
    <row r="20236" spans="25:25" hidden="1" x14ac:dyDescent="0.25">
      <c r="Y20236" s="501"/>
    </row>
    <row r="20237" spans="25:25" hidden="1" x14ac:dyDescent="0.25">
      <c r="Y20237" s="501"/>
    </row>
    <row r="20238" spans="25:25" hidden="1" x14ac:dyDescent="0.25">
      <c r="Y20238" s="501"/>
    </row>
    <row r="20239" spans="25:25" hidden="1" x14ac:dyDescent="0.25">
      <c r="Y20239" s="501"/>
    </row>
    <row r="20240" spans="25:25" hidden="1" x14ac:dyDescent="0.25">
      <c r="Y20240" s="501"/>
    </row>
    <row r="20241" spans="25:25" hidden="1" x14ac:dyDescent="0.25">
      <c r="Y20241" s="501"/>
    </row>
    <row r="20242" spans="25:25" hidden="1" x14ac:dyDescent="0.25">
      <c r="Y20242" s="501"/>
    </row>
    <row r="20243" spans="25:25" hidden="1" x14ac:dyDescent="0.25">
      <c r="Y20243" s="501"/>
    </row>
    <row r="20244" spans="25:25" hidden="1" x14ac:dyDescent="0.25">
      <c r="Y20244" s="501"/>
    </row>
    <row r="20245" spans="25:25" hidden="1" x14ac:dyDescent="0.25">
      <c r="Y20245" s="501"/>
    </row>
    <row r="20246" spans="25:25" hidden="1" x14ac:dyDescent="0.25">
      <c r="Y20246" s="501"/>
    </row>
    <row r="20247" spans="25:25" hidden="1" x14ac:dyDescent="0.25">
      <c r="Y20247" s="501"/>
    </row>
    <row r="20248" spans="25:25" hidden="1" x14ac:dyDescent="0.25">
      <c r="Y20248" s="501"/>
    </row>
    <row r="20249" spans="25:25" hidden="1" x14ac:dyDescent="0.25">
      <c r="Y20249" s="501"/>
    </row>
    <row r="20250" spans="25:25" hidden="1" x14ac:dyDescent="0.25">
      <c r="Y20250" s="501"/>
    </row>
    <row r="20251" spans="25:25" hidden="1" x14ac:dyDescent="0.25">
      <c r="Y20251" s="501"/>
    </row>
    <row r="20252" spans="25:25" hidden="1" x14ac:dyDescent="0.25">
      <c r="Y20252" s="501"/>
    </row>
    <row r="20253" spans="25:25" hidden="1" x14ac:dyDescent="0.25">
      <c r="Y20253" s="501"/>
    </row>
    <row r="20254" spans="25:25" hidden="1" x14ac:dyDescent="0.25">
      <c r="Y20254" s="501"/>
    </row>
    <row r="20255" spans="25:25" hidden="1" x14ac:dyDescent="0.25">
      <c r="Y20255" s="501"/>
    </row>
    <row r="20256" spans="25:25" hidden="1" x14ac:dyDescent="0.25">
      <c r="Y20256" s="501"/>
    </row>
    <row r="20257" spans="25:25" hidden="1" x14ac:dyDescent="0.25">
      <c r="Y20257" s="501"/>
    </row>
    <row r="20258" spans="25:25" hidden="1" x14ac:dyDescent="0.25">
      <c r="Y20258" s="501"/>
    </row>
    <row r="20259" spans="25:25" hidden="1" x14ac:dyDescent="0.25">
      <c r="Y20259" s="501"/>
    </row>
    <row r="20260" spans="25:25" hidden="1" x14ac:dyDescent="0.25">
      <c r="Y20260" s="501"/>
    </row>
    <row r="20261" spans="25:25" hidden="1" x14ac:dyDescent="0.25">
      <c r="Y20261" s="501"/>
    </row>
    <row r="20262" spans="25:25" hidden="1" x14ac:dyDescent="0.25">
      <c r="Y20262" s="501"/>
    </row>
    <row r="20263" spans="25:25" hidden="1" x14ac:dyDescent="0.25">
      <c r="Y20263" s="501"/>
    </row>
    <row r="20264" spans="25:25" hidden="1" x14ac:dyDescent="0.25">
      <c r="Y20264" s="501"/>
    </row>
    <row r="20265" spans="25:25" hidden="1" x14ac:dyDescent="0.25">
      <c r="Y20265" s="501"/>
    </row>
    <row r="20266" spans="25:25" hidden="1" x14ac:dyDescent="0.25">
      <c r="Y20266" s="501"/>
    </row>
    <row r="20267" spans="25:25" hidden="1" x14ac:dyDescent="0.25">
      <c r="Y20267" s="501"/>
    </row>
    <row r="20268" spans="25:25" hidden="1" x14ac:dyDescent="0.25">
      <c r="Y20268" s="501"/>
    </row>
    <row r="20269" spans="25:25" hidden="1" x14ac:dyDescent="0.25">
      <c r="Y20269" s="501"/>
    </row>
    <row r="20270" spans="25:25" hidden="1" x14ac:dyDescent="0.25">
      <c r="Y20270" s="501"/>
    </row>
    <row r="20271" spans="25:25" hidden="1" x14ac:dyDescent="0.25">
      <c r="Y20271" s="501"/>
    </row>
    <row r="20272" spans="25:25" hidden="1" x14ac:dyDescent="0.25">
      <c r="Y20272" s="501"/>
    </row>
    <row r="20273" spans="25:25" hidden="1" x14ac:dyDescent="0.25">
      <c r="Y20273" s="501"/>
    </row>
    <row r="20274" spans="25:25" hidden="1" x14ac:dyDescent="0.25">
      <c r="Y20274" s="501"/>
    </row>
    <row r="20275" spans="25:25" hidden="1" x14ac:dyDescent="0.25">
      <c r="Y20275" s="501"/>
    </row>
    <row r="20276" spans="25:25" hidden="1" x14ac:dyDescent="0.25">
      <c r="Y20276" s="501"/>
    </row>
    <row r="20277" spans="25:25" hidden="1" x14ac:dyDescent="0.25">
      <c r="Y20277" s="501"/>
    </row>
    <row r="20278" spans="25:25" hidden="1" x14ac:dyDescent="0.25">
      <c r="Y20278" s="501"/>
    </row>
    <row r="20279" spans="25:25" hidden="1" x14ac:dyDescent="0.25">
      <c r="Y20279" s="501"/>
    </row>
    <row r="20280" spans="25:25" hidden="1" x14ac:dyDescent="0.25">
      <c r="Y20280" s="501"/>
    </row>
    <row r="20281" spans="25:25" hidden="1" x14ac:dyDescent="0.25">
      <c r="Y20281" s="501"/>
    </row>
    <row r="20282" spans="25:25" hidden="1" x14ac:dyDescent="0.25">
      <c r="Y20282" s="501"/>
    </row>
    <row r="20283" spans="25:25" hidden="1" x14ac:dyDescent="0.25">
      <c r="Y20283" s="501"/>
    </row>
    <row r="20284" spans="25:25" hidden="1" x14ac:dyDescent="0.25">
      <c r="Y20284" s="501"/>
    </row>
    <row r="20285" spans="25:25" hidden="1" x14ac:dyDescent="0.25">
      <c r="Y20285" s="501"/>
    </row>
    <row r="20286" spans="25:25" hidden="1" x14ac:dyDescent="0.25">
      <c r="Y20286" s="501"/>
    </row>
    <row r="20287" spans="25:25" hidden="1" x14ac:dyDescent="0.25">
      <c r="Y20287" s="501"/>
    </row>
    <row r="20288" spans="25:25" hidden="1" x14ac:dyDescent="0.25">
      <c r="Y20288" s="501"/>
    </row>
    <row r="20289" spans="25:25" hidden="1" x14ac:dyDescent="0.25">
      <c r="Y20289" s="501"/>
    </row>
    <row r="20290" spans="25:25" hidden="1" x14ac:dyDescent="0.25">
      <c r="Y20290" s="501"/>
    </row>
    <row r="20291" spans="25:25" hidden="1" x14ac:dyDescent="0.25">
      <c r="Y20291" s="501"/>
    </row>
    <row r="20292" spans="25:25" hidden="1" x14ac:dyDescent="0.25">
      <c r="Y20292" s="501"/>
    </row>
    <row r="20293" spans="25:25" hidden="1" x14ac:dyDescent="0.25">
      <c r="Y20293" s="501"/>
    </row>
    <row r="20294" spans="25:25" hidden="1" x14ac:dyDescent="0.25">
      <c r="Y20294" s="501"/>
    </row>
    <row r="20295" spans="25:25" hidden="1" x14ac:dyDescent="0.25">
      <c r="Y20295" s="501"/>
    </row>
    <row r="20296" spans="25:25" hidden="1" x14ac:dyDescent="0.25">
      <c r="Y20296" s="501"/>
    </row>
    <row r="20297" spans="25:25" hidden="1" x14ac:dyDescent="0.25">
      <c r="Y20297" s="501"/>
    </row>
    <row r="20298" spans="25:25" hidden="1" x14ac:dyDescent="0.25">
      <c r="Y20298" s="501"/>
    </row>
    <row r="20299" spans="25:25" hidden="1" x14ac:dyDescent="0.25">
      <c r="Y20299" s="501"/>
    </row>
    <row r="20300" spans="25:25" hidden="1" x14ac:dyDescent="0.25">
      <c r="Y20300" s="501"/>
    </row>
    <row r="20301" spans="25:25" hidden="1" x14ac:dyDescent="0.25">
      <c r="Y20301" s="501"/>
    </row>
    <row r="20302" spans="25:25" hidden="1" x14ac:dyDescent="0.25">
      <c r="Y20302" s="501"/>
    </row>
    <row r="20303" spans="25:25" hidden="1" x14ac:dyDescent="0.25">
      <c r="Y20303" s="501"/>
    </row>
    <row r="20304" spans="25:25" hidden="1" x14ac:dyDescent="0.25">
      <c r="Y20304" s="501"/>
    </row>
    <row r="20305" spans="25:25" hidden="1" x14ac:dyDescent="0.25">
      <c r="Y20305" s="501"/>
    </row>
    <row r="20306" spans="25:25" hidden="1" x14ac:dyDescent="0.25">
      <c r="Y20306" s="501"/>
    </row>
    <row r="20307" spans="25:25" hidden="1" x14ac:dyDescent="0.25">
      <c r="Y20307" s="501"/>
    </row>
    <row r="20308" spans="25:25" hidden="1" x14ac:dyDescent="0.25">
      <c r="Y20308" s="501"/>
    </row>
    <row r="20309" spans="25:25" hidden="1" x14ac:dyDescent="0.25">
      <c r="Y20309" s="501"/>
    </row>
    <row r="20310" spans="25:25" hidden="1" x14ac:dyDescent="0.25">
      <c r="Y20310" s="501"/>
    </row>
    <row r="20311" spans="25:25" hidden="1" x14ac:dyDescent="0.25">
      <c r="Y20311" s="501"/>
    </row>
    <row r="20312" spans="25:25" hidden="1" x14ac:dyDescent="0.25">
      <c r="Y20312" s="501"/>
    </row>
    <row r="20313" spans="25:25" hidden="1" x14ac:dyDescent="0.25">
      <c r="Y20313" s="501"/>
    </row>
    <row r="20314" spans="25:25" hidden="1" x14ac:dyDescent="0.25">
      <c r="Y20314" s="501"/>
    </row>
    <row r="20315" spans="25:25" hidden="1" x14ac:dyDescent="0.25">
      <c r="Y20315" s="501"/>
    </row>
    <row r="20316" spans="25:25" hidden="1" x14ac:dyDescent="0.25">
      <c r="Y20316" s="501"/>
    </row>
    <row r="20317" spans="25:25" hidden="1" x14ac:dyDescent="0.25">
      <c r="Y20317" s="501"/>
    </row>
    <row r="20318" spans="25:25" hidden="1" x14ac:dyDescent="0.25">
      <c r="Y20318" s="501"/>
    </row>
    <row r="20319" spans="25:25" hidden="1" x14ac:dyDescent="0.25">
      <c r="Y20319" s="501"/>
    </row>
    <row r="20320" spans="25:25" hidden="1" x14ac:dyDescent="0.25">
      <c r="Y20320" s="501"/>
    </row>
    <row r="20321" spans="25:25" hidden="1" x14ac:dyDescent="0.25">
      <c r="Y20321" s="501"/>
    </row>
    <row r="20322" spans="25:25" hidden="1" x14ac:dyDescent="0.25">
      <c r="Y20322" s="501"/>
    </row>
    <row r="20323" spans="25:25" hidden="1" x14ac:dyDescent="0.25">
      <c r="Y20323" s="501"/>
    </row>
    <row r="20324" spans="25:25" hidden="1" x14ac:dyDescent="0.25">
      <c r="Y20324" s="501"/>
    </row>
    <row r="20325" spans="25:25" hidden="1" x14ac:dyDescent="0.25">
      <c r="Y20325" s="501"/>
    </row>
    <row r="20326" spans="25:25" hidden="1" x14ac:dyDescent="0.25">
      <c r="Y20326" s="501"/>
    </row>
    <row r="20327" spans="25:25" hidden="1" x14ac:dyDescent="0.25">
      <c r="Y20327" s="501"/>
    </row>
    <row r="20328" spans="25:25" hidden="1" x14ac:dyDescent="0.25">
      <c r="Y20328" s="501"/>
    </row>
    <row r="20329" spans="25:25" hidden="1" x14ac:dyDescent="0.25">
      <c r="Y20329" s="501"/>
    </row>
    <row r="20330" spans="25:25" hidden="1" x14ac:dyDescent="0.25">
      <c r="Y20330" s="501"/>
    </row>
    <row r="20331" spans="25:25" hidden="1" x14ac:dyDescent="0.25">
      <c r="Y20331" s="501"/>
    </row>
    <row r="20332" spans="25:25" hidden="1" x14ac:dyDescent="0.25">
      <c r="Y20332" s="501"/>
    </row>
    <row r="20333" spans="25:25" hidden="1" x14ac:dyDescent="0.25">
      <c r="Y20333" s="501"/>
    </row>
    <row r="20334" spans="25:25" hidden="1" x14ac:dyDescent="0.25">
      <c r="Y20334" s="501"/>
    </row>
    <row r="20335" spans="25:25" hidden="1" x14ac:dyDescent="0.25">
      <c r="Y20335" s="501"/>
    </row>
    <row r="20336" spans="25:25" hidden="1" x14ac:dyDescent="0.25">
      <c r="Y20336" s="501"/>
    </row>
    <row r="20337" spans="25:25" hidden="1" x14ac:dyDescent="0.25">
      <c r="Y20337" s="501"/>
    </row>
    <row r="20338" spans="25:25" hidden="1" x14ac:dyDescent="0.25">
      <c r="Y20338" s="501"/>
    </row>
    <row r="20339" spans="25:25" hidden="1" x14ac:dyDescent="0.25">
      <c r="Y20339" s="501"/>
    </row>
    <row r="20340" spans="25:25" hidden="1" x14ac:dyDescent="0.25">
      <c r="Y20340" s="501"/>
    </row>
    <row r="20341" spans="25:25" hidden="1" x14ac:dyDescent="0.25">
      <c r="Y20341" s="501"/>
    </row>
    <row r="20342" spans="25:25" hidden="1" x14ac:dyDescent="0.25">
      <c r="Y20342" s="501"/>
    </row>
    <row r="20343" spans="25:25" hidden="1" x14ac:dyDescent="0.25">
      <c r="Y20343" s="501"/>
    </row>
    <row r="20344" spans="25:25" hidden="1" x14ac:dyDescent="0.25">
      <c r="Y20344" s="501"/>
    </row>
    <row r="20345" spans="25:25" hidden="1" x14ac:dyDescent="0.25">
      <c r="Y20345" s="501"/>
    </row>
    <row r="20346" spans="25:25" hidden="1" x14ac:dyDescent="0.25">
      <c r="Y20346" s="501"/>
    </row>
    <row r="20347" spans="25:25" hidden="1" x14ac:dyDescent="0.25">
      <c r="Y20347" s="501"/>
    </row>
    <row r="20348" spans="25:25" hidden="1" x14ac:dyDescent="0.25">
      <c r="Y20348" s="501"/>
    </row>
    <row r="20349" spans="25:25" hidden="1" x14ac:dyDescent="0.25">
      <c r="Y20349" s="501"/>
    </row>
    <row r="20350" spans="25:25" hidden="1" x14ac:dyDescent="0.25">
      <c r="Y20350" s="501"/>
    </row>
    <row r="20351" spans="25:25" hidden="1" x14ac:dyDescent="0.25">
      <c r="Y20351" s="501"/>
    </row>
    <row r="20352" spans="25:25" hidden="1" x14ac:dyDescent="0.25">
      <c r="Y20352" s="501"/>
    </row>
    <row r="20353" spans="25:25" hidden="1" x14ac:dyDescent="0.25">
      <c r="Y20353" s="501"/>
    </row>
    <row r="20354" spans="25:25" hidden="1" x14ac:dyDescent="0.25">
      <c r="Y20354" s="501"/>
    </row>
    <row r="20355" spans="25:25" hidden="1" x14ac:dyDescent="0.25">
      <c r="Y20355" s="501"/>
    </row>
    <row r="20356" spans="25:25" hidden="1" x14ac:dyDescent="0.25">
      <c r="Y20356" s="501"/>
    </row>
    <row r="20357" spans="25:25" hidden="1" x14ac:dyDescent="0.25">
      <c r="Y20357" s="501"/>
    </row>
    <row r="20358" spans="25:25" hidden="1" x14ac:dyDescent="0.25">
      <c r="Y20358" s="501"/>
    </row>
    <row r="20359" spans="25:25" hidden="1" x14ac:dyDescent="0.25">
      <c r="Y20359" s="501"/>
    </row>
    <row r="20360" spans="25:25" hidden="1" x14ac:dyDescent="0.25">
      <c r="Y20360" s="501"/>
    </row>
    <row r="20361" spans="25:25" hidden="1" x14ac:dyDescent="0.25">
      <c r="Y20361" s="501"/>
    </row>
    <row r="20362" spans="25:25" hidden="1" x14ac:dyDescent="0.25">
      <c r="Y20362" s="501"/>
    </row>
    <row r="20363" spans="25:25" hidden="1" x14ac:dyDescent="0.25">
      <c r="Y20363" s="501"/>
    </row>
    <row r="20364" spans="25:25" hidden="1" x14ac:dyDescent="0.25">
      <c r="Y20364" s="501"/>
    </row>
    <row r="20365" spans="25:25" hidden="1" x14ac:dyDescent="0.25">
      <c r="Y20365" s="501"/>
    </row>
    <row r="20366" spans="25:25" hidden="1" x14ac:dyDescent="0.25">
      <c r="Y20366" s="501"/>
    </row>
    <row r="20367" spans="25:25" hidden="1" x14ac:dyDescent="0.25">
      <c r="Y20367" s="501"/>
    </row>
    <row r="20368" spans="25:25" hidden="1" x14ac:dyDescent="0.25">
      <c r="Y20368" s="501"/>
    </row>
    <row r="20369" spans="25:25" hidden="1" x14ac:dyDescent="0.25">
      <c r="Y20369" s="501"/>
    </row>
    <row r="20370" spans="25:25" hidden="1" x14ac:dyDescent="0.25">
      <c r="Y20370" s="501"/>
    </row>
    <row r="20371" spans="25:25" hidden="1" x14ac:dyDescent="0.25">
      <c r="Y20371" s="501"/>
    </row>
    <row r="20372" spans="25:25" hidden="1" x14ac:dyDescent="0.25">
      <c r="Y20372" s="501"/>
    </row>
    <row r="20373" spans="25:25" hidden="1" x14ac:dyDescent="0.25">
      <c r="Y20373" s="501"/>
    </row>
    <row r="20374" spans="25:25" hidden="1" x14ac:dyDescent="0.25">
      <c r="Y20374" s="501"/>
    </row>
    <row r="20375" spans="25:25" hidden="1" x14ac:dyDescent="0.25">
      <c r="Y20375" s="501"/>
    </row>
    <row r="20376" spans="25:25" hidden="1" x14ac:dyDescent="0.25">
      <c r="Y20376" s="501"/>
    </row>
    <row r="20377" spans="25:25" hidden="1" x14ac:dyDescent="0.25">
      <c r="Y20377" s="501"/>
    </row>
    <row r="20378" spans="25:25" hidden="1" x14ac:dyDescent="0.25">
      <c r="Y20378" s="501"/>
    </row>
    <row r="20379" spans="25:25" hidden="1" x14ac:dyDescent="0.25">
      <c r="Y20379" s="501"/>
    </row>
    <row r="20380" spans="25:25" hidden="1" x14ac:dyDescent="0.25">
      <c r="Y20380" s="501"/>
    </row>
    <row r="20381" spans="25:25" hidden="1" x14ac:dyDescent="0.25">
      <c r="Y20381" s="501"/>
    </row>
    <row r="20382" spans="25:25" hidden="1" x14ac:dyDescent="0.25">
      <c r="Y20382" s="501"/>
    </row>
    <row r="20383" spans="25:25" hidden="1" x14ac:dyDescent="0.25">
      <c r="Y20383" s="501"/>
    </row>
    <row r="20384" spans="25:25" hidden="1" x14ac:dyDescent="0.25">
      <c r="Y20384" s="501"/>
    </row>
    <row r="20385" spans="25:25" hidden="1" x14ac:dyDescent="0.25">
      <c r="Y20385" s="501"/>
    </row>
    <row r="20386" spans="25:25" hidden="1" x14ac:dyDescent="0.25">
      <c r="Y20386" s="501"/>
    </row>
    <row r="20387" spans="25:25" hidden="1" x14ac:dyDescent="0.25">
      <c r="Y20387" s="501"/>
    </row>
    <row r="20388" spans="25:25" hidden="1" x14ac:dyDescent="0.25">
      <c r="Y20388" s="501"/>
    </row>
    <row r="20389" spans="25:25" hidden="1" x14ac:dyDescent="0.25">
      <c r="Y20389" s="501"/>
    </row>
    <row r="20390" spans="25:25" hidden="1" x14ac:dyDescent="0.25">
      <c r="Y20390" s="501"/>
    </row>
    <row r="20391" spans="25:25" hidden="1" x14ac:dyDescent="0.25">
      <c r="Y20391" s="501"/>
    </row>
    <row r="20392" spans="25:25" hidden="1" x14ac:dyDescent="0.25">
      <c r="Y20392" s="501"/>
    </row>
    <row r="20393" spans="25:25" hidden="1" x14ac:dyDescent="0.25">
      <c r="Y20393" s="501"/>
    </row>
    <row r="20394" spans="25:25" hidden="1" x14ac:dyDescent="0.25">
      <c r="Y20394" s="501"/>
    </row>
    <row r="20395" spans="25:25" hidden="1" x14ac:dyDescent="0.25">
      <c r="Y20395" s="501"/>
    </row>
    <row r="20396" spans="25:25" hidden="1" x14ac:dyDescent="0.25">
      <c r="Y20396" s="501"/>
    </row>
    <row r="20397" spans="25:25" hidden="1" x14ac:dyDescent="0.25">
      <c r="Y20397" s="501"/>
    </row>
    <row r="20398" spans="25:25" hidden="1" x14ac:dyDescent="0.25">
      <c r="Y20398" s="501"/>
    </row>
    <row r="20399" spans="25:25" hidden="1" x14ac:dyDescent="0.25">
      <c r="Y20399" s="501"/>
    </row>
    <row r="20400" spans="25:25" hidden="1" x14ac:dyDescent="0.25">
      <c r="Y20400" s="501"/>
    </row>
    <row r="20401" spans="25:25" hidden="1" x14ac:dyDescent="0.25">
      <c r="Y20401" s="501"/>
    </row>
    <row r="20402" spans="25:25" hidden="1" x14ac:dyDescent="0.25">
      <c r="Y20402" s="501"/>
    </row>
    <row r="20403" spans="25:25" hidden="1" x14ac:dyDescent="0.25">
      <c r="Y20403" s="501"/>
    </row>
    <row r="20404" spans="25:25" hidden="1" x14ac:dyDescent="0.25">
      <c r="Y20404" s="501"/>
    </row>
    <row r="20405" spans="25:25" hidden="1" x14ac:dyDescent="0.25">
      <c r="Y20405" s="501"/>
    </row>
    <row r="20406" spans="25:25" hidden="1" x14ac:dyDescent="0.25">
      <c r="Y20406" s="501"/>
    </row>
    <row r="20407" spans="25:25" hidden="1" x14ac:dyDescent="0.25">
      <c r="Y20407" s="501"/>
    </row>
    <row r="20408" spans="25:25" hidden="1" x14ac:dyDescent="0.25">
      <c r="Y20408" s="501"/>
    </row>
    <row r="20409" spans="25:25" hidden="1" x14ac:dyDescent="0.25">
      <c r="Y20409" s="501"/>
    </row>
    <row r="20410" spans="25:25" hidden="1" x14ac:dyDescent="0.25">
      <c r="Y20410" s="501"/>
    </row>
    <row r="20411" spans="25:25" hidden="1" x14ac:dyDescent="0.25">
      <c r="Y20411" s="501"/>
    </row>
    <row r="20412" spans="25:25" hidden="1" x14ac:dyDescent="0.25">
      <c r="Y20412" s="501"/>
    </row>
    <row r="20413" spans="25:25" hidden="1" x14ac:dyDescent="0.25">
      <c r="Y20413" s="501"/>
    </row>
    <row r="20414" spans="25:25" hidden="1" x14ac:dyDescent="0.25">
      <c r="Y20414" s="501"/>
    </row>
    <row r="20415" spans="25:25" hidden="1" x14ac:dyDescent="0.25">
      <c r="Y20415" s="501"/>
    </row>
    <row r="20416" spans="25:25" hidden="1" x14ac:dyDescent="0.25">
      <c r="Y20416" s="501"/>
    </row>
    <row r="20417" spans="25:25" hidden="1" x14ac:dyDescent="0.25">
      <c r="Y20417" s="501"/>
    </row>
    <row r="20418" spans="25:25" hidden="1" x14ac:dyDescent="0.25">
      <c r="Y20418" s="501"/>
    </row>
    <row r="20419" spans="25:25" hidden="1" x14ac:dyDescent="0.25">
      <c r="Y20419" s="501"/>
    </row>
    <row r="20420" spans="25:25" hidden="1" x14ac:dyDescent="0.25">
      <c r="Y20420" s="501"/>
    </row>
    <row r="20421" spans="25:25" hidden="1" x14ac:dyDescent="0.25">
      <c r="Y20421" s="501"/>
    </row>
    <row r="20422" spans="25:25" hidden="1" x14ac:dyDescent="0.25">
      <c r="Y20422" s="501"/>
    </row>
    <row r="20423" spans="25:25" hidden="1" x14ac:dyDescent="0.25">
      <c r="Y20423" s="501"/>
    </row>
    <row r="20424" spans="25:25" hidden="1" x14ac:dyDescent="0.25">
      <c r="Y20424" s="501"/>
    </row>
    <row r="20425" spans="25:25" hidden="1" x14ac:dyDescent="0.25">
      <c r="Y20425" s="501"/>
    </row>
    <row r="20426" spans="25:25" hidden="1" x14ac:dyDescent="0.25">
      <c r="Y20426" s="501"/>
    </row>
    <row r="20427" spans="25:25" hidden="1" x14ac:dyDescent="0.25">
      <c r="Y20427" s="501"/>
    </row>
    <row r="20428" spans="25:25" hidden="1" x14ac:dyDescent="0.25">
      <c r="Y20428" s="501"/>
    </row>
    <row r="20429" spans="25:25" hidden="1" x14ac:dyDescent="0.25">
      <c r="Y20429" s="501"/>
    </row>
    <row r="20430" spans="25:25" hidden="1" x14ac:dyDescent="0.25">
      <c r="Y20430" s="501"/>
    </row>
    <row r="20431" spans="25:25" hidden="1" x14ac:dyDescent="0.25">
      <c r="Y20431" s="501"/>
    </row>
    <row r="20432" spans="25:25" hidden="1" x14ac:dyDescent="0.25">
      <c r="Y20432" s="501"/>
    </row>
    <row r="20433" spans="25:25" hidden="1" x14ac:dyDescent="0.25">
      <c r="Y20433" s="501"/>
    </row>
    <row r="20434" spans="25:25" hidden="1" x14ac:dyDescent="0.25">
      <c r="Y20434" s="501"/>
    </row>
    <row r="20435" spans="25:25" hidden="1" x14ac:dyDescent="0.25">
      <c r="Y20435" s="501"/>
    </row>
    <row r="20436" spans="25:25" hidden="1" x14ac:dyDescent="0.25">
      <c r="Y20436" s="501"/>
    </row>
    <row r="20437" spans="25:25" hidden="1" x14ac:dyDescent="0.25">
      <c r="Y20437" s="501"/>
    </row>
    <row r="20438" spans="25:25" hidden="1" x14ac:dyDescent="0.25">
      <c r="Y20438" s="501"/>
    </row>
    <row r="20439" spans="25:25" hidden="1" x14ac:dyDescent="0.25">
      <c r="Y20439" s="501"/>
    </row>
    <row r="20440" spans="25:25" hidden="1" x14ac:dyDescent="0.25">
      <c r="Y20440" s="501"/>
    </row>
    <row r="20441" spans="25:25" hidden="1" x14ac:dyDescent="0.25">
      <c r="Y20441" s="501"/>
    </row>
    <row r="20442" spans="25:25" hidden="1" x14ac:dyDescent="0.25">
      <c r="Y20442" s="501"/>
    </row>
    <row r="20443" spans="25:25" hidden="1" x14ac:dyDescent="0.25">
      <c r="Y20443" s="501"/>
    </row>
    <row r="20444" spans="25:25" hidden="1" x14ac:dyDescent="0.25">
      <c r="Y20444" s="501"/>
    </row>
    <row r="20445" spans="25:25" hidden="1" x14ac:dyDescent="0.25">
      <c r="Y20445" s="501"/>
    </row>
    <row r="20446" spans="25:25" hidden="1" x14ac:dyDescent="0.25">
      <c r="Y20446" s="501"/>
    </row>
    <row r="20447" spans="25:25" hidden="1" x14ac:dyDescent="0.25">
      <c r="Y20447" s="501"/>
    </row>
    <row r="20448" spans="25:25" hidden="1" x14ac:dyDescent="0.25">
      <c r="Y20448" s="501"/>
    </row>
    <row r="20449" spans="25:25" hidden="1" x14ac:dyDescent="0.25">
      <c r="Y20449" s="501"/>
    </row>
    <row r="20450" spans="25:25" hidden="1" x14ac:dyDescent="0.25">
      <c r="Y20450" s="501"/>
    </row>
    <row r="20451" spans="25:25" hidden="1" x14ac:dyDescent="0.25">
      <c r="Y20451" s="501"/>
    </row>
    <row r="20452" spans="25:25" hidden="1" x14ac:dyDescent="0.25">
      <c r="Y20452" s="501"/>
    </row>
    <row r="20453" spans="25:25" hidden="1" x14ac:dyDescent="0.25">
      <c r="Y20453" s="501"/>
    </row>
    <row r="20454" spans="25:25" hidden="1" x14ac:dyDescent="0.25">
      <c r="Y20454" s="501"/>
    </row>
    <row r="20455" spans="25:25" hidden="1" x14ac:dyDescent="0.25">
      <c r="Y20455" s="501"/>
    </row>
    <row r="20456" spans="25:25" hidden="1" x14ac:dyDescent="0.25">
      <c r="Y20456" s="501"/>
    </row>
    <row r="20457" spans="25:25" hidden="1" x14ac:dyDescent="0.25">
      <c r="Y20457" s="501"/>
    </row>
    <row r="20458" spans="25:25" hidden="1" x14ac:dyDescent="0.25">
      <c r="Y20458" s="501"/>
    </row>
    <row r="20459" spans="25:25" hidden="1" x14ac:dyDescent="0.25">
      <c r="Y20459" s="501"/>
    </row>
    <row r="20460" spans="25:25" hidden="1" x14ac:dyDescent="0.25">
      <c r="Y20460" s="501"/>
    </row>
    <row r="20461" spans="25:25" hidden="1" x14ac:dyDescent="0.25">
      <c r="Y20461" s="501"/>
    </row>
    <row r="20462" spans="25:25" hidden="1" x14ac:dyDescent="0.25">
      <c r="Y20462" s="501"/>
    </row>
    <row r="20463" spans="25:25" hidden="1" x14ac:dyDescent="0.25">
      <c r="Y20463" s="501"/>
    </row>
    <row r="20464" spans="25:25" hidden="1" x14ac:dyDescent="0.25">
      <c r="Y20464" s="501"/>
    </row>
    <row r="20465" spans="25:25" hidden="1" x14ac:dyDescent="0.25">
      <c r="Y20465" s="501"/>
    </row>
    <row r="20466" spans="25:25" hidden="1" x14ac:dyDescent="0.25">
      <c r="Y20466" s="501"/>
    </row>
    <row r="20467" spans="25:25" hidden="1" x14ac:dyDescent="0.25">
      <c r="Y20467" s="501"/>
    </row>
    <row r="20468" spans="25:25" hidden="1" x14ac:dyDescent="0.25">
      <c r="Y20468" s="501"/>
    </row>
    <row r="20469" spans="25:25" hidden="1" x14ac:dyDescent="0.25">
      <c r="Y20469" s="501"/>
    </row>
    <row r="20470" spans="25:25" hidden="1" x14ac:dyDescent="0.25">
      <c r="Y20470" s="501"/>
    </row>
    <row r="20471" spans="25:25" hidden="1" x14ac:dyDescent="0.25">
      <c r="Y20471" s="501"/>
    </row>
    <row r="20472" spans="25:25" hidden="1" x14ac:dyDescent="0.25">
      <c r="Y20472" s="501"/>
    </row>
    <row r="20473" spans="25:25" hidden="1" x14ac:dyDescent="0.25">
      <c r="Y20473" s="501"/>
    </row>
    <row r="20474" spans="25:25" hidden="1" x14ac:dyDescent="0.25">
      <c r="Y20474" s="501"/>
    </row>
    <row r="20475" spans="25:25" hidden="1" x14ac:dyDescent="0.25">
      <c r="Y20475" s="501"/>
    </row>
    <row r="20476" spans="25:25" hidden="1" x14ac:dyDescent="0.25">
      <c r="Y20476" s="501"/>
    </row>
    <row r="20477" spans="25:25" hidden="1" x14ac:dyDescent="0.25">
      <c r="Y20477" s="501"/>
    </row>
    <row r="20478" spans="25:25" hidden="1" x14ac:dyDescent="0.25">
      <c r="Y20478" s="501"/>
    </row>
    <row r="20479" spans="25:25" hidden="1" x14ac:dyDescent="0.25">
      <c r="Y20479" s="501"/>
    </row>
    <row r="20480" spans="25:25" hidden="1" x14ac:dyDescent="0.25">
      <c r="Y20480" s="501"/>
    </row>
    <row r="20481" spans="25:25" hidden="1" x14ac:dyDescent="0.25">
      <c r="Y20481" s="501"/>
    </row>
    <row r="20482" spans="25:25" hidden="1" x14ac:dyDescent="0.25">
      <c r="Y20482" s="501"/>
    </row>
    <row r="20483" spans="25:25" hidden="1" x14ac:dyDescent="0.25">
      <c r="Y20483" s="501"/>
    </row>
    <row r="20484" spans="25:25" hidden="1" x14ac:dyDescent="0.25">
      <c r="Y20484" s="501"/>
    </row>
    <row r="20485" spans="25:25" hidden="1" x14ac:dyDescent="0.25">
      <c r="Y20485" s="501"/>
    </row>
    <row r="20486" spans="25:25" hidden="1" x14ac:dyDescent="0.25">
      <c r="Y20486" s="501"/>
    </row>
    <row r="20487" spans="25:25" hidden="1" x14ac:dyDescent="0.25">
      <c r="Y20487" s="501"/>
    </row>
    <row r="20488" spans="25:25" hidden="1" x14ac:dyDescent="0.25">
      <c r="Y20488" s="501"/>
    </row>
    <row r="20489" spans="25:25" hidden="1" x14ac:dyDescent="0.25">
      <c r="Y20489" s="501"/>
    </row>
    <row r="20490" spans="25:25" hidden="1" x14ac:dyDescent="0.25">
      <c r="Y20490" s="501"/>
    </row>
    <row r="20491" spans="25:25" hidden="1" x14ac:dyDescent="0.25">
      <c r="Y20491" s="501"/>
    </row>
    <row r="20492" spans="25:25" hidden="1" x14ac:dyDescent="0.25">
      <c r="Y20492" s="501"/>
    </row>
    <row r="20493" spans="25:25" hidden="1" x14ac:dyDescent="0.25">
      <c r="Y20493" s="501"/>
    </row>
    <row r="20494" spans="25:25" hidden="1" x14ac:dyDescent="0.25">
      <c r="Y20494" s="501"/>
    </row>
    <row r="20495" spans="25:25" hidden="1" x14ac:dyDescent="0.25">
      <c r="Y20495" s="501"/>
    </row>
    <row r="20496" spans="25:25" hidden="1" x14ac:dyDescent="0.25">
      <c r="Y20496" s="501"/>
    </row>
    <row r="20497" spans="25:25" hidden="1" x14ac:dyDescent="0.25">
      <c r="Y20497" s="501"/>
    </row>
    <row r="20498" spans="25:25" hidden="1" x14ac:dyDescent="0.25">
      <c r="Y20498" s="501"/>
    </row>
    <row r="20499" spans="25:25" hidden="1" x14ac:dyDescent="0.25">
      <c r="Y20499" s="501"/>
    </row>
    <row r="20500" spans="25:25" hidden="1" x14ac:dyDescent="0.25">
      <c r="Y20500" s="501"/>
    </row>
    <row r="20501" spans="25:25" hidden="1" x14ac:dyDescent="0.25">
      <c r="Y20501" s="501"/>
    </row>
    <row r="20502" spans="25:25" hidden="1" x14ac:dyDescent="0.25">
      <c r="Y20502" s="501"/>
    </row>
    <row r="20503" spans="25:25" hidden="1" x14ac:dyDescent="0.25">
      <c r="Y20503" s="501"/>
    </row>
    <row r="20504" spans="25:25" hidden="1" x14ac:dyDescent="0.25">
      <c r="Y20504" s="501"/>
    </row>
    <row r="20505" spans="25:25" hidden="1" x14ac:dyDescent="0.25">
      <c r="Y20505" s="501"/>
    </row>
    <row r="20506" spans="25:25" hidden="1" x14ac:dyDescent="0.25">
      <c r="Y20506" s="501"/>
    </row>
    <row r="20507" spans="25:25" hidden="1" x14ac:dyDescent="0.25">
      <c r="Y20507" s="501"/>
    </row>
    <row r="20508" spans="25:25" hidden="1" x14ac:dyDescent="0.25">
      <c r="Y20508" s="501"/>
    </row>
    <row r="20509" spans="25:25" hidden="1" x14ac:dyDescent="0.25">
      <c r="Y20509" s="501"/>
    </row>
    <row r="20510" spans="25:25" hidden="1" x14ac:dyDescent="0.25">
      <c r="Y20510" s="501"/>
    </row>
    <row r="20511" spans="25:25" hidden="1" x14ac:dyDescent="0.25">
      <c r="Y20511" s="501"/>
    </row>
    <row r="20512" spans="25:25" hidden="1" x14ac:dyDescent="0.25">
      <c r="Y20512" s="501"/>
    </row>
    <row r="20513" spans="25:25" hidden="1" x14ac:dyDescent="0.25">
      <c r="Y20513" s="501"/>
    </row>
    <row r="20514" spans="25:25" hidden="1" x14ac:dyDescent="0.25">
      <c r="Y20514" s="501"/>
    </row>
    <row r="20515" spans="25:25" hidden="1" x14ac:dyDescent="0.25">
      <c r="Y20515" s="501"/>
    </row>
    <row r="20516" spans="25:25" hidden="1" x14ac:dyDescent="0.25">
      <c r="Y20516" s="501"/>
    </row>
    <row r="20517" spans="25:25" hidden="1" x14ac:dyDescent="0.25">
      <c r="Y20517" s="501"/>
    </row>
    <row r="20518" spans="25:25" hidden="1" x14ac:dyDescent="0.25">
      <c r="Y20518" s="501"/>
    </row>
    <row r="20519" spans="25:25" hidden="1" x14ac:dyDescent="0.25">
      <c r="Y20519" s="501"/>
    </row>
    <row r="20520" spans="25:25" hidden="1" x14ac:dyDescent="0.25">
      <c r="Y20520" s="501"/>
    </row>
    <row r="20521" spans="25:25" hidden="1" x14ac:dyDescent="0.25">
      <c r="Y20521" s="501"/>
    </row>
    <row r="20522" spans="25:25" hidden="1" x14ac:dyDescent="0.25">
      <c r="Y20522" s="501"/>
    </row>
    <row r="20523" spans="25:25" hidden="1" x14ac:dyDescent="0.25">
      <c r="Y20523" s="501"/>
    </row>
    <row r="20524" spans="25:25" hidden="1" x14ac:dyDescent="0.25">
      <c r="Y20524" s="501"/>
    </row>
    <row r="20525" spans="25:25" hidden="1" x14ac:dyDescent="0.25">
      <c r="Y20525" s="501"/>
    </row>
    <row r="20526" spans="25:25" hidden="1" x14ac:dyDescent="0.25">
      <c r="Y20526" s="501"/>
    </row>
    <row r="20527" spans="25:25" hidden="1" x14ac:dyDescent="0.25">
      <c r="Y20527" s="501"/>
    </row>
    <row r="20528" spans="25:25" hidden="1" x14ac:dyDescent="0.25">
      <c r="Y20528" s="501"/>
    </row>
    <row r="20529" spans="25:25" hidden="1" x14ac:dyDescent="0.25">
      <c r="Y20529" s="501"/>
    </row>
    <row r="20530" spans="25:25" hidden="1" x14ac:dyDescent="0.25">
      <c r="Y20530" s="501"/>
    </row>
    <row r="20531" spans="25:25" hidden="1" x14ac:dyDescent="0.25">
      <c r="Y20531" s="501"/>
    </row>
    <row r="20532" spans="25:25" hidden="1" x14ac:dyDescent="0.25">
      <c r="Y20532" s="501"/>
    </row>
    <row r="20533" spans="25:25" hidden="1" x14ac:dyDescent="0.25">
      <c r="Y20533" s="501"/>
    </row>
    <row r="20534" spans="25:25" hidden="1" x14ac:dyDescent="0.25">
      <c r="Y20534" s="501"/>
    </row>
    <row r="20535" spans="25:25" hidden="1" x14ac:dyDescent="0.25">
      <c r="Y20535" s="501"/>
    </row>
    <row r="20536" spans="25:25" hidden="1" x14ac:dyDescent="0.25">
      <c r="Y20536" s="501"/>
    </row>
    <row r="20537" spans="25:25" hidden="1" x14ac:dyDescent="0.25">
      <c r="Y20537" s="501"/>
    </row>
    <row r="20538" spans="25:25" hidden="1" x14ac:dyDescent="0.25">
      <c r="Y20538" s="501"/>
    </row>
    <row r="20539" spans="25:25" hidden="1" x14ac:dyDescent="0.25">
      <c r="Y20539" s="501"/>
    </row>
    <row r="20540" spans="25:25" hidden="1" x14ac:dyDescent="0.25">
      <c r="Y20540" s="501"/>
    </row>
    <row r="20541" spans="25:25" hidden="1" x14ac:dyDescent="0.25">
      <c r="Y20541" s="501"/>
    </row>
    <row r="20542" spans="25:25" hidden="1" x14ac:dyDescent="0.25">
      <c r="Y20542" s="501"/>
    </row>
    <row r="20543" spans="25:25" hidden="1" x14ac:dyDescent="0.25">
      <c r="Y20543" s="501"/>
    </row>
    <row r="20544" spans="25:25" hidden="1" x14ac:dyDescent="0.25">
      <c r="Y20544" s="501"/>
    </row>
    <row r="20545" spans="25:25" hidden="1" x14ac:dyDescent="0.25">
      <c r="Y20545" s="501"/>
    </row>
    <row r="20546" spans="25:25" hidden="1" x14ac:dyDescent="0.25">
      <c r="Y20546" s="501"/>
    </row>
    <row r="20547" spans="25:25" hidden="1" x14ac:dyDescent="0.25">
      <c r="Y20547" s="501"/>
    </row>
    <row r="20548" spans="25:25" hidden="1" x14ac:dyDescent="0.25">
      <c r="Y20548" s="501"/>
    </row>
    <row r="20549" spans="25:25" hidden="1" x14ac:dyDescent="0.25">
      <c r="Y20549" s="501"/>
    </row>
    <row r="20550" spans="25:25" hidden="1" x14ac:dyDescent="0.25">
      <c r="Y20550" s="501"/>
    </row>
    <row r="20551" spans="25:25" hidden="1" x14ac:dyDescent="0.25">
      <c r="Y20551" s="501"/>
    </row>
    <row r="20552" spans="25:25" hidden="1" x14ac:dyDescent="0.25">
      <c r="Y20552" s="501"/>
    </row>
    <row r="20553" spans="25:25" hidden="1" x14ac:dyDescent="0.25">
      <c r="Y20553" s="501"/>
    </row>
    <row r="20554" spans="25:25" hidden="1" x14ac:dyDescent="0.25">
      <c r="Y20554" s="501"/>
    </row>
    <row r="20555" spans="25:25" hidden="1" x14ac:dyDescent="0.25">
      <c r="Y20555" s="501"/>
    </row>
    <row r="20556" spans="25:25" hidden="1" x14ac:dyDescent="0.25">
      <c r="Y20556" s="501"/>
    </row>
    <row r="20557" spans="25:25" hidden="1" x14ac:dyDescent="0.25">
      <c r="Y20557" s="501"/>
    </row>
    <row r="20558" spans="25:25" hidden="1" x14ac:dyDescent="0.25">
      <c r="Y20558" s="501"/>
    </row>
    <row r="20559" spans="25:25" hidden="1" x14ac:dyDescent="0.25">
      <c r="Y20559" s="501"/>
    </row>
    <row r="20560" spans="25:25" hidden="1" x14ac:dyDescent="0.25">
      <c r="Y20560" s="501"/>
    </row>
    <row r="20561" spans="25:25" hidden="1" x14ac:dyDescent="0.25">
      <c r="Y20561" s="501"/>
    </row>
    <row r="20562" spans="25:25" hidden="1" x14ac:dyDescent="0.25">
      <c r="Y20562" s="501"/>
    </row>
    <row r="20563" spans="25:25" hidden="1" x14ac:dyDescent="0.25">
      <c r="Y20563" s="501"/>
    </row>
    <row r="20564" spans="25:25" hidden="1" x14ac:dyDescent="0.25">
      <c r="Y20564" s="501"/>
    </row>
    <row r="20565" spans="25:25" hidden="1" x14ac:dyDescent="0.25">
      <c r="Y20565" s="501"/>
    </row>
    <row r="20566" spans="25:25" hidden="1" x14ac:dyDescent="0.25">
      <c r="Y20566" s="501"/>
    </row>
    <row r="20567" spans="25:25" hidden="1" x14ac:dyDescent="0.25">
      <c r="Y20567" s="501"/>
    </row>
    <row r="20568" spans="25:25" hidden="1" x14ac:dyDescent="0.25">
      <c r="Y20568" s="501"/>
    </row>
    <row r="20569" spans="25:25" hidden="1" x14ac:dyDescent="0.25">
      <c r="Y20569" s="501"/>
    </row>
    <row r="20570" spans="25:25" hidden="1" x14ac:dyDescent="0.25">
      <c r="Y20570" s="501"/>
    </row>
    <row r="20571" spans="25:25" hidden="1" x14ac:dyDescent="0.25">
      <c r="Y20571" s="501"/>
    </row>
    <row r="20572" spans="25:25" hidden="1" x14ac:dyDescent="0.25">
      <c r="Y20572" s="501"/>
    </row>
    <row r="20573" spans="25:25" hidden="1" x14ac:dyDescent="0.25">
      <c r="Y20573" s="501"/>
    </row>
    <row r="20574" spans="25:25" hidden="1" x14ac:dyDescent="0.25">
      <c r="Y20574" s="501"/>
    </row>
    <row r="20575" spans="25:25" hidden="1" x14ac:dyDescent="0.25">
      <c r="Y20575" s="501"/>
    </row>
    <row r="20576" spans="25:25" hidden="1" x14ac:dyDescent="0.25">
      <c r="Y20576" s="501"/>
    </row>
    <row r="20577" spans="25:25" hidden="1" x14ac:dyDescent="0.25">
      <c r="Y20577" s="501"/>
    </row>
    <row r="20578" spans="25:25" hidden="1" x14ac:dyDescent="0.25">
      <c r="Y20578" s="501"/>
    </row>
    <row r="20579" spans="25:25" hidden="1" x14ac:dyDescent="0.25">
      <c r="Y20579" s="501"/>
    </row>
    <row r="20580" spans="25:25" hidden="1" x14ac:dyDescent="0.25">
      <c r="Y20580" s="501"/>
    </row>
    <row r="20581" spans="25:25" hidden="1" x14ac:dyDescent="0.25">
      <c r="Y20581" s="501"/>
    </row>
    <row r="20582" spans="25:25" hidden="1" x14ac:dyDescent="0.25">
      <c r="Y20582" s="501"/>
    </row>
    <row r="20583" spans="25:25" hidden="1" x14ac:dyDescent="0.25">
      <c r="Y20583" s="501"/>
    </row>
    <row r="20584" spans="25:25" hidden="1" x14ac:dyDescent="0.25">
      <c r="Y20584" s="501"/>
    </row>
    <row r="20585" spans="25:25" hidden="1" x14ac:dyDescent="0.25">
      <c r="Y20585" s="501"/>
    </row>
    <row r="20586" spans="25:25" hidden="1" x14ac:dyDescent="0.25">
      <c r="Y20586" s="501"/>
    </row>
    <row r="20587" spans="25:25" hidden="1" x14ac:dyDescent="0.25">
      <c r="Y20587" s="501"/>
    </row>
    <row r="20588" spans="25:25" hidden="1" x14ac:dyDescent="0.25">
      <c r="Y20588" s="501"/>
    </row>
    <row r="20589" spans="25:25" hidden="1" x14ac:dyDescent="0.25">
      <c r="Y20589" s="501"/>
    </row>
    <row r="20590" spans="25:25" hidden="1" x14ac:dyDescent="0.25">
      <c r="Y20590" s="501"/>
    </row>
    <row r="20591" spans="25:25" hidden="1" x14ac:dyDescent="0.25">
      <c r="Y20591" s="501"/>
    </row>
    <row r="20592" spans="25:25" hidden="1" x14ac:dyDescent="0.25">
      <c r="Y20592" s="501"/>
    </row>
    <row r="20593" spans="25:25" hidden="1" x14ac:dyDescent="0.25">
      <c r="Y20593" s="501"/>
    </row>
    <row r="20594" spans="25:25" hidden="1" x14ac:dyDescent="0.25">
      <c r="Y20594" s="501"/>
    </row>
    <row r="20595" spans="25:25" hidden="1" x14ac:dyDescent="0.25">
      <c r="Y20595" s="501"/>
    </row>
    <row r="20596" spans="25:25" hidden="1" x14ac:dyDescent="0.25">
      <c r="Y20596" s="501"/>
    </row>
    <row r="20597" spans="25:25" hidden="1" x14ac:dyDescent="0.25">
      <c r="Y20597" s="501"/>
    </row>
    <row r="20598" spans="25:25" hidden="1" x14ac:dyDescent="0.25">
      <c r="Y20598" s="501"/>
    </row>
    <row r="20599" spans="25:25" hidden="1" x14ac:dyDescent="0.25">
      <c r="Y20599" s="501"/>
    </row>
    <row r="20600" spans="25:25" hidden="1" x14ac:dyDescent="0.25">
      <c r="Y20600" s="501"/>
    </row>
    <row r="20601" spans="25:25" hidden="1" x14ac:dyDescent="0.25">
      <c r="Y20601" s="501"/>
    </row>
    <row r="20602" spans="25:25" hidden="1" x14ac:dyDescent="0.25">
      <c r="Y20602" s="501"/>
    </row>
    <row r="20603" spans="25:25" hidden="1" x14ac:dyDescent="0.25">
      <c r="Y20603" s="501"/>
    </row>
    <row r="20604" spans="25:25" hidden="1" x14ac:dyDescent="0.25">
      <c r="Y20604" s="501"/>
    </row>
    <row r="20605" spans="25:25" hidden="1" x14ac:dyDescent="0.25">
      <c r="Y20605" s="501"/>
    </row>
    <row r="20606" spans="25:25" hidden="1" x14ac:dyDescent="0.25">
      <c r="Y20606" s="501"/>
    </row>
    <row r="20607" spans="25:25" hidden="1" x14ac:dyDescent="0.25">
      <c r="Y20607" s="501"/>
    </row>
    <row r="20608" spans="25:25" hidden="1" x14ac:dyDescent="0.25">
      <c r="Y20608" s="501"/>
    </row>
    <row r="20609" spans="25:25" hidden="1" x14ac:dyDescent="0.25">
      <c r="Y20609" s="501"/>
    </row>
    <row r="20610" spans="25:25" hidden="1" x14ac:dyDescent="0.25">
      <c r="Y20610" s="501"/>
    </row>
    <row r="20611" spans="25:25" hidden="1" x14ac:dyDescent="0.25">
      <c r="Y20611" s="501"/>
    </row>
    <row r="20612" spans="25:25" hidden="1" x14ac:dyDescent="0.25">
      <c r="Y20612" s="501"/>
    </row>
    <row r="20613" spans="25:25" hidden="1" x14ac:dyDescent="0.25">
      <c r="Y20613" s="501"/>
    </row>
    <row r="20614" spans="25:25" hidden="1" x14ac:dyDescent="0.25">
      <c r="Y20614" s="501"/>
    </row>
    <row r="20615" spans="25:25" hidden="1" x14ac:dyDescent="0.25">
      <c r="Y20615" s="501"/>
    </row>
    <row r="20616" spans="25:25" hidden="1" x14ac:dyDescent="0.25">
      <c r="Y20616" s="501"/>
    </row>
    <row r="20617" spans="25:25" hidden="1" x14ac:dyDescent="0.25">
      <c r="Y20617" s="501"/>
    </row>
    <row r="20618" spans="25:25" hidden="1" x14ac:dyDescent="0.25">
      <c r="Y20618" s="501"/>
    </row>
    <row r="20619" spans="25:25" hidden="1" x14ac:dyDescent="0.25">
      <c r="Y20619" s="501"/>
    </row>
    <row r="20620" spans="25:25" hidden="1" x14ac:dyDescent="0.25">
      <c r="Y20620" s="501"/>
    </row>
    <row r="20621" spans="25:25" hidden="1" x14ac:dyDescent="0.25">
      <c r="Y20621" s="501"/>
    </row>
    <row r="20622" spans="25:25" hidden="1" x14ac:dyDescent="0.25">
      <c r="Y20622" s="501"/>
    </row>
    <row r="20623" spans="25:25" hidden="1" x14ac:dyDescent="0.25">
      <c r="Y20623" s="501"/>
    </row>
    <row r="20624" spans="25:25" hidden="1" x14ac:dyDescent="0.25">
      <c r="Y20624" s="501"/>
    </row>
    <row r="20625" spans="25:25" hidden="1" x14ac:dyDescent="0.25">
      <c r="Y20625" s="501"/>
    </row>
    <row r="20626" spans="25:25" hidden="1" x14ac:dyDescent="0.25">
      <c r="Y20626" s="501"/>
    </row>
    <row r="20627" spans="25:25" hidden="1" x14ac:dyDescent="0.25">
      <c r="Y20627" s="501"/>
    </row>
    <row r="20628" spans="25:25" hidden="1" x14ac:dyDescent="0.25">
      <c r="Y20628" s="501"/>
    </row>
    <row r="20629" spans="25:25" hidden="1" x14ac:dyDescent="0.25">
      <c r="Y20629" s="501"/>
    </row>
    <row r="20630" spans="25:25" hidden="1" x14ac:dyDescent="0.25">
      <c r="Y20630" s="501"/>
    </row>
    <row r="20631" spans="25:25" hidden="1" x14ac:dyDescent="0.25">
      <c r="Y20631" s="501"/>
    </row>
    <row r="20632" spans="25:25" hidden="1" x14ac:dyDescent="0.25">
      <c r="Y20632" s="501"/>
    </row>
    <row r="20633" spans="25:25" hidden="1" x14ac:dyDescent="0.25">
      <c r="Y20633" s="501"/>
    </row>
    <row r="20634" spans="25:25" hidden="1" x14ac:dyDescent="0.25">
      <c r="Y20634" s="501"/>
    </row>
    <row r="20635" spans="25:25" hidden="1" x14ac:dyDescent="0.25">
      <c r="Y20635" s="501"/>
    </row>
    <row r="20636" spans="25:25" hidden="1" x14ac:dyDescent="0.25">
      <c r="Y20636" s="501"/>
    </row>
    <row r="20637" spans="25:25" hidden="1" x14ac:dyDescent="0.25">
      <c r="Y20637" s="501"/>
    </row>
    <row r="20638" spans="25:25" hidden="1" x14ac:dyDescent="0.25">
      <c r="Y20638" s="501"/>
    </row>
    <row r="20639" spans="25:25" hidden="1" x14ac:dyDescent="0.25">
      <c r="Y20639" s="501"/>
    </row>
    <row r="20640" spans="25:25" hidden="1" x14ac:dyDescent="0.25">
      <c r="Y20640" s="501"/>
    </row>
    <row r="20641" spans="25:25" hidden="1" x14ac:dyDescent="0.25">
      <c r="Y20641" s="501"/>
    </row>
    <row r="20642" spans="25:25" hidden="1" x14ac:dyDescent="0.25">
      <c r="Y20642" s="501"/>
    </row>
    <row r="20643" spans="25:25" hidden="1" x14ac:dyDescent="0.25">
      <c r="Y20643" s="501"/>
    </row>
    <row r="20644" spans="25:25" hidden="1" x14ac:dyDescent="0.25">
      <c r="Y20644" s="501"/>
    </row>
    <row r="20645" spans="25:25" hidden="1" x14ac:dyDescent="0.25">
      <c r="Y20645" s="501"/>
    </row>
    <row r="20646" spans="25:25" hidden="1" x14ac:dyDescent="0.25">
      <c r="Y20646" s="501"/>
    </row>
    <row r="20647" spans="25:25" hidden="1" x14ac:dyDescent="0.25">
      <c r="Y20647" s="501"/>
    </row>
    <row r="20648" spans="25:25" hidden="1" x14ac:dyDescent="0.25">
      <c r="Y20648" s="501"/>
    </row>
    <row r="20649" spans="25:25" hidden="1" x14ac:dyDescent="0.25">
      <c r="Y20649" s="501"/>
    </row>
    <row r="20650" spans="25:25" hidden="1" x14ac:dyDescent="0.25">
      <c r="Y20650" s="501"/>
    </row>
    <row r="20651" spans="25:25" hidden="1" x14ac:dyDescent="0.25">
      <c r="Y20651" s="501"/>
    </row>
    <row r="20652" spans="25:25" hidden="1" x14ac:dyDescent="0.25">
      <c r="Y20652" s="501"/>
    </row>
    <row r="20653" spans="25:25" hidden="1" x14ac:dyDescent="0.25">
      <c r="Y20653" s="501"/>
    </row>
    <row r="20654" spans="25:25" hidden="1" x14ac:dyDescent="0.25">
      <c r="Y20654" s="501"/>
    </row>
    <row r="20655" spans="25:25" hidden="1" x14ac:dyDescent="0.25">
      <c r="Y20655" s="501"/>
    </row>
    <row r="20656" spans="25:25" hidden="1" x14ac:dyDescent="0.25">
      <c r="Y20656" s="501"/>
    </row>
    <row r="20657" spans="25:25" hidden="1" x14ac:dyDescent="0.25">
      <c r="Y20657" s="501"/>
    </row>
    <row r="20658" spans="25:25" hidden="1" x14ac:dyDescent="0.25">
      <c r="Y20658" s="501"/>
    </row>
    <row r="20659" spans="25:25" hidden="1" x14ac:dyDescent="0.25">
      <c r="Y20659" s="501"/>
    </row>
    <row r="20660" spans="25:25" hidden="1" x14ac:dyDescent="0.25">
      <c r="Y20660" s="501"/>
    </row>
    <row r="20661" spans="25:25" hidden="1" x14ac:dyDescent="0.25">
      <c r="Y20661" s="501"/>
    </row>
    <row r="20662" spans="25:25" hidden="1" x14ac:dyDescent="0.25">
      <c r="Y20662" s="501"/>
    </row>
    <row r="20663" spans="25:25" hidden="1" x14ac:dyDescent="0.25">
      <c r="Y20663" s="501"/>
    </row>
    <row r="20664" spans="25:25" hidden="1" x14ac:dyDescent="0.25">
      <c r="Y20664" s="501"/>
    </row>
    <row r="20665" spans="25:25" hidden="1" x14ac:dyDescent="0.25">
      <c r="Y20665" s="501"/>
    </row>
    <row r="20666" spans="25:25" hidden="1" x14ac:dyDescent="0.25">
      <c r="Y20666" s="501"/>
    </row>
    <row r="20667" spans="25:25" hidden="1" x14ac:dyDescent="0.25">
      <c r="Y20667" s="501"/>
    </row>
    <row r="20668" spans="25:25" hidden="1" x14ac:dyDescent="0.25">
      <c r="Y20668" s="501"/>
    </row>
    <row r="20669" spans="25:25" hidden="1" x14ac:dyDescent="0.25">
      <c r="Y20669" s="501"/>
    </row>
    <row r="20670" spans="25:25" hidden="1" x14ac:dyDescent="0.25">
      <c r="Y20670" s="501"/>
    </row>
    <row r="20671" spans="25:25" hidden="1" x14ac:dyDescent="0.25">
      <c r="Y20671" s="501"/>
    </row>
    <row r="20672" spans="25:25" hidden="1" x14ac:dyDescent="0.25">
      <c r="Y20672" s="501"/>
    </row>
    <row r="20673" spans="25:25" hidden="1" x14ac:dyDescent="0.25">
      <c r="Y20673" s="501"/>
    </row>
    <row r="20674" spans="25:25" hidden="1" x14ac:dyDescent="0.25">
      <c r="Y20674" s="501"/>
    </row>
    <row r="20675" spans="25:25" hidden="1" x14ac:dyDescent="0.25">
      <c r="Y20675" s="501"/>
    </row>
    <row r="20676" spans="25:25" hidden="1" x14ac:dyDescent="0.25">
      <c r="Y20676" s="501"/>
    </row>
    <row r="20677" spans="25:25" hidden="1" x14ac:dyDescent="0.25">
      <c r="Y20677" s="501"/>
    </row>
    <row r="20678" spans="25:25" hidden="1" x14ac:dyDescent="0.25">
      <c r="Y20678" s="501"/>
    </row>
    <row r="20679" spans="25:25" hidden="1" x14ac:dyDescent="0.25">
      <c r="Y20679" s="501"/>
    </row>
    <row r="20680" spans="25:25" hidden="1" x14ac:dyDescent="0.25">
      <c r="Y20680" s="501"/>
    </row>
    <row r="20681" spans="25:25" hidden="1" x14ac:dyDescent="0.25">
      <c r="Y20681" s="501"/>
    </row>
    <row r="20682" spans="25:25" hidden="1" x14ac:dyDescent="0.25">
      <c r="Y20682" s="501"/>
    </row>
    <row r="20683" spans="25:25" hidden="1" x14ac:dyDescent="0.25">
      <c r="Y20683" s="501"/>
    </row>
    <row r="20684" spans="25:25" hidden="1" x14ac:dyDescent="0.25">
      <c r="Y20684" s="501"/>
    </row>
    <row r="20685" spans="25:25" hidden="1" x14ac:dyDescent="0.25">
      <c r="Y20685" s="501"/>
    </row>
    <row r="20686" spans="25:25" hidden="1" x14ac:dyDescent="0.25">
      <c r="Y20686" s="501"/>
    </row>
    <row r="20687" spans="25:25" hidden="1" x14ac:dyDescent="0.25">
      <c r="Y20687" s="501"/>
    </row>
    <row r="20688" spans="25:25" hidden="1" x14ac:dyDescent="0.25">
      <c r="Y20688" s="501"/>
    </row>
    <row r="20689" spans="25:25" hidden="1" x14ac:dyDescent="0.25">
      <c r="Y20689" s="501"/>
    </row>
    <row r="20690" spans="25:25" hidden="1" x14ac:dyDescent="0.25">
      <c r="Y20690" s="501"/>
    </row>
    <row r="20691" spans="25:25" hidden="1" x14ac:dyDescent="0.25">
      <c r="Y20691" s="501"/>
    </row>
    <row r="20692" spans="25:25" hidden="1" x14ac:dyDescent="0.25">
      <c r="Y20692" s="501"/>
    </row>
    <row r="20693" spans="25:25" hidden="1" x14ac:dyDescent="0.25">
      <c r="Y20693" s="501"/>
    </row>
    <row r="20694" spans="25:25" hidden="1" x14ac:dyDescent="0.25">
      <c r="Y20694" s="501"/>
    </row>
    <row r="20695" spans="25:25" hidden="1" x14ac:dyDescent="0.25">
      <c r="Y20695" s="501"/>
    </row>
    <row r="20696" spans="25:25" hidden="1" x14ac:dyDescent="0.25">
      <c r="Y20696" s="501"/>
    </row>
    <row r="20697" spans="25:25" hidden="1" x14ac:dyDescent="0.25">
      <c r="Y20697" s="501"/>
    </row>
    <row r="20698" spans="25:25" hidden="1" x14ac:dyDescent="0.25">
      <c r="Y20698" s="501"/>
    </row>
    <row r="20699" spans="25:25" hidden="1" x14ac:dyDescent="0.25">
      <c r="Y20699" s="501"/>
    </row>
    <row r="20700" spans="25:25" hidden="1" x14ac:dyDescent="0.25">
      <c r="Y20700" s="501"/>
    </row>
    <row r="20701" spans="25:25" hidden="1" x14ac:dyDescent="0.25">
      <c r="Y20701" s="501"/>
    </row>
    <row r="20702" spans="25:25" hidden="1" x14ac:dyDescent="0.25">
      <c r="Y20702" s="501"/>
    </row>
    <row r="20703" spans="25:25" hidden="1" x14ac:dyDescent="0.25">
      <c r="Y20703" s="501"/>
    </row>
    <row r="20704" spans="25:25" hidden="1" x14ac:dyDescent="0.25">
      <c r="Y20704" s="501"/>
    </row>
    <row r="20705" spans="25:25" hidden="1" x14ac:dyDescent="0.25">
      <c r="Y20705" s="501"/>
    </row>
    <row r="20706" spans="25:25" hidden="1" x14ac:dyDescent="0.25">
      <c r="Y20706" s="501"/>
    </row>
    <row r="20707" spans="25:25" hidden="1" x14ac:dyDescent="0.25">
      <c r="Y20707" s="501"/>
    </row>
    <row r="20708" spans="25:25" hidden="1" x14ac:dyDescent="0.25">
      <c r="Y20708" s="501"/>
    </row>
    <row r="20709" spans="25:25" hidden="1" x14ac:dyDescent="0.25">
      <c r="Y20709" s="501"/>
    </row>
    <row r="20710" spans="25:25" hidden="1" x14ac:dyDescent="0.25">
      <c r="Y20710" s="501"/>
    </row>
    <row r="20711" spans="25:25" hidden="1" x14ac:dyDescent="0.25">
      <c r="Y20711" s="501"/>
    </row>
    <row r="20712" spans="25:25" hidden="1" x14ac:dyDescent="0.25">
      <c r="Y20712" s="501"/>
    </row>
    <row r="20713" spans="25:25" hidden="1" x14ac:dyDescent="0.25">
      <c r="Y20713" s="501"/>
    </row>
    <row r="20714" spans="25:25" hidden="1" x14ac:dyDescent="0.25">
      <c r="Y20714" s="501"/>
    </row>
    <row r="20715" spans="25:25" hidden="1" x14ac:dyDescent="0.25">
      <c r="Y20715" s="501"/>
    </row>
    <row r="20716" spans="25:25" hidden="1" x14ac:dyDescent="0.25">
      <c r="Y20716" s="501"/>
    </row>
    <row r="20717" spans="25:25" hidden="1" x14ac:dyDescent="0.25">
      <c r="Y20717" s="501"/>
    </row>
    <row r="20718" spans="25:25" hidden="1" x14ac:dyDescent="0.25">
      <c r="Y20718" s="501"/>
    </row>
    <row r="20719" spans="25:25" hidden="1" x14ac:dyDescent="0.25">
      <c r="Y20719" s="501"/>
    </row>
    <row r="20720" spans="25:25" hidden="1" x14ac:dyDescent="0.25">
      <c r="Y20720" s="501"/>
    </row>
    <row r="20721" spans="25:25" hidden="1" x14ac:dyDescent="0.25">
      <c r="Y20721" s="501"/>
    </row>
    <row r="20722" spans="25:25" hidden="1" x14ac:dyDescent="0.25">
      <c r="Y20722" s="501"/>
    </row>
    <row r="20723" spans="25:25" hidden="1" x14ac:dyDescent="0.25">
      <c r="Y20723" s="501"/>
    </row>
    <row r="20724" spans="25:25" hidden="1" x14ac:dyDescent="0.25">
      <c r="Y20724" s="501"/>
    </row>
    <row r="20725" spans="25:25" hidden="1" x14ac:dyDescent="0.25">
      <c r="Y20725" s="501"/>
    </row>
    <row r="20726" spans="25:25" hidden="1" x14ac:dyDescent="0.25">
      <c r="Y20726" s="501"/>
    </row>
    <row r="20727" spans="25:25" hidden="1" x14ac:dyDescent="0.25">
      <c r="Y20727" s="501"/>
    </row>
    <row r="20728" spans="25:25" hidden="1" x14ac:dyDescent="0.25">
      <c r="Y20728" s="501"/>
    </row>
    <row r="20729" spans="25:25" hidden="1" x14ac:dyDescent="0.25">
      <c r="Y20729" s="501"/>
    </row>
    <row r="20730" spans="25:25" hidden="1" x14ac:dyDescent="0.25">
      <c r="Y20730" s="501"/>
    </row>
    <row r="20731" spans="25:25" hidden="1" x14ac:dyDescent="0.25">
      <c r="Y20731" s="501"/>
    </row>
    <row r="20732" spans="25:25" hidden="1" x14ac:dyDescent="0.25">
      <c r="Y20732" s="501"/>
    </row>
    <row r="20733" spans="25:25" hidden="1" x14ac:dyDescent="0.25">
      <c r="Y20733" s="501"/>
    </row>
    <row r="20734" spans="25:25" hidden="1" x14ac:dyDescent="0.25">
      <c r="Y20734" s="501"/>
    </row>
    <row r="20735" spans="25:25" hidden="1" x14ac:dyDescent="0.25">
      <c r="Y20735" s="501"/>
    </row>
    <row r="20736" spans="25:25" hidden="1" x14ac:dyDescent="0.25">
      <c r="Y20736" s="501"/>
    </row>
    <row r="20737" spans="25:25" hidden="1" x14ac:dyDescent="0.25">
      <c r="Y20737" s="501"/>
    </row>
    <row r="20738" spans="25:25" hidden="1" x14ac:dyDescent="0.25">
      <c r="Y20738" s="501"/>
    </row>
    <row r="20739" spans="25:25" hidden="1" x14ac:dyDescent="0.25">
      <c r="Y20739" s="501"/>
    </row>
    <row r="20740" spans="25:25" hidden="1" x14ac:dyDescent="0.25">
      <c r="Y20740" s="501"/>
    </row>
    <row r="20741" spans="25:25" hidden="1" x14ac:dyDescent="0.25">
      <c r="Y20741" s="501"/>
    </row>
    <row r="20742" spans="25:25" hidden="1" x14ac:dyDescent="0.25">
      <c r="Y20742" s="501"/>
    </row>
    <row r="20743" spans="25:25" hidden="1" x14ac:dyDescent="0.25">
      <c r="Y20743" s="501"/>
    </row>
    <row r="20744" spans="25:25" hidden="1" x14ac:dyDescent="0.25">
      <c r="Y20744" s="501"/>
    </row>
    <row r="20745" spans="25:25" hidden="1" x14ac:dyDescent="0.25">
      <c r="Y20745" s="501"/>
    </row>
    <row r="20746" spans="25:25" hidden="1" x14ac:dyDescent="0.25">
      <c r="Y20746" s="501"/>
    </row>
    <row r="20747" spans="25:25" hidden="1" x14ac:dyDescent="0.25">
      <c r="Y20747" s="501"/>
    </row>
    <row r="20748" spans="25:25" hidden="1" x14ac:dyDescent="0.25">
      <c r="Y20748" s="501"/>
    </row>
    <row r="20749" spans="25:25" hidden="1" x14ac:dyDescent="0.25">
      <c r="Y20749" s="501"/>
    </row>
    <row r="20750" spans="25:25" hidden="1" x14ac:dyDescent="0.25">
      <c r="Y20750" s="501"/>
    </row>
    <row r="20751" spans="25:25" hidden="1" x14ac:dyDescent="0.25">
      <c r="Y20751" s="501"/>
    </row>
    <row r="20752" spans="25:25" hidden="1" x14ac:dyDescent="0.25">
      <c r="Y20752" s="501"/>
    </row>
    <row r="20753" spans="25:25" hidden="1" x14ac:dyDescent="0.25">
      <c r="Y20753" s="501"/>
    </row>
    <row r="20754" spans="25:25" hidden="1" x14ac:dyDescent="0.25">
      <c r="Y20754" s="501"/>
    </row>
    <row r="20755" spans="25:25" hidden="1" x14ac:dyDescent="0.25">
      <c r="Y20755" s="501"/>
    </row>
    <row r="20756" spans="25:25" hidden="1" x14ac:dyDescent="0.25">
      <c r="Y20756" s="501"/>
    </row>
    <row r="20757" spans="25:25" hidden="1" x14ac:dyDescent="0.25">
      <c r="Y20757" s="501"/>
    </row>
    <row r="20758" spans="25:25" hidden="1" x14ac:dyDescent="0.25">
      <c r="Y20758" s="501"/>
    </row>
    <row r="20759" spans="25:25" hidden="1" x14ac:dyDescent="0.25">
      <c r="Y20759" s="501"/>
    </row>
    <row r="20760" spans="25:25" hidden="1" x14ac:dyDescent="0.25">
      <c r="Y20760" s="501"/>
    </row>
    <row r="20761" spans="25:25" hidden="1" x14ac:dyDescent="0.25">
      <c r="Y20761" s="501"/>
    </row>
    <row r="20762" spans="25:25" hidden="1" x14ac:dyDescent="0.25">
      <c r="Y20762" s="501"/>
    </row>
    <row r="20763" spans="25:25" hidden="1" x14ac:dyDescent="0.25">
      <c r="Y20763" s="501"/>
    </row>
    <row r="20764" spans="25:25" hidden="1" x14ac:dyDescent="0.25">
      <c r="Y20764" s="501"/>
    </row>
    <row r="20765" spans="25:25" hidden="1" x14ac:dyDescent="0.25">
      <c r="Y20765" s="501"/>
    </row>
    <row r="20766" spans="25:25" hidden="1" x14ac:dyDescent="0.25">
      <c r="Y20766" s="501"/>
    </row>
    <row r="20767" spans="25:25" hidden="1" x14ac:dyDescent="0.25">
      <c r="Y20767" s="501"/>
    </row>
    <row r="20768" spans="25:25" hidden="1" x14ac:dyDescent="0.25">
      <c r="Y20768" s="501"/>
    </row>
    <row r="20769" spans="25:25" hidden="1" x14ac:dyDescent="0.25">
      <c r="Y20769" s="501"/>
    </row>
    <row r="20770" spans="25:25" hidden="1" x14ac:dyDescent="0.25">
      <c r="Y20770" s="501"/>
    </row>
    <row r="20771" spans="25:25" hidden="1" x14ac:dyDescent="0.25">
      <c r="Y20771" s="501"/>
    </row>
    <row r="20772" spans="25:25" hidden="1" x14ac:dyDescent="0.25">
      <c r="Y20772" s="501"/>
    </row>
    <row r="20773" spans="25:25" hidden="1" x14ac:dyDescent="0.25">
      <c r="Y20773" s="501"/>
    </row>
    <row r="20774" spans="25:25" hidden="1" x14ac:dyDescent="0.25">
      <c r="Y20774" s="501"/>
    </row>
    <row r="20775" spans="25:25" hidden="1" x14ac:dyDescent="0.25">
      <c r="Y20775" s="501"/>
    </row>
    <row r="20776" spans="25:25" hidden="1" x14ac:dyDescent="0.25">
      <c r="Y20776" s="501"/>
    </row>
    <row r="20777" spans="25:25" hidden="1" x14ac:dyDescent="0.25">
      <c r="Y20777" s="501"/>
    </row>
    <row r="20778" spans="25:25" hidden="1" x14ac:dyDescent="0.25">
      <c r="Y20778" s="501"/>
    </row>
    <row r="20779" spans="25:25" hidden="1" x14ac:dyDescent="0.25">
      <c r="Y20779" s="501"/>
    </row>
    <row r="20780" spans="25:25" hidden="1" x14ac:dyDescent="0.25">
      <c r="Y20780" s="501"/>
    </row>
    <row r="20781" spans="25:25" hidden="1" x14ac:dyDescent="0.25">
      <c r="Y20781" s="501"/>
    </row>
    <row r="20782" spans="25:25" hidden="1" x14ac:dyDescent="0.25">
      <c r="Y20782" s="501"/>
    </row>
    <row r="20783" spans="25:25" hidden="1" x14ac:dyDescent="0.25">
      <c r="Y20783" s="501"/>
    </row>
    <row r="20784" spans="25:25" hidden="1" x14ac:dyDescent="0.25">
      <c r="Y20784" s="501"/>
    </row>
    <row r="20785" spans="25:25" hidden="1" x14ac:dyDescent="0.25">
      <c r="Y20785" s="501"/>
    </row>
    <row r="20786" spans="25:25" hidden="1" x14ac:dyDescent="0.25">
      <c r="Y20786" s="501"/>
    </row>
    <row r="20787" spans="25:25" hidden="1" x14ac:dyDescent="0.25">
      <c r="Y20787" s="501"/>
    </row>
    <row r="20788" spans="25:25" hidden="1" x14ac:dyDescent="0.25">
      <c r="Y20788" s="501"/>
    </row>
    <row r="20789" spans="25:25" hidden="1" x14ac:dyDescent="0.25">
      <c r="Y20789" s="501"/>
    </row>
    <row r="20790" spans="25:25" hidden="1" x14ac:dyDescent="0.25">
      <c r="Y20790" s="501"/>
    </row>
    <row r="20791" spans="25:25" hidden="1" x14ac:dyDescent="0.25">
      <c r="Y20791" s="501"/>
    </row>
    <row r="20792" spans="25:25" hidden="1" x14ac:dyDescent="0.25">
      <c r="Y20792" s="501"/>
    </row>
    <row r="20793" spans="25:25" hidden="1" x14ac:dyDescent="0.25">
      <c r="Y20793" s="501"/>
    </row>
    <row r="20794" spans="25:25" hidden="1" x14ac:dyDescent="0.25">
      <c r="Y20794" s="501"/>
    </row>
    <row r="20795" spans="25:25" hidden="1" x14ac:dyDescent="0.25">
      <c r="Y20795" s="501"/>
    </row>
    <row r="20796" spans="25:25" hidden="1" x14ac:dyDescent="0.25">
      <c r="Y20796" s="501"/>
    </row>
    <row r="20797" spans="25:25" hidden="1" x14ac:dyDescent="0.25">
      <c r="Y20797" s="501"/>
    </row>
    <row r="20798" spans="25:25" hidden="1" x14ac:dyDescent="0.25">
      <c r="Y20798" s="501"/>
    </row>
    <row r="20799" spans="25:25" hidden="1" x14ac:dyDescent="0.25">
      <c r="Y20799" s="501"/>
    </row>
    <row r="20800" spans="25:25" hidden="1" x14ac:dyDescent="0.25">
      <c r="Y20800" s="501"/>
    </row>
    <row r="20801" spans="25:25" hidden="1" x14ac:dyDescent="0.25">
      <c r="Y20801" s="501"/>
    </row>
    <row r="20802" spans="25:25" hidden="1" x14ac:dyDescent="0.25">
      <c r="Y20802" s="501"/>
    </row>
    <row r="20803" spans="25:25" hidden="1" x14ac:dyDescent="0.25">
      <c r="Y20803" s="501"/>
    </row>
    <row r="20804" spans="25:25" hidden="1" x14ac:dyDescent="0.25">
      <c r="Y20804" s="501"/>
    </row>
    <row r="20805" spans="25:25" hidden="1" x14ac:dyDescent="0.25">
      <c r="Y20805" s="501"/>
    </row>
    <row r="20806" spans="25:25" hidden="1" x14ac:dyDescent="0.25">
      <c r="Y20806" s="501"/>
    </row>
    <row r="20807" spans="25:25" hidden="1" x14ac:dyDescent="0.25">
      <c r="Y20807" s="501"/>
    </row>
    <row r="20808" spans="25:25" hidden="1" x14ac:dyDescent="0.25">
      <c r="Y20808" s="501"/>
    </row>
    <row r="20809" spans="25:25" hidden="1" x14ac:dyDescent="0.25">
      <c r="Y20809" s="501"/>
    </row>
    <row r="20810" spans="25:25" hidden="1" x14ac:dyDescent="0.25">
      <c r="Y20810" s="501"/>
    </row>
    <row r="20811" spans="25:25" hidden="1" x14ac:dyDescent="0.25">
      <c r="Y20811" s="501"/>
    </row>
    <row r="20812" spans="25:25" hidden="1" x14ac:dyDescent="0.25">
      <c r="Y20812" s="501"/>
    </row>
    <row r="20813" spans="25:25" hidden="1" x14ac:dyDescent="0.25">
      <c r="Y20813" s="501"/>
    </row>
    <row r="20814" spans="25:25" hidden="1" x14ac:dyDescent="0.25">
      <c r="Y20814" s="501"/>
    </row>
    <row r="20815" spans="25:25" hidden="1" x14ac:dyDescent="0.25">
      <c r="Y20815" s="501"/>
    </row>
    <row r="20816" spans="25:25" hidden="1" x14ac:dyDescent="0.25">
      <c r="Y20816" s="501"/>
    </row>
    <row r="20817" spans="25:25" hidden="1" x14ac:dyDescent="0.25">
      <c r="Y20817" s="501"/>
    </row>
    <row r="20818" spans="25:25" hidden="1" x14ac:dyDescent="0.25">
      <c r="Y20818" s="501"/>
    </row>
    <row r="20819" spans="25:25" hidden="1" x14ac:dyDescent="0.25">
      <c r="Y20819" s="501"/>
    </row>
    <row r="20820" spans="25:25" hidden="1" x14ac:dyDescent="0.25">
      <c r="Y20820" s="501"/>
    </row>
    <row r="20821" spans="25:25" hidden="1" x14ac:dyDescent="0.25">
      <c r="Y20821" s="501"/>
    </row>
    <row r="20822" spans="25:25" hidden="1" x14ac:dyDescent="0.25">
      <c r="Y20822" s="501"/>
    </row>
    <row r="20823" spans="25:25" hidden="1" x14ac:dyDescent="0.25">
      <c r="Y20823" s="501"/>
    </row>
    <row r="20824" spans="25:25" hidden="1" x14ac:dyDescent="0.25">
      <c r="Y20824" s="501"/>
    </row>
    <row r="20825" spans="25:25" hidden="1" x14ac:dyDescent="0.25">
      <c r="Y20825" s="501"/>
    </row>
    <row r="20826" spans="25:25" hidden="1" x14ac:dyDescent="0.25">
      <c r="Y20826" s="501"/>
    </row>
    <row r="20827" spans="25:25" hidden="1" x14ac:dyDescent="0.25">
      <c r="Y20827" s="501"/>
    </row>
    <row r="20828" spans="25:25" hidden="1" x14ac:dyDescent="0.25">
      <c r="Y20828" s="501"/>
    </row>
    <row r="20829" spans="25:25" hidden="1" x14ac:dyDescent="0.25">
      <c r="Y20829" s="501"/>
    </row>
    <row r="20830" spans="25:25" hidden="1" x14ac:dyDescent="0.25">
      <c r="Y20830" s="501"/>
    </row>
    <row r="20831" spans="25:25" hidden="1" x14ac:dyDescent="0.25">
      <c r="Y20831" s="501"/>
    </row>
    <row r="20832" spans="25:25" hidden="1" x14ac:dyDescent="0.25">
      <c r="Y20832" s="501"/>
    </row>
    <row r="20833" spans="25:25" hidden="1" x14ac:dyDescent="0.25">
      <c r="Y20833" s="501"/>
    </row>
    <row r="20834" spans="25:25" hidden="1" x14ac:dyDescent="0.25">
      <c r="Y20834" s="501"/>
    </row>
    <row r="20835" spans="25:25" hidden="1" x14ac:dyDescent="0.25">
      <c r="Y20835" s="501"/>
    </row>
    <row r="20836" spans="25:25" hidden="1" x14ac:dyDescent="0.25">
      <c r="Y20836" s="501"/>
    </row>
    <row r="20837" spans="25:25" hidden="1" x14ac:dyDescent="0.25">
      <c r="Y20837" s="501"/>
    </row>
    <row r="20838" spans="25:25" hidden="1" x14ac:dyDescent="0.25">
      <c r="Y20838" s="501"/>
    </row>
    <row r="20839" spans="25:25" hidden="1" x14ac:dyDescent="0.25">
      <c r="Y20839" s="501"/>
    </row>
    <row r="20840" spans="25:25" hidden="1" x14ac:dyDescent="0.25">
      <c r="Y20840" s="501"/>
    </row>
    <row r="20841" spans="25:25" hidden="1" x14ac:dyDescent="0.25">
      <c r="Y20841" s="501"/>
    </row>
    <row r="20842" spans="25:25" hidden="1" x14ac:dyDescent="0.25">
      <c r="Y20842" s="501"/>
    </row>
    <row r="20843" spans="25:25" hidden="1" x14ac:dyDescent="0.25">
      <c r="Y20843" s="501"/>
    </row>
    <row r="20844" spans="25:25" hidden="1" x14ac:dyDescent="0.25">
      <c r="Y20844" s="501"/>
    </row>
    <row r="20845" spans="25:25" hidden="1" x14ac:dyDescent="0.25">
      <c r="Y20845" s="501"/>
    </row>
    <row r="20846" spans="25:25" hidden="1" x14ac:dyDescent="0.25">
      <c r="Y20846" s="501"/>
    </row>
    <row r="20847" spans="25:25" hidden="1" x14ac:dyDescent="0.25">
      <c r="Y20847" s="501"/>
    </row>
    <row r="20848" spans="25:25" hidden="1" x14ac:dyDescent="0.25">
      <c r="Y20848" s="501"/>
    </row>
    <row r="20849" spans="25:25" hidden="1" x14ac:dyDescent="0.25">
      <c r="Y20849" s="501"/>
    </row>
    <row r="20850" spans="25:25" hidden="1" x14ac:dyDescent="0.25">
      <c r="Y20850" s="501"/>
    </row>
    <row r="20851" spans="25:25" hidden="1" x14ac:dyDescent="0.25">
      <c r="Y20851" s="501"/>
    </row>
    <row r="20852" spans="25:25" hidden="1" x14ac:dyDescent="0.25">
      <c r="Y20852" s="501"/>
    </row>
    <row r="20853" spans="25:25" hidden="1" x14ac:dyDescent="0.25">
      <c r="Y20853" s="501"/>
    </row>
    <row r="20854" spans="25:25" hidden="1" x14ac:dyDescent="0.25">
      <c r="Y20854" s="501"/>
    </row>
    <row r="20855" spans="25:25" hidden="1" x14ac:dyDescent="0.25">
      <c r="Y20855" s="501"/>
    </row>
    <row r="20856" spans="25:25" hidden="1" x14ac:dyDescent="0.25">
      <c r="Y20856" s="501"/>
    </row>
    <row r="20857" spans="25:25" hidden="1" x14ac:dyDescent="0.25">
      <c r="Y20857" s="501"/>
    </row>
    <row r="20858" spans="25:25" hidden="1" x14ac:dyDescent="0.25">
      <c r="Y20858" s="501"/>
    </row>
    <row r="20859" spans="25:25" hidden="1" x14ac:dyDescent="0.25">
      <c r="Y20859" s="501"/>
    </row>
    <row r="20860" spans="25:25" hidden="1" x14ac:dyDescent="0.25">
      <c r="Y20860" s="501"/>
    </row>
    <row r="20861" spans="25:25" hidden="1" x14ac:dyDescent="0.25">
      <c r="Y20861" s="501"/>
    </row>
    <row r="20862" spans="25:25" hidden="1" x14ac:dyDescent="0.25">
      <c r="Y20862" s="501"/>
    </row>
    <row r="20863" spans="25:25" hidden="1" x14ac:dyDescent="0.25">
      <c r="Y20863" s="501"/>
    </row>
    <row r="20864" spans="25:25" hidden="1" x14ac:dyDescent="0.25">
      <c r="Y20864" s="501"/>
    </row>
    <row r="20865" spans="25:25" hidden="1" x14ac:dyDescent="0.25">
      <c r="Y20865" s="501"/>
    </row>
    <row r="20866" spans="25:25" hidden="1" x14ac:dyDescent="0.25">
      <c r="Y20866" s="501"/>
    </row>
    <row r="20867" spans="25:25" hidden="1" x14ac:dyDescent="0.25">
      <c r="Y20867" s="501"/>
    </row>
    <row r="20868" spans="25:25" hidden="1" x14ac:dyDescent="0.25">
      <c r="Y20868" s="501"/>
    </row>
    <row r="20869" spans="25:25" hidden="1" x14ac:dyDescent="0.25">
      <c r="Y20869" s="501"/>
    </row>
    <row r="20870" spans="25:25" hidden="1" x14ac:dyDescent="0.25">
      <c r="Y20870" s="501"/>
    </row>
    <row r="20871" spans="25:25" hidden="1" x14ac:dyDescent="0.25">
      <c r="Y20871" s="501"/>
    </row>
    <row r="20872" spans="25:25" hidden="1" x14ac:dyDescent="0.25">
      <c r="Y20872" s="501"/>
    </row>
    <row r="20873" spans="25:25" hidden="1" x14ac:dyDescent="0.25">
      <c r="Y20873" s="501"/>
    </row>
    <row r="20874" spans="25:25" hidden="1" x14ac:dyDescent="0.25">
      <c r="Y20874" s="501"/>
    </row>
    <row r="20875" spans="25:25" hidden="1" x14ac:dyDescent="0.25">
      <c r="Y20875" s="501"/>
    </row>
    <row r="20876" spans="25:25" hidden="1" x14ac:dyDescent="0.25">
      <c r="Y20876" s="501"/>
    </row>
    <row r="20877" spans="25:25" hidden="1" x14ac:dyDescent="0.25">
      <c r="Y20877" s="501"/>
    </row>
    <row r="20878" spans="25:25" hidden="1" x14ac:dyDescent="0.25">
      <c r="Y20878" s="501"/>
    </row>
    <row r="20879" spans="25:25" hidden="1" x14ac:dyDescent="0.25">
      <c r="Y20879" s="501"/>
    </row>
    <row r="20880" spans="25:25" hidden="1" x14ac:dyDescent="0.25">
      <c r="Y20880" s="501"/>
    </row>
    <row r="20881" spans="25:25" hidden="1" x14ac:dyDescent="0.25">
      <c r="Y20881" s="501"/>
    </row>
    <row r="20882" spans="25:25" hidden="1" x14ac:dyDescent="0.25">
      <c r="Y20882" s="501"/>
    </row>
    <row r="20883" spans="25:25" hidden="1" x14ac:dyDescent="0.25">
      <c r="Y20883" s="501"/>
    </row>
    <row r="20884" spans="25:25" hidden="1" x14ac:dyDescent="0.25">
      <c r="Y20884" s="501"/>
    </row>
    <row r="20885" spans="25:25" hidden="1" x14ac:dyDescent="0.25">
      <c r="Y20885" s="501"/>
    </row>
    <row r="20886" spans="25:25" hidden="1" x14ac:dyDescent="0.25">
      <c r="Y20886" s="501"/>
    </row>
    <row r="20887" spans="25:25" hidden="1" x14ac:dyDescent="0.25">
      <c r="Y20887" s="501"/>
    </row>
    <row r="20888" spans="25:25" hidden="1" x14ac:dyDescent="0.25">
      <c r="Y20888" s="501"/>
    </row>
    <row r="20889" spans="25:25" hidden="1" x14ac:dyDescent="0.25">
      <c r="Y20889" s="501"/>
    </row>
    <row r="20890" spans="25:25" hidden="1" x14ac:dyDescent="0.25">
      <c r="Y20890" s="501"/>
    </row>
    <row r="20891" spans="25:25" hidden="1" x14ac:dyDescent="0.25">
      <c r="Y20891" s="501"/>
    </row>
    <row r="20892" spans="25:25" hidden="1" x14ac:dyDescent="0.25">
      <c r="Y20892" s="501"/>
    </row>
    <row r="20893" spans="25:25" hidden="1" x14ac:dyDescent="0.25">
      <c r="Y20893" s="501"/>
    </row>
    <row r="20894" spans="25:25" hidden="1" x14ac:dyDescent="0.25">
      <c r="Y20894" s="501"/>
    </row>
    <row r="20895" spans="25:25" hidden="1" x14ac:dyDescent="0.25">
      <c r="Y20895" s="501"/>
    </row>
    <row r="20896" spans="25:25" hidden="1" x14ac:dyDescent="0.25">
      <c r="Y20896" s="501"/>
    </row>
    <row r="20897" spans="25:25" hidden="1" x14ac:dyDescent="0.25">
      <c r="Y20897" s="501"/>
    </row>
    <row r="20898" spans="25:25" hidden="1" x14ac:dyDescent="0.25">
      <c r="Y20898" s="501"/>
    </row>
    <row r="20899" spans="25:25" hidden="1" x14ac:dyDescent="0.25">
      <c r="Y20899" s="501"/>
    </row>
    <row r="20900" spans="25:25" hidden="1" x14ac:dyDescent="0.25">
      <c r="Y20900" s="501"/>
    </row>
    <row r="20901" spans="25:25" hidden="1" x14ac:dyDescent="0.25">
      <c r="Y20901" s="501"/>
    </row>
    <row r="20902" spans="25:25" hidden="1" x14ac:dyDescent="0.25">
      <c r="Y20902" s="501"/>
    </row>
    <row r="20903" spans="25:25" hidden="1" x14ac:dyDescent="0.25">
      <c r="Y20903" s="501"/>
    </row>
    <row r="20904" spans="25:25" hidden="1" x14ac:dyDescent="0.25">
      <c r="Y20904" s="501"/>
    </row>
    <row r="20905" spans="25:25" hidden="1" x14ac:dyDescent="0.25">
      <c r="Y20905" s="501"/>
    </row>
    <row r="20906" spans="25:25" hidden="1" x14ac:dyDescent="0.25">
      <c r="Y20906" s="501"/>
    </row>
    <row r="20907" spans="25:25" hidden="1" x14ac:dyDescent="0.25">
      <c r="Y20907" s="501"/>
    </row>
    <row r="20908" spans="25:25" hidden="1" x14ac:dyDescent="0.25">
      <c r="Y20908" s="501"/>
    </row>
    <row r="20909" spans="25:25" hidden="1" x14ac:dyDescent="0.25">
      <c r="Y20909" s="501"/>
    </row>
    <row r="20910" spans="25:25" hidden="1" x14ac:dyDescent="0.25">
      <c r="Y20910" s="501"/>
    </row>
    <row r="20911" spans="25:25" hidden="1" x14ac:dyDescent="0.25">
      <c r="Y20911" s="501"/>
    </row>
    <row r="20912" spans="25:25" hidden="1" x14ac:dyDescent="0.25">
      <c r="Y20912" s="501"/>
    </row>
    <row r="20913" spans="25:25" hidden="1" x14ac:dyDescent="0.25">
      <c r="Y20913" s="501"/>
    </row>
    <row r="20914" spans="25:25" hidden="1" x14ac:dyDescent="0.25">
      <c r="Y20914" s="501"/>
    </row>
    <row r="20915" spans="25:25" hidden="1" x14ac:dyDescent="0.25">
      <c r="Y20915" s="501"/>
    </row>
    <row r="20916" spans="25:25" hidden="1" x14ac:dyDescent="0.25">
      <c r="Y20916" s="501"/>
    </row>
    <row r="20917" spans="25:25" hidden="1" x14ac:dyDescent="0.25">
      <c r="Y20917" s="501"/>
    </row>
    <row r="20918" spans="25:25" hidden="1" x14ac:dyDescent="0.25">
      <c r="Y20918" s="501"/>
    </row>
    <row r="20919" spans="25:25" hidden="1" x14ac:dyDescent="0.25">
      <c r="Y20919" s="501"/>
    </row>
    <row r="20920" spans="25:25" hidden="1" x14ac:dyDescent="0.25">
      <c r="Y20920" s="501"/>
    </row>
    <row r="20921" spans="25:25" hidden="1" x14ac:dyDescent="0.25">
      <c r="Y20921" s="501"/>
    </row>
    <row r="20922" spans="25:25" hidden="1" x14ac:dyDescent="0.25">
      <c r="Y20922" s="501"/>
    </row>
    <row r="20923" spans="25:25" hidden="1" x14ac:dyDescent="0.25">
      <c r="Y20923" s="501"/>
    </row>
    <row r="20924" spans="25:25" hidden="1" x14ac:dyDescent="0.25">
      <c r="Y20924" s="501"/>
    </row>
    <row r="20925" spans="25:25" hidden="1" x14ac:dyDescent="0.25">
      <c r="Y20925" s="501"/>
    </row>
    <row r="20926" spans="25:25" hidden="1" x14ac:dyDescent="0.25">
      <c r="Y20926" s="501"/>
    </row>
    <row r="20927" spans="25:25" hidden="1" x14ac:dyDescent="0.25">
      <c r="Y20927" s="501"/>
    </row>
    <row r="20928" spans="25:25" hidden="1" x14ac:dyDescent="0.25">
      <c r="Y20928" s="501"/>
    </row>
    <row r="20929" spans="25:25" hidden="1" x14ac:dyDescent="0.25">
      <c r="Y20929" s="501"/>
    </row>
    <row r="20930" spans="25:25" hidden="1" x14ac:dyDescent="0.25">
      <c r="Y20930" s="501"/>
    </row>
    <row r="20931" spans="25:25" hidden="1" x14ac:dyDescent="0.25">
      <c r="Y20931" s="501"/>
    </row>
    <row r="20932" spans="25:25" hidden="1" x14ac:dyDescent="0.25">
      <c r="Y20932" s="501"/>
    </row>
    <row r="20933" spans="25:25" hidden="1" x14ac:dyDescent="0.25">
      <c r="Y20933" s="501"/>
    </row>
    <row r="20934" spans="25:25" hidden="1" x14ac:dyDescent="0.25">
      <c r="Y20934" s="501"/>
    </row>
    <row r="20935" spans="25:25" hidden="1" x14ac:dyDescent="0.25">
      <c r="Y20935" s="501"/>
    </row>
    <row r="20936" spans="25:25" hidden="1" x14ac:dyDescent="0.25">
      <c r="Y20936" s="501"/>
    </row>
    <row r="20937" spans="25:25" hidden="1" x14ac:dyDescent="0.25">
      <c r="Y20937" s="501"/>
    </row>
    <row r="20938" spans="25:25" hidden="1" x14ac:dyDescent="0.25">
      <c r="Y20938" s="501"/>
    </row>
    <row r="20939" spans="25:25" hidden="1" x14ac:dyDescent="0.25">
      <c r="Y20939" s="501"/>
    </row>
    <row r="20940" spans="25:25" hidden="1" x14ac:dyDescent="0.25">
      <c r="Y20940" s="501"/>
    </row>
    <row r="20941" spans="25:25" hidden="1" x14ac:dyDescent="0.25">
      <c r="Y20941" s="501"/>
    </row>
    <row r="20942" spans="25:25" hidden="1" x14ac:dyDescent="0.25">
      <c r="Y20942" s="501"/>
    </row>
    <row r="20943" spans="25:25" hidden="1" x14ac:dyDescent="0.25">
      <c r="Y20943" s="501"/>
    </row>
    <row r="20944" spans="25:25" hidden="1" x14ac:dyDescent="0.25">
      <c r="Y20944" s="501"/>
    </row>
    <row r="20945" spans="25:25" hidden="1" x14ac:dyDescent="0.25">
      <c r="Y20945" s="501"/>
    </row>
    <row r="20946" spans="25:25" hidden="1" x14ac:dyDescent="0.25">
      <c r="Y20946" s="501"/>
    </row>
    <row r="20947" spans="25:25" hidden="1" x14ac:dyDescent="0.25">
      <c r="Y20947" s="501"/>
    </row>
    <row r="20948" spans="25:25" hidden="1" x14ac:dyDescent="0.25">
      <c r="Y20948" s="501"/>
    </row>
    <row r="20949" spans="25:25" hidden="1" x14ac:dyDescent="0.25">
      <c r="Y20949" s="501"/>
    </row>
    <row r="20950" spans="25:25" hidden="1" x14ac:dyDescent="0.25">
      <c r="Y20950" s="501"/>
    </row>
    <row r="20951" spans="25:25" hidden="1" x14ac:dyDescent="0.25">
      <c r="Y20951" s="501"/>
    </row>
    <row r="20952" spans="25:25" hidden="1" x14ac:dyDescent="0.25">
      <c r="Y20952" s="501"/>
    </row>
    <row r="20953" spans="25:25" hidden="1" x14ac:dyDescent="0.25">
      <c r="Y20953" s="501"/>
    </row>
    <row r="20954" spans="25:25" hidden="1" x14ac:dyDescent="0.25">
      <c r="Y20954" s="501"/>
    </row>
    <row r="20955" spans="25:25" hidden="1" x14ac:dyDescent="0.25">
      <c r="Y20955" s="501"/>
    </row>
    <row r="20956" spans="25:25" hidden="1" x14ac:dyDescent="0.25">
      <c r="Y20956" s="501"/>
    </row>
    <row r="20957" spans="25:25" hidden="1" x14ac:dyDescent="0.25">
      <c r="Y20957" s="501"/>
    </row>
    <row r="20958" spans="25:25" hidden="1" x14ac:dyDescent="0.25">
      <c r="Y20958" s="501"/>
    </row>
    <row r="20959" spans="25:25" hidden="1" x14ac:dyDescent="0.25">
      <c r="Y20959" s="501"/>
    </row>
    <row r="20960" spans="25:25" hidden="1" x14ac:dyDescent="0.25">
      <c r="Y20960" s="501"/>
    </row>
    <row r="20961" spans="25:25" hidden="1" x14ac:dyDescent="0.25">
      <c r="Y20961" s="501"/>
    </row>
    <row r="20962" spans="25:25" hidden="1" x14ac:dyDescent="0.25">
      <c r="Y20962" s="501"/>
    </row>
    <row r="20963" spans="25:25" hidden="1" x14ac:dyDescent="0.25">
      <c r="Y20963" s="501"/>
    </row>
    <row r="20964" spans="25:25" hidden="1" x14ac:dyDescent="0.25">
      <c r="Y20964" s="501"/>
    </row>
    <row r="20965" spans="25:25" hidden="1" x14ac:dyDescent="0.25">
      <c r="Y20965" s="501"/>
    </row>
    <row r="20966" spans="25:25" hidden="1" x14ac:dyDescent="0.25">
      <c r="Y20966" s="501"/>
    </row>
    <row r="20967" spans="25:25" hidden="1" x14ac:dyDescent="0.25">
      <c r="Y20967" s="501"/>
    </row>
    <row r="20968" spans="25:25" hidden="1" x14ac:dyDescent="0.25">
      <c r="Y20968" s="501"/>
    </row>
    <row r="20969" spans="25:25" hidden="1" x14ac:dyDescent="0.25">
      <c r="Y20969" s="501"/>
    </row>
    <row r="20970" spans="25:25" hidden="1" x14ac:dyDescent="0.25">
      <c r="Y20970" s="501"/>
    </row>
    <row r="20971" spans="25:25" hidden="1" x14ac:dyDescent="0.25">
      <c r="Y20971" s="501"/>
    </row>
    <row r="20972" spans="25:25" hidden="1" x14ac:dyDescent="0.25">
      <c r="Y20972" s="501"/>
    </row>
    <row r="20973" spans="25:25" hidden="1" x14ac:dyDescent="0.25">
      <c r="Y20973" s="501"/>
    </row>
    <row r="20974" spans="25:25" hidden="1" x14ac:dyDescent="0.25">
      <c r="Y20974" s="501"/>
    </row>
    <row r="20975" spans="25:25" hidden="1" x14ac:dyDescent="0.25">
      <c r="Y20975" s="501"/>
    </row>
    <row r="20976" spans="25:25" hidden="1" x14ac:dyDescent="0.25">
      <c r="Y20976" s="501"/>
    </row>
    <row r="20977" spans="25:25" hidden="1" x14ac:dyDescent="0.25">
      <c r="Y20977" s="501"/>
    </row>
    <row r="20978" spans="25:25" hidden="1" x14ac:dyDescent="0.25">
      <c r="Y20978" s="501"/>
    </row>
    <row r="20979" spans="25:25" hidden="1" x14ac:dyDescent="0.25">
      <c r="Y20979" s="501"/>
    </row>
    <row r="20980" spans="25:25" hidden="1" x14ac:dyDescent="0.25">
      <c r="Y20980" s="501"/>
    </row>
    <row r="20981" spans="25:25" hidden="1" x14ac:dyDescent="0.25">
      <c r="Y20981" s="501"/>
    </row>
    <row r="20982" spans="25:25" hidden="1" x14ac:dyDescent="0.25">
      <c r="Y20982" s="501"/>
    </row>
    <row r="20983" spans="25:25" hidden="1" x14ac:dyDescent="0.25">
      <c r="Y20983" s="501"/>
    </row>
    <row r="20984" spans="25:25" hidden="1" x14ac:dyDescent="0.25">
      <c r="Y20984" s="501"/>
    </row>
    <row r="20985" spans="25:25" hidden="1" x14ac:dyDescent="0.25">
      <c r="Y20985" s="501"/>
    </row>
    <row r="20986" spans="25:25" hidden="1" x14ac:dyDescent="0.25">
      <c r="Y20986" s="501"/>
    </row>
    <row r="20987" spans="25:25" hidden="1" x14ac:dyDescent="0.25">
      <c r="Y20987" s="501"/>
    </row>
    <row r="20988" spans="25:25" hidden="1" x14ac:dyDescent="0.25">
      <c r="Y20988" s="501"/>
    </row>
    <row r="20989" spans="25:25" hidden="1" x14ac:dyDescent="0.25">
      <c r="Y20989" s="501"/>
    </row>
    <row r="20990" spans="25:25" hidden="1" x14ac:dyDescent="0.25">
      <c r="Y20990" s="501"/>
    </row>
    <row r="20991" spans="25:25" hidden="1" x14ac:dyDescent="0.25">
      <c r="Y20991" s="501"/>
    </row>
    <row r="20992" spans="25:25" hidden="1" x14ac:dyDescent="0.25">
      <c r="Y20992" s="501"/>
    </row>
    <row r="20993" spans="25:25" hidden="1" x14ac:dyDescent="0.25">
      <c r="Y20993" s="501"/>
    </row>
    <row r="20994" spans="25:25" hidden="1" x14ac:dyDescent="0.25">
      <c r="Y20994" s="501"/>
    </row>
    <row r="20995" spans="25:25" hidden="1" x14ac:dyDescent="0.25">
      <c r="Y20995" s="501"/>
    </row>
    <row r="20996" spans="25:25" hidden="1" x14ac:dyDescent="0.25">
      <c r="Y20996" s="501"/>
    </row>
    <row r="20997" spans="25:25" hidden="1" x14ac:dyDescent="0.25">
      <c r="Y20997" s="501"/>
    </row>
    <row r="20998" spans="25:25" hidden="1" x14ac:dyDescent="0.25">
      <c r="Y20998" s="501"/>
    </row>
    <row r="20999" spans="25:25" hidden="1" x14ac:dyDescent="0.25">
      <c r="Y20999" s="501"/>
    </row>
    <row r="21000" spans="25:25" hidden="1" x14ac:dyDescent="0.25">
      <c r="Y21000" s="501"/>
    </row>
    <row r="21001" spans="25:25" hidden="1" x14ac:dyDescent="0.25">
      <c r="Y21001" s="501"/>
    </row>
    <row r="21002" spans="25:25" hidden="1" x14ac:dyDescent="0.25">
      <c r="Y21002" s="501"/>
    </row>
    <row r="21003" spans="25:25" hidden="1" x14ac:dyDescent="0.25">
      <c r="Y21003" s="501"/>
    </row>
    <row r="21004" spans="25:25" hidden="1" x14ac:dyDescent="0.25">
      <c r="Y21004" s="501"/>
    </row>
    <row r="21005" spans="25:25" hidden="1" x14ac:dyDescent="0.25">
      <c r="Y21005" s="501"/>
    </row>
    <row r="21006" spans="25:25" hidden="1" x14ac:dyDescent="0.25">
      <c r="Y21006" s="501"/>
    </row>
    <row r="21007" spans="25:25" hidden="1" x14ac:dyDescent="0.25">
      <c r="Y21007" s="501"/>
    </row>
    <row r="21008" spans="25:25" hidden="1" x14ac:dyDescent="0.25">
      <c r="Y21008" s="501"/>
    </row>
    <row r="21009" spans="25:25" hidden="1" x14ac:dyDescent="0.25">
      <c r="Y21009" s="501"/>
    </row>
    <row r="21010" spans="25:25" hidden="1" x14ac:dyDescent="0.25">
      <c r="Y21010" s="501"/>
    </row>
    <row r="21011" spans="25:25" hidden="1" x14ac:dyDescent="0.25">
      <c r="Y21011" s="501"/>
    </row>
    <row r="21012" spans="25:25" hidden="1" x14ac:dyDescent="0.25">
      <c r="Y21012" s="501"/>
    </row>
    <row r="21013" spans="25:25" hidden="1" x14ac:dyDescent="0.25">
      <c r="Y21013" s="501"/>
    </row>
    <row r="21014" spans="25:25" hidden="1" x14ac:dyDescent="0.25">
      <c r="Y21014" s="501"/>
    </row>
    <row r="21015" spans="25:25" hidden="1" x14ac:dyDescent="0.25">
      <c r="Y21015" s="501"/>
    </row>
    <row r="21016" spans="25:25" hidden="1" x14ac:dyDescent="0.25">
      <c r="Y21016" s="501"/>
    </row>
    <row r="21017" spans="25:25" hidden="1" x14ac:dyDescent="0.25">
      <c r="Y21017" s="501"/>
    </row>
    <row r="21018" spans="25:25" hidden="1" x14ac:dyDescent="0.25">
      <c r="Y21018" s="501"/>
    </row>
    <row r="21019" spans="25:25" hidden="1" x14ac:dyDescent="0.25">
      <c r="Y21019" s="501"/>
    </row>
    <row r="21020" spans="25:25" hidden="1" x14ac:dyDescent="0.25">
      <c r="Y21020" s="501"/>
    </row>
    <row r="21021" spans="25:25" hidden="1" x14ac:dyDescent="0.25">
      <c r="Y21021" s="501"/>
    </row>
    <row r="21022" spans="25:25" hidden="1" x14ac:dyDescent="0.25">
      <c r="Y21022" s="501"/>
    </row>
    <row r="21023" spans="25:25" hidden="1" x14ac:dyDescent="0.25">
      <c r="Y21023" s="501"/>
    </row>
    <row r="21024" spans="25:25" hidden="1" x14ac:dyDescent="0.25">
      <c r="Y21024" s="501"/>
    </row>
    <row r="21025" spans="25:25" hidden="1" x14ac:dyDescent="0.25">
      <c r="Y21025" s="501"/>
    </row>
    <row r="21026" spans="25:25" hidden="1" x14ac:dyDescent="0.25">
      <c r="Y21026" s="501"/>
    </row>
    <row r="21027" spans="25:25" hidden="1" x14ac:dyDescent="0.25">
      <c r="Y21027" s="501"/>
    </row>
    <row r="21028" spans="25:25" hidden="1" x14ac:dyDescent="0.25">
      <c r="Y21028" s="501"/>
    </row>
    <row r="21029" spans="25:25" hidden="1" x14ac:dyDescent="0.25">
      <c r="Y21029" s="501"/>
    </row>
    <row r="21030" spans="25:25" hidden="1" x14ac:dyDescent="0.25">
      <c r="Y21030" s="501"/>
    </row>
    <row r="21031" spans="25:25" hidden="1" x14ac:dyDescent="0.25">
      <c r="Y21031" s="501"/>
    </row>
    <row r="21032" spans="25:25" hidden="1" x14ac:dyDescent="0.25">
      <c r="Y21032" s="501"/>
    </row>
    <row r="21033" spans="25:25" hidden="1" x14ac:dyDescent="0.25">
      <c r="Y21033" s="501"/>
    </row>
    <row r="21034" spans="25:25" hidden="1" x14ac:dyDescent="0.25">
      <c r="Y21034" s="501"/>
    </row>
    <row r="21035" spans="25:25" hidden="1" x14ac:dyDescent="0.25">
      <c r="Y21035" s="501"/>
    </row>
    <row r="21036" spans="25:25" hidden="1" x14ac:dyDescent="0.25">
      <c r="Y21036" s="501"/>
    </row>
    <row r="21037" spans="25:25" hidden="1" x14ac:dyDescent="0.25">
      <c r="Y21037" s="501"/>
    </row>
    <row r="21038" spans="25:25" hidden="1" x14ac:dyDescent="0.25">
      <c r="Y21038" s="501"/>
    </row>
    <row r="21039" spans="25:25" hidden="1" x14ac:dyDescent="0.25">
      <c r="Y21039" s="501"/>
    </row>
    <row r="21040" spans="25:25" hidden="1" x14ac:dyDescent="0.25">
      <c r="Y21040" s="501"/>
    </row>
    <row r="21041" spans="25:25" hidden="1" x14ac:dyDescent="0.25">
      <c r="Y21041" s="501"/>
    </row>
    <row r="21042" spans="25:25" hidden="1" x14ac:dyDescent="0.25">
      <c r="Y21042" s="501"/>
    </row>
    <row r="21043" spans="25:25" hidden="1" x14ac:dyDescent="0.25">
      <c r="Y21043" s="501"/>
    </row>
    <row r="21044" spans="25:25" hidden="1" x14ac:dyDescent="0.25">
      <c r="Y21044" s="501"/>
    </row>
    <row r="21045" spans="25:25" hidden="1" x14ac:dyDescent="0.25">
      <c r="Y21045" s="501"/>
    </row>
    <row r="21046" spans="25:25" hidden="1" x14ac:dyDescent="0.25">
      <c r="Y21046" s="501"/>
    </row>
    <row r="21047" spans="25:25" hidden="1" x14ac:dyDescent="0.25">
      <c r="Y21047" s="501"/>
    </row>
    <row r="21048" spans="25:25" hidden="1" x14ac:dyDescent="0.25">
      <c r="Y21048" s="501"/>
    </row>
    <row r="21049" spans="25:25" hidden="1" x14ac:dyDescent="0.25">
      <c r="Y21049" s="501"/>
    </row>
    <row r="21050" spans="25:25" hidden="1" x14ac:dyDescent="0.25">
      <c r="Y21050" s="501"/>
    </row>
    <row r="21051" spans="25:25" hidden="1" x14ac:dyDescent="0.25">
      <c r="Y21051" s="501"/>
    </row>
    <row r="21052" spans="25:25" hidden="1" x14ac:dyDescent="0.25">
      <c r="Y21052" s="501"/>
    </row>
    <row r="21053" spans="25:25" hidden="1" x14ac:dyDescent="0.25">
      <c r="Y21053" s="501"/>
    </row>
    <row r="21054" spans="25:25" hidden="1" x14ac:dyDescent="0.25">
      <c r="Y21054" s="501"/>
    </row>
    <row r="21055" spans="25:25" hidden="1" x14ac:dyDescent="0.25">
      <c r="Y21055" s="501"/>
    </row>
    <row r="21056" spans="25:25" hidden="1" x14ac:dyDescent="0.25">
      <c r="Y21056" s="501"/>
    </row>
    <row r="21057" spans="25:25" hidden="1" x14ac:dyDescent="0.25">
      <c r="Y21057" s="501"/>
    </row>
    <row r="21058" spans="25:25" hidden="1" x14ac:dyDescent="0.25">
      <c r="Y21058" s="501"/>
    </row>
    <row r="21059" spans="25:25" hidden="1" x14ac:dyDescent="0.25">
      <c r="Y21059" s="501"/>
    </row>
    <row r="21060" spans="25:25" hidden="1" x14ac:dyDescent="0.25">
      <c r="Y21060" s="501"/>
    </row>
    <row r="21061" spans="25:25" hidden="1" x14ac:dyDescent="0.25">
      <c r="Y21061" s="501"/>
    </row>
    <row r="21062" spans="25:25" hidden="1" x14ac:dyDescent="0.25">
      <c r="Y21062" s="501"/>
    </row>
    <row r="21063" spans="25:25" hidden="1" x14ac:dyDescent="0.25">
      <c r="Y21063" s="501"/>
    </row>
    <row r="21064" spans="25:25" hidden="1" x14ac:dyDescent="0.25">
      <c r="Y21064" s="501"/>
    </row>
    <row r="21065" spans="25:25" hidden="1" x14ac:dyDescent="0.25">
      <c r="Y21065" s="501"/>
    </row>
    <row r="21066" spans="25:25" hidden="1" x14ac:dyDescent="0.25">
      <c r="Y21066" s="501"/>
    </row>
    <row r="21067" spans="25:25" hidden="1" x14ac:dyDescent="0.25">
      <c r="Y21067" s="501"/>
    </row>
    <row r="21068" spans="25:25" hidden="1" x14ac:dyDescent="0.25">
      <c r="Y21068" s="501"/>
    </row>
    <row r="21069" spans="25:25" hidden="1" x14ac:dyDescent="0.25">
      <c r="Y21069" s="501"/>
    </row>
    <row r="21070" spans="25:25" hidden="1" x14ac:dyDescent="0.25">
      <c r="Y21070" s="501"/>
    </row>
    <row r="21071" spans="25:25" hidden="1" x14ac:dyDescent="0.25">
      <c r="Y21071" s="501"/>
    </row>
    <row r="21072" spans="25:25" hidden="1" x14ac:dyDescent="0.25">
      <c r="Y21072" s="501"/>
    </row>
    <row r="21073" spans="25:25" hidden="1" x14ac:dyDescent="0.25">
      <c r="Y21073" s="501"/>
    </row>
    <row r="21074" spans="25:25" hidden="1" x14ac:dyDescent="0.25">
      <c r="Y21074" s="501"/>
    </row>
    <row r="21075" spans="25:25" hidden="1" x14ac:dyDescent="0.25">
      <c r="Y21075" s="501"/>
    </row>
    <row r="21076" spans="25:25" hidden="1" x14ac:dyDescent="0.25">
      <c r="Y21076" s="501"/>
    </row>
    <row r="21077" spans="25:25" hidden="1" x14ac:dyDescent="0.25">
      <c r="Y21077" s="501"/>
    </row>
    <row r="21078" spans="25:25" hidden="1" x14ac:dyDescent="0.25">
      <c r="Y21078" s="501"/>
    </row>
    <row r="21079" spans="25:25" hidden="1" x14ac:dyDescent="0.25">
      <c r="Y21079" s="501"/>
    </row>
    <row r="21080" spans="25:25" hidden="1" x14ac:dyDescent="0.25">
      <c r="Y21080" s="501"/>
    </row>
    <row r="21081" spans="25:25" hidden="1" x14ac:dyDescent="0.25">
      <c r="Y21081" s="501"/>
    </row>
    <row r="21082" spans="25:25" hidden="1" x14ac:dyDescent="0.25">
      <c r="Y21082" s="501"/>
    </row>
    <row r="21083" spans="25:25" hidden="1" x14ac:dyDescent="0.25">
      <c r="Y21083" s="501"/>
    </row>
    <row r="21084" spans="25:25" hidden="1" x14ac:dyDescent="0.25">
      <c r="Y21084" s="501"/>
    </row>
    <row r="21085" spans="25:25" hidden="1" x14ac:dyDescent="0.25">
      <c r="Y21085" s="501"/>
    </row>
    <row r="21086" spans="25:25" hidden="1" x14ac:dyDescent="0.25">
      <c r="Y21086" s="501"/>
    </row>
    <row r="21087" spans="25:25" hidden="1" x14ac:dyDescent="0.25">
      <c r="Y21087" s="501"/>
    </row>
    <row r="21088" spans="25:25" hidden="1" x14ac:dyDescent="0.25">
      <c r="Y21088" s="501"/>
    </row>
    <row r="21089" spans="25:25" hidden="1" x14ac:dyDescent="0.25">
      <c r="Y21089" s="501"/>
    </row>
    <row r="21090" spans="25:25" hidden="1" x14ac:dyDescent="0.25">
      <c r="Y21090" s="501"/>
    </row>
    <row r="21091" spans="25:25" hidden="1" x14ac:dyDescent="0.25">
      <c r="Y21091" s="501"/>
    </row>
    <row r="21092" spans="25:25" hidden="1" x14ac:dyDescent="0.25">
      <c r="Y21092" s="501"/>
    </row>
    <row r="21093" spans="25:25" hidden="1" x14ac:dyDescent="0.25">
      <c r="Y21093" s="501"/>
    </row>
    <row r="21094" spans="25:25" hidden="1" x14ac:dyDescent="0.25">
      <c r="Y21094" s="501"/>
    </row>
    <row r="21095" spans="25:25" hidden="1" x14ac:dyDescent="0.25">
      <c r="Y21095" s="501"/>
    </row>
    <row r="21096" spans="25:25" hidden="1" x14ac:dyDescent="0.25">
      <c r="Y21096" s="501"/>
    </row>
    <row r="21097" spans="25:25" hidden="1" x14ac:dyDescent="0.25">
      <c r="Y21097" s="501"/>
    </row>
    <row r="21098" spans="25:25" hidden="1" x14ac:dyDescent="0.25">
      <c r="Y21098" s="501"/>
    </row>
    <row r="21099" spans="25:25" hidden="1" x14ac:dyDescent="0.25">
      <c r="Y21099" s="501"/>
    </row>
    <row r="21100" spans="25:25" hidden="1" x14ac:dyDescent="0.25">
      <c r="Y21100" s="501"/>
    </row>
    <row r="21101" spans="25:25" hidden="1" x14ac:dyDescent="0.25">
      <c r="Y21101" s="501"/>
    </row>
    <row r="21102" spans="25:25" hidden="1" x14ac:dyDescent="0.25">
      <c r="Y21102" s="501"/>
    </row>
    <row r="21103" spans="25:25" hidden="1" x14ac:dyDescent="0.25">
      <c r="Y21103" s="501"/>
    </row>
    <row r="21104" spans="25:25" hidden="1" x14ac:dyDescent="0.25">
      <c r="Y21104" s="501"/>
    </row>
    <row r="21105" spans="25:25" hidden="1" x14ac:dyDescent="0.25">
      <c r="Y21105" s="501"/>
    </row>
    <row r="21106" spans="25:25" hidden="1" x14ac:dyDescent="0.25">
      <c r="Y21106" s="501"/>
    </row>
    <row r="21107" spans="25:25" hidden="1" x14ac:dyDescent="0.25">
      <c r="Y21107" s="501"/>
    </row>
    <row r="21108" spans="25:25" hidden="1" x14ac:dyDescent="0.25">
      <c r="Y21108" s="501"/>
    </row>
    <row r="21109" spans="25:25" hidden="1" x14ac:dyDescent="0.25">
      <c r="Y21109" s="501"/>
    </row>
    <row r="21110" spans="25:25" hidden="1" x14ac:dyDescent="0.25">
      <c r="Y21110" s="501"/>
    </row>
    <row r="21111" spans="25:25" hidden="1" x14ac:dyDescent="0.25">
      <c r="Y21111" s="501"/>
    </row>
    <row r="21112" spans="25:25" hidden="1" x14ac:dyDescent="0.25">
      <c r="Y21112" s="501"/>
    </row>
    <row r="21113" spans="25:25" hidden="1" x14ac:dyDescent="0.25">
      <c r="Y21113" s="501"/>
    </row>
    <row r="21114" spans="25:25" hidden="1" x14ac:dyDescent="0.25">
      <c r="Y21114" s="501"/>
    </row>
    <row r="21115" spans="25:25" hidden="1" x14ac:dyDescent="0.25">
      <c r="Y21115" s="501"/>
    </row>
    <row r="21116" spans="25:25" hidden="1" x14ac:dyDescent="0.25">
      <c r="Y21116" s="501"/>
    </row>
    <row r="21117" spans="25:25" hidden="1" x14ac:dyDescent="0.25">
      <c r="Y21117" s="501"/>
    </row>
    <row r="21118" spans="25:25" hidden="1" x14ac:dyDescent="0.25">
      <c r="Y21118" s="501"/>
    </row>
    <row r="21119" spans="25:25" hidden="1" x14ac:dyDescent="0.25">
      <c r="Y21119" s="501"/>
    </row>
    <row r="21120" spans="25:25" hidden="1" x14ac:dyDescent="0.25">
      <c r="Y21120" s="501"/>
    </row>
    <row r="21121" spans="25:25" hidden="1" x14ac:dyDescent="0.25">
      <c r="Y21121" s="501"/>
    </row>
    <row r="21122" spans="25:25" hidden="1" x14ac:dyDescent="0.25">
      <c r="Y21122" s="501"/>
    </row>
    <row r="21123" spans="25:25" hidden="1" x14ac:dyDescent="0.25">
      <c r="Y21123" s="501"/>
    </row>
    <row r="21124" spans="25:25" hidden="1" x14ac:dyDescent="0.25">
      <c r="Y21124" s="501"/>
    </row>
    <row r="21125" spans="25:25" hidden="1" x14ac:dyDescent="0.25">
      <c r="Y21125" s="501"/>
    </row>
    <row r="21126" spans="25:25" hidden="1" x14ac:dyDescent="0.25">
      <c r="Y21126" s="501"/>
    </row>
    <row r="21127" spans="25:25" hidden="1" x14ac:dyDescent="0.25">
      <c r="Y21127" s="501"/>
    </row>
    <row r="21128" spans="25:25" hidden="1" x14ac:dyDescent="0.25">
      <c r="Y21128" s="501"/>
    </row>
    <row r="21129" spans="25:25" hidden="1" x14ac:dyDescent="0.25">
      <c r="Y21129" s="501"/>
    </row>
    <row r="21130" spans="25:25" hidden="1" x14ac:dyDescent="0.25">
      <c r="Y21130" s="501"/>
    </row>
    <row r="21131" spans="25:25" hidden="1" x14ac:dyDescent="0.25">
      <c r="Y21131" s="501"/>
    </row>
    <row r="21132" spans="25:25" hidden="1" x14ac:dyDescent="0.25">
      <c r="Y21132" s="501"/>
    </row>
    <row r="21133" spans="25:25" hidden="1" x14ac:dyDescent="0.25">
      <c r="Y21133" s="501"/>
    </row>
    <row r="21134" spans="25:25" hidden="1" x14ac:dyDescent="0.25">
      <c r="Y21134" s="501"/>
    </row>
    <row r="21135" spans="25:25" hidden="1" x14ac:dyDescent="0.25">
      <c r="Y21135" s="501"/>
    </row>
    <row r="21136" spans="25:25" hidden="1" x14ac:dyDescent="0.25">
      <c r="Y21136" s="501"/>
    </row>
    <row r="21137" spans="25:25" hidden="1" x14ac:dyDescent="0.25">
      <c r="Y21137" s="501"/>
    </row>
    <row r="21138" spans="25:25" hidden="1" x14ac:dyDescent="0.25">
      <c r="Y21138" s="501"/>
    </row>
    <row r="21139" spans="25:25" hidden="1" x14ac:dyDescent="0.25">
      <c r="Y21139" s="501"/>
    </row>
    <row r="21140" spans="25:25" hidden="1" x14ac:dyDescent="0.25">
      <c r="Y21140" s="501"/>
    </row>
    <row r="21141" spans="25:25" hidden="1" x14ac:dyDescent="0.25">
      <c r="Y21141" s="501"/>
    </row>
    <row r="21142" spans="25:25" hidden="1" x14ac:dyDescent="0.25">
      <c r="Y21142" s="501"/>
    </row>
    <row r="21143" spans="25:25" hidden="1" x14ac:dyDescent="0.25">
      <c r="Y21143" s="501"/>
    </row>
    <row r="21144" spans="25:25" hidden="1" x14ac:dyDescent="0.25">
      <c r="Y21144" s="501"/>
    </row>
    <row r="21145" spans="25:25" hidden="1" x14ac:dyDescent="0.25">
      <c r="Y21145" s="501"/>
    </row>
    <row r="21146" spans="25:25" hidden="1" x14ac:dyDescent="0.25">
      <c r="Y21146" s="501"/>
    </row>
    <row r="21147" spans="25:25" hidden="1" x14ac:dyDescent="0.25">
      <c r="Y21147" s="501"/>
    </row>
    <row r="21148" spans="25:25" hidden="1" x14ac:dyDescent="0.25">
      <c r="Y21148" s="501"/>
    </row>
    <row r="21149" spans="25:25" hidden="1" x14ac:dyDescent="0.25">
      <c r="Y21149" s="501"/>
    </row>
    <row r="21150" spans="25:25" hidden="1" x14ac:dyDescent="0.25">
      <c r="Y21150" s="501"/>
    </row>
    <row r="21151" spans="25:25" hidden="1" x14ac:dyDescent="0.25">
      <c r="Y21151" s="501"/>
    </row>
    <row r="21152" spans="25:25" hidden="1" x14ac:dyDescent="0.25">
      <c r="Y21152" s="501"/>
    </row>
    <row r="21153" spans="25:25" hidden="1" x14ac:dyDescent="0.25">
      <c r="Y21153" s="501"/>
    </row>
    <row r="21154" spans="25:25" hidden="1" x14ac:dyDescent="0.25">
      <c r="Y21154" s="501"/>
    </row>
    <row r="21155" spans="25:25" hidden="1" x14ac:dyDescent="0.25">
      <c r="Y21155" s="501"/>
    </row>
    <row r="21156" spans="25:25" hidden="1" x14ac:dyDescent="0.25">
      <c r="Y21156" s="501"/>
    </row>
    <row r="21157" spans="25:25" hidden="1" x14ac:dyDescent="0.25">
      <c r="Y21157" s="501"/>
    </row>
    <row r="21158" spans="25:25" hidden="1" x14ac:dyDescent="0.25">
      <c r="Y21158" s="501"/>
    </row>
    <row r="21159" spans="25:25" hidden="1" x14ac:dyDescent="0.25">
      <c r="Y21159" s="501"/>
    </row>
    <row r="21160" spans="25:25" hidden="1" x14ac:dyDescent="0.25">
      <c r="Y21160" s="501"/>
    </row>
    <row r="21161" spans="25:25" hidden="1" x14ac:dyDescent="0.25">
      <c r="Y21161" s="501"/>
    </row>
    <row r="21162" spans="25:25" hidden="1" x14ac:dyDescent="0.25">
      <c r="Y21162" s="501"/>
    </row>
    <row r="21163" spans="25:25" hidden="1" x14ac:dyDescent="0.25">
      <c r="Y21163" s="501"/>
    </row>
    <row r="21164" spans="25:25" hidden="1" x14ac:dyDescent="0.25">
      <c r="Y21164" s="501"/>
    </row>
    <row r="21165" spans="25:25" hidden="1" x14ac:dyDescent="0.25">
      <c r="Y21165" s="501"/>
    </row>
    <row r="21166" spans="25:25" hidden="1" x14ac:dyDescent="0.25">
      <c r="Y21166" s="501"/>
    </row>
    <row r="21167" spans="25:25" hidden="1" x14ac:dyDescent="0.25">
      <c r="Y21167" s="501"/>
    </row>
    <row r="21168" spans="25:25" hidden="1" x14ac:dyDescent="0.25">
      <c r="Y21168" s="501"/>
    </row>
    <row r="21169" spans="25:25" hidden="1" x14ac:dyDescent="0.25">
      <c r="Y21169" s="501"/>
    </row>
    <row r="21170" spans="25:25" hidden="1" x14ac:dyDescent="0.25">
      <c r="Y21170" s="501"/>
    </row>
    <row r="21171" spans="25:25" hidden="1" x14ac:dyDescent="0.25">
      <c r="Y21171" s="501"/>
    </row>
    <row r="21172" spans="25:25" hidden="1" x14ac:dyDescent="0.25">
      <c r="Y21172" s="501"/>
    </row>
    <row r="21173" spans="25:25" hidden="1" x14ac:dyDescent="0.25">
      <c r="Y21173" s="501"/>
    </row>
    <row r="21174" spans="25:25" hidden="1" x14ac:dyDescent="0.25">
      <c r="Y21174" s="501"/>
    </row>
    <row r="21175" spans="25:25" hidden="1" x14ac:dyDescent="0.25">
      <c r="Y21175" s="501"/>
    </row>
    <row r="21176" spans="25:25" hidden="1" x14ac:dyDescent="0.25">
      <c r="Y21176" s="501"/>
    </row>
    <row r="21177" spans="25:25" hidden="1" x14ac:dyDescent="0.25">
      <c r="Y21177" s="501"/>
    </row>
    <row r="21178" spans="25:25" hidden="1" x14ac:dyDescent="0.25">
      <c r="Y21178" s="501"/>
    </row>
    <row r="21179" spans="25:25" hidden="1" x14ac:dyDescent="0.25">
      <c r="Y21179" s="501"/>
    </row>
    <row r="21180" spans="25:25" hidden="1" x14ac:dyDescent="0.25">
      <c r="Y21180" s="501"/>
    </row>
    <row r="21181" spans="25:25" hidden="1" x14ac:dyDescent="0.25">
      <c r="Y21181" s="501"/>
    </row>
    <row r="21182" spans="25:25" hidden="1" x14ac:dyDescent="0.25">
      <c r="Y21182" s="501"/>
    </row>
    <row r="21183" spans="25:25" hidden="1" x14ac:dyDescent="0.25">
      <c r="Y21183" s="501"/>
    </row>
    <row r="21184" spans="25:25" hidden="1" x14ac:dyDescent="0.25">
      <c r="Y21184" s="501"/>
    </row>
    <row r="21185" spans="25:25" hidden="1" x14ac:dyDescent="0.25">
      <c r="Y21185" s="501"/>
    </row>
    <row r="21186" spans="25:25" hidden="1" x14ac:dyDescent="0.25">
      <c r="Y21186" s="501"/>
    </row>
    <row r="21187" spans="25:25" hidden="1" x14ac:dyDescent="0.25">
      <c r="Y21187" s="501"/>
    </row>
    <row r="21188" spans="25:25" hidden="1" x14ac:dyDescent="0.25">
      <c r="Y21188" s="501"/>
    </row>
    <row r="21189" spans="25:25" hidden="1" x14ac:dyDescent="0.25">
      <c r="Y21189" s="501"/>
    </row>
    <row r="21190" spans="25:25" hidden="1" x14ac:dyDescent="0.25">
      <c r="Y21190" s="501"/>
    </row>
    <row r="21191" spans="25:25" hidden="1" x14ac:dyDescent="0.25">
      <c r="Y21191" s="501"/>
    </row>
    <row r="21192" spans="25:25" hidden="1" x14ac:dyDescent="0.25">
      <c r="Y21192" s="501"/>
    </row>
    <row r="21193" spans="25:25" hidden="1" x14ac:dyDescent="0.25">
      <c r="Y21193" s="501"/>
    </row>
    <row r="21194" spans="25:25" hidden="1" x14ac:dyDescent="0.25">
      <c r="Y21194" s="501"/>
    </row>
    <row r="21195" spans="25:25" hidden="1" x14ac:dyDescent="0.25">
      <c r="Y21195" s="501"/>
    </row>
    <row r="21196" spans="25:25" hidden="1" x14ac:dyDescent="0.25">
      <c r="Y21196" s="501"/>
    </row>
    <row r="21197" spans="25:25" hidden="1" x14ac:dyDescent="0.25">
      <c r="Y21197" s="501"/>
    </row>
    <row r="21198" spans="25:25" hidden="1" x14ac:dyDescent="0.25">
      <c r="Y21198" s="501"/>
    </row>
    <row r="21199" spans="25:25" hidden="1" x14ac:dyDescent="0.25">
      <c r="Y21199" s="501"/>
    </row>
    <row r="21200" spans="25:25" hidden="1" x14ac:dyDescent="0.25">
      <c r="Y21200" s="501"/>
    </row>
    <row r="21201" spans="25:25" hidden="1" x14ac:dyDescent="0.25">
      <c r="Y21201" s="501"/>
    </row>
    <row r="21202" spans="25:25" hidden="1" x14ac:dyDescent="0.25">
      <c r="Y21202" s="501"/>
    </row>
    <row r="21203" spans="25:25" hidden="1" x14ac:dyDescent="0.25">
      <c r="Y21203" s="501"/>
    </row>
    <row r="21204" spans="25:25" hidden="1" x14ac:dyDescent="0.25">
      <c r="Y21204" s="501"/>
    </row>
    <row r="21205" spans="25:25" hidden="1" x14ac:dyDescent="0.25">
      <c r="Y21205" s="501"/>
    </row>
    <row r="21206" spans="25:25" hidden="1" x14ac:dyDescent="0.25">
      <c r="Y21206" s="501"/>
    </row>
    <row r="21207" spans="25:25" hidden="1" x14ac:dyDescent="0.25">
      <c r="Y21207" s="501"/>
    </row>
    <row r="21208" spans="25:25" hidden="1" x14ac:dyDescent="0.25">
      <c r="Y21208" s="501"/>
    </row>
    <row r="21209" spans="25:25" hidden="1" x14ac:dyDescent="0.25">
      <c r="Y21209" s="501"/>
    </row>
    <row r="21210" spans="25:25" hidden="1" x14ac:dyDescent="0.25">
      <c r="Y21210" s="501"/>
    </row>
    <row r="21211" spans="25:25" hidden="1" x14ac:dyDescent="0.25">
      <c r="Y21211" s="501"/>
    </row>
    <row r="21212" spans="25:25" hidden="1" x14ac:dyDescent="0.25">
      <c r="Y21212" s="501"/>
    </row>
    <row r="21213" spans="25:25" hidden="1" x14ac:dyDescent="0.25">
      <c r="Y21213" s="501"/>
    </row>
    <row r="21214" spans="25:25" hidden="1" x14ac:dyDescent="0.25">
      <c r="Y21214" s="501"/>
    </row>
    <row r="21215" spans="25:25" hidden="1" x14ac:dyDescent="0.25">
      <c r="Y21215" s="501"/>
    </row>
    <row r="21216" spans="25:25" hidden="1" x14ac:dyDescent="0.25">
      <c r="Y21216" s="501"/>
    </row>
    <row r="21217" spans="25:25" hidden="1" x14ac:dyDescent="0.25">
      <c r="Y21217" s="501"/>
    </row>
    <row r="21218" spans="25:25" hidden="1" x14ac:dyDescent="0.25">
      <c r="Y21218" s="501"/>
    </row>
    <row r="21219" spans="25:25" hidden="1" x14ac:dyDescent="0.25">
      <c r="Y21219" s="501"/>
    </row>
    <row r="21220" spans="25:25" hidden="1" x14ac:dyDescent="0.25">
      <c r="Y21220" s="501"/>
    </row>
    <row r="21221" spans="25:25" hidden="1" x14ac:dyDescent="0.25">
      <c r="Y21221" s="501"/>
    </row>
    <row r="21222" spans="25:25" hidden="1" x14ac:dyDescent="0.25">
      <c r="Y21222" s="501"/>
    </row>
    <row r="21223" spans="25:25" hidden="1" x14ac:dyDescent="0.25">
      <c r="Y21223" s="501"/>
    </row>
    <row r="21224" spans="25:25" hidden="1" x14ac:dyDescent="0.25">
      <c r="Y21224" s="501"/>
    </row>
    <row r="21225" spans="25:25" hidden="1" x14ac:dyDescent="0.25">
      <c r="Y21225" s="501"/>
    </row>
    <row r="21226" spans="25:25" hidden="1" x14ac:dyDescent="0.25">
      <c r="Y21226" s="501"/>
    </row>
    <row r="21227" spans="25:25" hidden="1" x14ac:dyDescent="0.25">
      <c r="Y21227" s="501"/>
    </row>
    <row r="21228" spans="25:25" hidden="1" x14ac:dyDescent="0.25">
      <c r="Y21228" s="501"/>
    </row>
    <row r="21229" spans="25:25" hidden="1" x14ac:dyDescent="0.25">
      <c r="Y21229" s="501"/>
    </row>
    <row r="21230" spans="25:25" hidden="1" x14ac:dyDescent="0.25">
      <c r="Y21230" s="501"/>
    </row>
    <row r="21231" spans="25:25" hidden="1" x14ac:dyDescent="0.25">
      <c r="Y21231" s="501"/>
    </row>
    <row r="21232" spans="25:25" hidden="1" x14ac:dyDescent="0.25">
      <c r="Y21232" s="501"/>
    </row>
    <row r="21233" spans="25:25" hidden="1" x14ac:dyDescent="0.25">
      <c r="Y21233" s="501"/>
    </row>
    <row r="21234" spans="25:25" hidden="1" x14ac:dyDescent="0.25">
      <c r="Y21234" s="501"/>
    </row>
    <row r="21235" spans="25:25" hidden="1" x14ac:dyDescent="0.25">
      <c r="Y21235" s="501"/>
    </row>
    <row r="21236" spans="25:25" hidden="1" x14ac:dyDescent="0.25">
      <c r="Y21236" s="501"/>
    </row>
    <row r="21237" spans="25:25" hidden="1" x14ac:dyDescent="0.25">
      <c r="Y21237" s="501"/>
    </row>
    <row r="21238" spans="25:25" hidden="1" x14ac:dyDescent="0.25">
      <c r="Y21238" s="501"/>
    </row>
    <row r="21239" spans="25:25" hidden="1" x14ac:dyDescent="0.25">
      <c r="Y21239" s="501"/>
    </row>
    <row r="21240" spans="25:25" hidden="1" x14ac:dyDescent="0.25">
      <c r="Y21240" s="501"/>
    </row>
    <row r="21241" spans="25:25" hidden="1" x14ac:dyDescent="0.25">
      <c r="Y21241" s="501"/>
    </row>
    <row r="21242" spans="25:25" hidden="1" x14ac:dyDescent="0.25">
      <c r="Y21242" s="501"/>
    </row>
    <row r="21243" spans="25:25" hidden="1" x14ac:dyDescent="0.25">
      <c r="Y21243" s="501"/>
    </row>
    <row r="21244" spans="25:25" hidden="1" x14ac:dyDescent="0.25">
      <c r="Y21244" s="501"/>
    </row>
    <row r="21245" spans="25:25" hidden="1" x14ac:dyDescent="0.25">
      <c r="Y21245" s="501"/>
    </row>
    <row r="21246" spans="25:25" hidden="1" x14ac:dyDescent="0.25">
      <c r="Y21246" s="501"/>
    </row>
    <row r="21247" spans="25:25" hidden="1" x14ac:dyDescent="0.25">
      <c r="Y21247" s="501"/>
    </row>
    <row r="21248" spans="25:25" hidden="1" x14ac:dyDescent="0.25">
      <c r="Y21248" s="501"/>
    </row>
    <row r="21249" spans="25:25" hidden="1" x14ac:dyDescent="0.25">
      <c r="Y21249" s="501"/>
    </row>
    <row r="21250" spans="25:25" hidden="1" x14ac:dyDescent="0.25">
      <c r="Y21250" s="501"/>
    </row>
    <row r="21251" spans="25:25" hidden="1" x14ac:dyDescent="0.25">
      <c r="Y21251" s="501"/>
    </row>
    <row r="21252" spans="25:25" hidden="1" x14ac:dyDescent="0.25">
      <c r="Y21252" s="501"/>
    </row>
    <row r="21253" spans="25:25" hidden="1" x14ac:dyDescent="0.25">
      <c r="Y21253" s="501"/>
    </row>
    <row r="21254" spans="25:25" hidden="1" x14ac:dyDescent="0.25">
      <c r="Y21254" s="501"/>
    </row>
    <row r="21255" spans="25:25" hidden="1" x14ac:dyDescent="0.25">
      <c r="Y21255" s="501"/>
    </row>
    <row r="21256" spans="25:25" hidden="1" x14ac:dyDescent="0.25">
      <c r="Y21256" s="501"/>
    </row>
    <row r="21257" spans="25:25" hidden="1" x14ac:dyDescent="0.25">
      <c r="Y21257" s="501"/>
    </row>
    <row r="21258" spans="25:25" hidden="1" x14ac:dyDescent="0.25">
      <c r="Y21258" s="501"/>
    </row>
    <row r="21259" spans="25:25" hidden="1" x14ac:dyDescent="0.25">
      <c r="Y21259" s="501"/>
    </row>
    <row r="21260" spans="25:25" hidden="1" x14ac:dyDescent="0.25">
      <c r="Y21260" s="501"/>
    </row>
    <row r="21261" spans="25:25" hidden="1" x14ac:dyDescent="0.25">
      <c r="Y21261" s="501"/>
    </row>
    <row r="21262" spans="25:25" hidden="1" x14ac:dyDescent="0.25">
      <c r="Y21262" s="501"/>
    </row>
    <row r="21263" spans="25:25" hidden="1" x14ac:dyDescent="0.25">
      <c r="Y21263" s="501"/>
    </row>
    <row r="21264" spans="25:25" hidden="1" x14ac:dyDescent="0.25">
      <c r="Y21264" s="501"/>
    </row>
    <row r="21265" spans="25:25" hidden="1" x14ac:dyDescent="0.25">
      <c r="Y21265" s="501"/>
    </row>
    <row r="21266" spans="25:25" hidden="1" x14ac:dyDescent="0.25">
      <c r="Y21266" s="501"/>
    </row>
    <row r="21267" spans="25:25" hidden="1" x14ac:dyDescent="0.25">
      <c r="Y21267" s="501"/>
    </row>
    <row r="21268" spans="25:25" hidden="1" x14ac:dyDescent="0.25">
      <c r="Y21268" s="501"/>
    </row>
    <row r="21269" spans="25:25" hidden="1" x14ac:dyDescent="0.25">
      <c r="Y21269" s="501"/>
    </row>
    <row r="21270" spans="25:25" hidden="1" x14ac:dyDescent="0.25">
      <c r="Y21270" s="501"/>
    </row>
    <row r="21271" spans="25:25" hidden="1" x14ac:dyDescent="0.25">
      <c r="Y21271" s="501"/>
    </row>
    <row r="21272" spans="25:25" hidden="1" x14ac:dyDescent="0.25">
      <c r="Y21272" s="501"/>
    </row>
    <row r="21273" spans="25:25" hidden="1" x14ac:dyDescent="0.25">
      <c r="Y21273" s="501"/>
    </row>
    <row r="21274" spans="25:25" hidden="1" x14ac:dyDescent="0.25">
      <c r="Y21274" s="501"/>
    </row>
    <row r="21275" spans="25:25" hidden="1" x14ac:dyDescent="0.25">
      <c r="Y21275" s="501"/>
    </row>
    <row r="21276" spans="25:25" hidden="1" x14ac:dyDescent="0.25">
      <c r="Y21276" s="501"/>
    </row>
    <row r="21277" spans="25:25" hidden="1" x14ac:dyDescent="0.25">
      <c r="Y21277" s="501"/>
    </row>
    <row r="21278" spans="25:25" hidden="1" x14ac:dyDescent="0.25">
      <c r="Y21278" s="501"/>
    </row>
    <row r="21279" spans="25:25" hidden="1" x14ac:dyDescent="0.25">
      <c r="Y21279" s="501"/>
    </row>
    <row r="21280" spans="25:25" hidden="1" x14ac:dyDescent="0.25">
      <c r="Y21280" s="501"/>
    </row>
    <row r="21281" spans="25:25" hidden="1" x14ac:dyDescent="0.25">
      <c r="Y21281" s="501"/>
    </row>
    <row r="21282" spans="25:25" hidden="1" x14ac:dyDescent="0.25">
      <c r="Y21282" s="501"/>
    </row>
    <row r="21283" spans="25:25" hidden="1" x14ac:dyDescent="0.25">
      <c r="Y21283" s="501"/>
    </row>
    <row r="21284" spans="25:25" hidden="1" x14ac:dyDescent="0.25">
      <c r="Y21284" s="501"/>
    </row>
    <row r="21285" spans="25:25" hidden="1" x14ac:dyDescent="0.25">
      <c r="Y21285" s="501"/>
    </row>
    <row r="21286" spans="25:25" hidden="1" x14ac:dyDescent="0.25">
      <c r="Y21286" s="501"/>
    </row>
    <row r="21287" spans="25:25" hidden="1" x14ac:dyDescent="0.25">
      <c r="Y21287" s="501"/>
    </row>
    <row r="21288" spans="25:25" hidden="1" x14ac:dyDescent="0.25">
      <c r="Y21288" s="501"/>
    </row>
    <row r="21289" spans="25:25" hidden="1" x14ac:dyDescent="0.25">
      <c r="Y21289" s="501"/>
    </row>
    <row r="21290" spans="25:25" hidden="1" x14ac:dyDescent="0.25">
      <c r="Y21290" s="501"/>
    </row>
    <row r="21291" spans="25:25" hidden="1" x14ac:dyDescent="0.25">
      <c r="Y21291" s="501"/>
    </row>
    <row r="21292" spans="25:25" hidden="1" x14ac:dyDescent="0.25">
      <c r="Y21292" s="501"/>
    </row>
    <row r="21293" spans="25:25" hidden="1" x14ac:dyDescent="0.25">
      <c r="Y21293" s="501"/>
    </row>
    <row r="21294" spans="25:25" hidden="1" x14ac:dyDescent="0.25">
      <c r="Y21294" s="501"/>
    </row>
    <row r="21295" spans="25:25" hidden="1" x14ac:dyDescent="0.25">
      <c r="Y21295" s="501"/>
    </row>
    <row r="21296" spans="25:25" hidden="1" x14ac:dyDescent="0.25">
      <c r="Y21296" s="501"/>
    </row>
    <row r="21297" spans="25:25" hidden="1" x14ac:dyDescent="0.25">
      <c r="Y21297" s="501"/>
    </row>
    <row r="21298" spans="25:25" hidden="1" x14ac:dyDescent="0.25">
      <c r="Y21298" s="501"/>
    </row>
    <row r="21299" spans="25:25" hidden="1" x14ac:dyDescent="0.25">
      <c r="Y21299" s="501"/>
    </row>
    <row r="21300" spans="25:25" hidden="1" x14ac:dyDescent="0.25">
      <c r="Y21300" s="501"/>
    </row>
    <row r="21301" spans="25:25" hidden="1" x14ac:dyDescent="0.25">
      <c r="Y21301" s="501"/>
    </row>
    <row r="21302" spans="25:25" hidden="1" x14ac:dyDescent="0.25">
      <c r="Y21302" s="501"/>
    </row>
    <row r="21303" spans="25:25" hidden="1" x14ac:dyDescent="0.25">
      <c r="Y21303" s="501"/>
    </row>
    <row r="21304" spans="25:25" hidden="1" x14ac:dyDescent="0.25">
      <c r="Y21304" s="501"/>
    </row>
    <row r="21305" spans="25:25" hidden="1" x14ac:dyDescent="0.25">
      <c r="Y21305" s="501"/>
    </row>
    <row r="21306" spans="25:25" hidden="1" x14ac:dyDescent="0.25">
      <c r="Y21306" s="501"/>
    </row>
    <row r="21307" spans="25:25" hidden="1" x14ac:dyDescent="0.25">
      <c r="Y21307" s="501"/>
    </row>
    <row r="21308" spans="25:25" hidden="1" x14ac:dyDescent="0.25">
      <c r="Y21308" s="501"/>
    </row>
    <row r="21309" spans="25:25" hidden="1" x14ac:dyDescent="0.25">
      <c r="Y21309" s="501"/>
    </row>
    <row r="21310" spans="25:25" hidden="1" x14ac:dyDescent="0.25">
      <c r="Y21310" s="501"/>
    </row>
    <row r="21311" spans="25:25" hidden="1" x14ac:dyDescent="0.25">
      <c r="Y21311" s="501"/>
    </row>
    <row r="21312" spans="25:25" hidden="1" x14ac:dyDescent="0.25">
      <c r="Y21312" s="501"/>
    </row>
    <row r="21313" spans="25:25" hidden="1" x14ac:dyDescent="0.25">
      <c r="Y21313" s="501"/>
    </row>
    <row r="21314" spans="25:25" hidden="1" x14ac:dyDescent="0.25">
      <c r="Y21314" s="501"/>
    </row>
    <row r="21315" spans="25:25" hidden="1" x14ac:dyDescent="0.25">
      <c r="Y21315" s="501"/>
    </row>
    <row r="21316" spans="25:25" hidden="1" x14ac:dyDescent="0.25">
      <c r="Y21316" s="501"/>
    </row>
    <row r="21317" spans="25:25" hidden="1" x14ac:dyDescent="0.25">
      <c r="Y21317" s="501"/>
    </row>
    <row r="21318" spans="25:25" hidden="1" x14ac:dyDescent="0.25">
      <c r="Y21318" s="501"/>
    </row>
    <row r="21319" spans="25:25" hidden="1" x14ac:dyDescent="0.25">
      <c r="Y21319" s="501"/>
    </row>
    <row r="21320" spans="25:25" hidden="1" x14ac:dyDescent="0.25">
      <c r="Y21320" s="501"/>
    </row>
    <row r="21321" spans="25:25" hidden="1" x14ac:dyDescent="0.25">
      <c r="Y21321" s="501"/>
    </row>
    <row r="21322" spans="25:25" hidden="1" x14ac:dyDescent="0.25">
      <c r="Y21322" s="501"/>
    </row>
    <row r="21323" spans="25:25" hidden="1" x14ac:dyDescent="0.25">
      <c r="Y21323" s="501"/>
    </row>
    <row r="21324" spans="25:25" hidden="1" x14ac:dyDescent="0.25">
      <c r="Y21324" s="501"/>
    </row>
    <row r="21325" spans="25:25" hidden="1" x14ac:dyDescent="0.25">
      <c r="Y21325" s="501"/>
    </row>
    <row r="21326" spans="25:25" hidden="1" x14ac:dyDescent="0.25">
      <c r="Y21326" s="501"/>
    </row>
    <row r="21327" spans="25:25" hidden="1" x14ac:dyDescent="0.25">
      <c r="Y21327" s="501"/>
    </row>
    <row r="21328" spans="25:25" hidden="1" x14ac:dyDescent="0.25">
      <c r="Y21328" s="501"/>
    </row>
    <row r="21329" spans="25:25" hidden="1" x14ac:dyDescent="0.25">
      <c r="Y21329" s="501"/>
    </row>
    <row r="21330" spans="25:25" hidden="1" x14ac:dyDescent="0.25">
      <c r="Y21330" s="501"/>
    </row>
    <row r="21331" spans="25:25" hidden="1" x14ac:dyDescent="0.25">
      <c r="Y21331" s="501"/>
    </row>
    <row r="21332" spans="25:25" hidden="1" x14ac:dyDescent="0.25">
      <c r="Y21332" s="501"/>
    </row>
    <row r="21333" spans="25:25" hidden="1" x14ac:dyDescent="0.25">
      <c r="Y21333" s="501"/>
    </row>
    <row r="21334" spans="25:25" hidden="1" x14ac:dyDescent="0.25">
      <c r="Y21334" s="501"/>
    </row>
    <row r="21335" spans="25:25" hidden="1" x14ac:dyDescent="0.25">
      <c r="Y21335" s="501"/>
    </row>
    <row r="21336" spans="25:25" hidden="1" x14ac:dyDescent="0.25">
      <c r="Y21336" s="501"/>
    </row>
    <row r="21337" spans="25:25" hidden="1" x14ac:dyDescent="0.25">
      <c r="Y21337" s="501"/>
    </row>
    <row r="21338" spans="25:25" hidden="1" x14ac:dyDescent="0.25">
      <c r="Y21338" s="501"/>
    </row>
    <row r="21339" spans="25:25" hidden="1" x14ac:dyDescent="0.25">
      <c r="Y21339" s="501"/>
    </row>
    <row r="21340" spans="25:25" hidden="1" x14ac:dyDescent="0.25">
      <c r="Y21340" s="501"/>
    </row>
    <row r="21341" spans="25:25" hidden="1" x14ac:dyDescent="0.25">
      <c r="Y21341" s="501"/>
    </row>
    <row r="21342" spans="25:25" hidden="1" x14ac:dyDescent="0.25">
      <c r="Y21342" s="501"/>
    </row>
    <row r="21343" spans="25:25" hidden="1" x14ac:dyDescent="0.25">
      <c r="Y21343" s="501"/>
    </row>
    <row r="21344" spans="25:25" hidden="1" x14ac:dyDescent="0.25">
      <c r="Y21344" s="501"/>
    </row>
    <row r="21345" spans="25:25" hidden="1" x14ac:dyDescent="0.25">
      <c r="Y21345" s="501"/>
    </row>
    <row r="21346" spans="25:25" hidden="1" x14ac:dyDescent="0.25">
      <c r="Y21346" s="501"/>
    </row>
    <row r="21347" spans="25:25" hidden="1" x14ac:dyDescent="0.25">
      <c r="Y21347" s="501"/>
    </row>
    <row r="21348" spans="25:25" hidden="1" x14ac:dyDescent="0.25">
      <c r="Y21348" s="501"/>
    </row>
    <row r="21349" spans="25:25" hidden="1" x14ac:dyDescent="0.25">
      <c r="Y21349" s="501"/>
    </row>
    <row r="21350" spans="25:25" hidden="1" x14ac:dyDescent="0.25">
      <c r="Y21350" s="501"/>
    </row>
    <row r="21351" spans="25:25" hidden="1" x14ac:dyDescent="0.25">
      <c r="Y21351" s="501"/>
    </row>
    <row r="21352" spans="25:25" hidden="1" x14ac:dyDescent="0.25">
      <c r="Y21352" s="501"/>
    </row>
    <row r="21353" spans="25:25" hidden="1" x14ac:dyDescent="0.25">
      <c r="Y21353" s="501"/>
    </row>
    <row r="21354" spans="25:25" hidden="1" x14ac:dyDescent="0.25">
      <c r="Y21354" s="501"/>
    </row>
    <row r="21355" spans="25:25" hidden="1" x14ac:dyDescent="0.25">
      <c r="Y21355" s="501"/>
    </row>
    <row r="21356" spans="25:25" hidden="1" x14ac:dyDescent="0.25">
      <c r="Y21356" s="501"/>
    </row>
    <row r="21357" spans="25:25" hidden="1" x14ac:dyDescent="0.25">
      <c r="Y21357" s="501"/>
    </row>
    <row r="21358" spans="25:25" hidden="1" x14ac:dyDescent="0.25">
      <c r="Y21358" s="501"/>
    </row>
    <row r="21359" spans="25:25" hidden="1" x14ac:dyDescent="0.25">
      <c r="Y21359" s="501"/>
    </row>
    <row r="21360" spans="25:25" hidden="1" x14ac:dyDescent="0.25">
      <c r="Y21360" s="501"/>
    </row>
    <row r="21361" spans="25:25" hidden="1" x14ac:dyDescent="0.25">
      <c r="Y21361" s="501"/>
    </row>
    <row r="21362" spans="25:25" hidden="1" x14ac:dyDescent="0.25">
      <c r="Y21362" s="501"/>
    </row>
    <row r="21363" spans="25:25" hidden="1" x14ac:dyDescent="0.25">
      <c r="Y21363" s="501"/>
    </row>
    <row r="21364" spans="25:25" hidden="1" x14ac:dyDescent="0.25">
      <c r="Y21364" s="501"/>
    </row>
    <row r="21365" spans="25:25" hidden="1" x14ac:dyDescent="0.25">
      <c r="Y21365" s="501"/>
    </row>
    <row r="21366" spans="25:25" hidden="1" x14ac:dyDescent="0.25">
      <c r="Y21366" s="501"/>
    </row>
    <row r="21367" spans="25:25" hidden="1" x14ac:dyDescent="0.25">
      <c r="Y21367" s="501"/>
    </row>
    <row r="21368" spans="25:25" hidden="1" x14ac:dyDescent="0.25">
      <c r="Y21368" s="501"/>
    </row>
    <row r="21369" spans="25:25" hidden="1" x14ac:dyDescent="0.25">
      <c r="Y21369" s="501"/>
    </row>
    <row r="21370" spans="25:25" hidden="1" x14ac:dyDescent="0.25">
      <c r="Y21370" s="501"/>
    </row>
    <row r="21371" spans="25:25" hidden="1" x14ac:dyDescent="0.25">
      <c r="Y21371" s="501"/>
    </row>
    <row r="21372" spans="25:25" hidden="1" x14ac:dyDescent="0.25">
      <c r="Y21372" s="501"/>
    </row>
    <row r="21373" spans="25:25" hidden="1" x14ac:dyDescent="0.25">
      <c r="Y21373" s="501"/>
    </row>
    <row r="21374" spans="25:25" hidden="1" x14ac:dyDescent="0.25">
      <c r="Y21374" s="501"/>
    </row>
    <row r="21375" spans="25:25" hidden="1" x14ac:dyDescent="0.25">
      <c r="Y21375" s="501"/>
    </row>
    <row r="21376" spans="25:25" hidden="1" x14ac:dyDescent="0.25">
      <c r="Y21376" s="501"/>
    </row>
    <row r="21377" spans="25:25" hidden="1" x14ac:dyDescent="0.25">
      <c r="Y21377" s="501"/>
    </row>
    <row r="21378" spans="25:25" hidden="1" x14ac:dyDescent="0.25">
      <c r="Y21378" s="501"/>
    </row>
    <row r="21379" spans="25:25" hidden="1" x14ac:dyDescent="0.25">
      <c r="Y21379" s="501"/>
    </row>
    <row r="21380" spans="25:25" hidden="1" x14ac:dyDescent="0.25">
      <c r="Y21380" s="501"/>
    </row>
    <row r="21381" spans="25:25" hidden="1" x14ac:dyDescent="0.25">
      <c r="Y21381" s="501"/>
    </row>
    <row r="21382" spans="25:25" hidden="1" x14ac:dyDescent="0.25">
      <c r="Y21382" s="501"/>
    </row>
    <row r="21383" spans="25:25" hidden="1" x14ac:dyDescent="0.25">
      <c r="Y21383" s="501"/>
    </row>
    <row r="21384" spans="25:25" hidden="1" x14ac:dyDescent="0.25">
      <c r="Y21384" s="501"/>
    </row>
    <row r="21385" spans="25:25" hidden="1" x14ac:dyDescent="0.25">
      <c r="Y21385" s="501"/>
    </row>
    <row r="21386" spans="25:25" hidden="1" x14ac:dyDescent="0.25">
      <c r="Y21386" s="501"/>
    </row>
    <row r="21387" spans="25:25" hidden="1" x14ac:dyDescent="0.25">
      <c r="Y21387" s="501"/>
    </row>
    <row r="21388" spans="25:25" hidden="1" x14ac:dyDescent="0.25">
      <c r="Y21388" s="501"/>
    </row>
    <row r="21389" spans="25:25" hidden="1" x14ac:dyDescent="0.25">
      <c r="Y21389" s="501"/>
    </row>
    <row r="21390" spans="25:25" hidden="1" x14ac:dyDescent="0.25">
      <c r="Y21390" s="501"/>
    </row>
    <row r="21391" spans="25:25" hidden="1" x14ac:dyDescent="0.25">
      <c r="Y21391" s="501"/>
    </row>
    <row r="21392" spans="25:25" hidden="1" x14ac:dyDescent="0.25">
      <c r="Y21392" s="501"/>
    </row>
    <row r="21393" spans="25:25" hidden="1" x14ac:dyDescent="0.25">
      <c r="Y21393" s="501"/>
    </row>
    <row r="21394" spans="25:25" hidden="1" x14ac:dyDescent="0.25">
      <c r="Y21394" s="501"/>
    </row>
    <row r="21395" spans="25:25" hidden="1" x14ac:dyDescent="0.25">
      <c r="Y21395" s="501"/>
    </row>
    <row r="21396" spans="25:25" hidden="1" x14ac:dyDescent="0.25">
      <c r="Y21396" s="501"/>
    </row>
    <row r="21397" spans="25:25" hidden="1" x14ac:dyDescent="0.25">
      <c r="Y21397" s="501"/>
    </row>
    <row r="21398" spans="25:25" hidden="1" x14ac:dyDescent="0.25">
      <c r="Y21398" s="501"/>
    </row>
    <row r="21399" spans="25:25" hidden="1" x14ac:dyDescent="0.25">
      <c r="Y21399" s="501"/>
    </row>
    <row r="21400" spans="25:25" hidden="1" x14ac:dyDescent="0.25">
      <c r="Y21400" s="501"/>
    </row>
    <row r="21401" spans="25:25" hidden="1" x14ac:dyDescent="0.25">
      <c r="Y21401" s="501"/>
    </row>
    <row r="21402" spans="25:25" hidden="1" x14ac:dyDescent="0.25">
      <c r="Y21402" s="501"/>
    </row>
    <row r="21403" spans="25:25" hidden="1" x14ac:dyDescent="0.25">
      <c r="Y21403" s="501"/>
    </row>
    <row r="21404" spans="25:25" hidden="1" x14ac:dyDescent="0.25">
      <c r="Y21404" s="501"/>
    </row>
    <row r="21405" spans="25:25" hidden="1" x14ac:dyDescent="0.25">
      <c r="Y21405" s="501"/>
    </row>
    <row r="21406" spans="25:25" hidden="1" x14ac:dyDescent="0.25">
      <c r="Y21406" s="501"/>
    </row>
    <row r="21407" spans="25:25" hidden="1" x14ac:dyDescent="0.25">
      <c r="Y21407" s="501"/>
    </row>
    <row r="21408" spans="25:25" hidden="1" x14ac:dyDescent="0.25">
      <c r="Y21408" s="501"/>
    </row>
    <row r="21409" spans="25:25" hidden="1" x14ac:dyDescent="0.25">
      <c r="Y21409" s="501"/>
    </row>
    <row r="21410" spans="25:25" hidden="1" x14ac:dyDescent="0.25">
      <c r="Y21410" s="501"/>
    </row>
    <row r="21411" spans="25:25" hidden="1" x14ac:dyDescent="0.25">
      <c r="Y21411" s="501"/>
    </row>
    <row r="21412" spans="25:25" hidden="1" x14ac:dyDescent="0.25">
      <c r="Y21412" s="501"/>
    </row>
    <row r="21413" spans="25:25" hidden="1" x14ac:dyDescent="0.25">
      <c r="Y21413" s="501"/>
    </row>
    <row r="21414" spans="25:25" hidden="1" x14ac:dyDescent="0.25">
      <c r="Y21414" s="501"/>
    </row>
    <row r="21415" spans="25:25" hidden="1" x14ac:dyDescent="0.25">
      <c r="Y21415" s="501"/>
    </row>
    <row r="21416" spans="25:25" hidden="1" x14ac:dyDescent="0.25">
      <c r="Y21416" s="501"/>
    </row>
    <row r="21417" spans="25:25" hidden="1" x14ac:dyDescent="0.25">
      <c r="Y21417" s="501"/>
    </row>
    <row r="21418" spans="25:25" hidden="1" x14ac:dyDescent="0.25">
      <c r="Y21418" s="501"/>
    </row>
    <row r="21419" spans="25:25" hidden="1" x14ac:dyDescent="0.25">
      <c r="Y21419" s="501"/>
    </row>
    <row r="21420" spans="25:25" hidden="1" x14ac:dyDescent="0.25">
      <c r="Y21420" s="501"/>
    </row>
    <row r="21421" spans="25:25" hidden="1" x14ac:dyDescent="0.25">
      <c r="Y21421" s="501"/>
    </row>
    <row r="21422" spans="25:25" hidden="1" x14ac:dyDescent="0.25">
      <c r="Y21422" s="501"/>
    </row>
    <row r="21423" spans="25:25" hidden="1" x14ac:dyDescent="0.25">
      <c r="Y21423" s="501"/>
    </row>
    <row r="21424" spans="25:25" hidden="1" x14ac:dyDescent="0.25">
      <c r="Y21424" s="501"/>
    </row>
    <row r="21425" spans="25:25" hidden="1" x14ac:dyDescent="0.25">
      <c r="Y21425" s="501"/>
    </row>
    <row r="21426" spans="25:25" hidden="1" x14ac:dyDescent="0.25">
      <c r="Y21426" s="501"/>
    </row>
    <row r="21427" spans="25:25" hidden="1" x14ac:dyDescent="0.25">
      <c r="Y21427" s="501"/>
    </row>
    <row r="21428" spans="25:25" hidden="1" x14ac:dyDescent="0.25">
      <c r="Y21428" s="501"/>
    </row>
    <row r="21429" spans="25:25" hidden="1" x14ac:dyDescent="0.25">
      <c r="Y21429" s="501"/>
    </row>
    <row r="21430" spans="25:25" hidden="1" x14ac:dyDescent="0.25">
      <c r="Y21430" s="501"/>
    </row>
    <row r="21431" spans="25:25" hidden="1" x14ac:dyDescent="0.25">
      <c r="Y21431" s="501"/>
    </row>
    <row r="21432" spans="25:25" hidden="1" x14ac:dyDescent="0.25">
      <c r="Y21432" s="501"/>
    </row>
    <row r="21433" spans="25:25" hidden="1" x14ac:dyDescent="0.25">
      <c r="Y21433" s="501"/>
    </row>
    <row r="21434" spans="25:25" hidden="1" x14ac:dyDescent="0.25">
      <c r="Y21434" s="501"/>
    </row>
    <row r="21435" spans="25:25" hidden="1" x14ac:dyDescent="0.25">
      <c r="Y21435" s="501"/>
    </row>
    <row r="21436" spans="25:25" hidden="1" x14ac:dyDescent="0.25">
      <c r="Y21436" s="501"/>
    </row>
    <row r="21437" spans="25:25" hidden="1" x14ac:dyDescent="0.25">
      <c r="Y21437" s="501"/>
    </row>
    <row r="21438" spans="25:25" hidden="1" x14ac:dyDescent="0.25">
      <c r="Y21438" s="501"/>
    </row>
    <row r="21439" spans="25:25" hidden="1" x14ac:dyDescent="0.25">
      <c r="Y21439" s="501"/>
    </row>
    <row r="21440" spans="25:25" hidden="1" x14ac:dyDescent="0.25">
      <c r="Y21440" s="501"/>
    </row>
    <row r="21441" spans="25:25" hidden="1" x14ac:dyDescent="0.25">
      <c r="Y21441" s="501"/>
    </row>
    <row r="21442" spans="25:25" hidden="1" x14ac:dyDescent="0.25">
      <c r="Y21442" s="501"/>
    </row>
    <row r="21443" spans="25:25" hidden="1" x14ac:dyDescent="0.25">
      <c r="Y21443" s="501"/>
    </row>
    <row r="21444" spans="25:25" hidden="1" x14ac:dyDescent="0.25">
      <c r="Y21444" s="501"/>
    </row>
    <row r="21445" spans="25:25" hidden="1" x14ac:dyDescent="0.25">
      <c r="Y21445" s="501"/>
    </row>
    <row r="21446" spans="25:25" hidden="1" x14ac:dyDescent="0.25">
      <c r="Y21446" s="501"/>
    </row>
    <row r="21447" spans="25:25" hidden="1" x14ac:dyDescent="0.25">
      <c r="Y21447" s="501"/>
    </row>
    <row r="21448" spans="25:25" hidden="1" x14ac:dyDescent="0.25">
      <c r="Y21448" s="501"/>
    </row>
    <row r="21449" spans="25:25" hidden="1" x14ac:dyDescent="0.25">
      <c r="Y21449" s="501"/>
    </row>
    <row r="21450" spans="25:25" hidden="1" x14ac:dyDescent="0.25">
      <c r="Y21450" s="501"/>
    </row>
    <row r="21451" spans="25:25" hidden="1" x14ac:dyDescent="0.25">
      <c r="Y21451" s="501"/>
    </row>
    <row r="21452" spans="25:25" hidden="1" x14ac:dyDescent="0.25">
      <c r="Y21452" s="501"/>
    </row>
    <row r="21453" spans="25:25" hidden="1" x14ac:dyDescent="0.25">
      <c r="Y21453" s="501"/>
    </row>
    <row r="21454" spans="25:25" hidden="1" x14ac:dyDescent="0.25">
      <c r="Y21454" s="501"/>
    </row>
    <row r="21455" spans="25:25" hidden="1" x14ac:dyDescent="0.25">
      <c r="Y21455" s="501"/>
    </row>
    <row r="21456" spans="25:25" hidden="1" x14ac:dyDescent="0.25">
      <c r="Y21456" s="501"/>
    </row>
    <row r="21457" spans="25:25" hidden="1" x14ac:dyDescent="0.25">
      <c r="Y21457" s="501"/>
    </row>
    <row r="21458" spans="25:25" hidden="1" x14ac:dyDescent="0.25">
      <c r="Y21458" s="501"/>
    </row>
    <row r="21459" spans="25:25" hidden="1" x14ac:dyDescent="0.25">
      <c r="Y21459" s="501"/>
    </row>
    <row r="21460" spans="25:25" hidden="1" x14ac:dyDescent="0.25">
      <c r="Y21460" s="501"/>
    </row>
    <row r="21461" spans="25:25" hidden="1" x14ac:dyDescent="0.25">
      <c r="Y21461" s="501"/>
    </row>
    <row r="21462" spans="25:25" hidden="1" x14ac:dyDescent="0.25">
      <c r="Y21462" s="501"/>
    </row>
    <row r="21463" spans="25:25" hidden="1" x14ac:dyDescent="0.25">
      <c r="Y21463" s="501"/>
    </row>
    <row r="21464" spans="25:25" hidden="1" x14ac:dyDescent="0.25">
      <c r="Y21464" s="501"/>
    </row>
    <row r="21465" spans="25:25" hidden="1" x14ac:dyDescent="0.25">
      <c r="Y21465" s="501"/>
    </row>
    <row r="21466" spans="25:25" hidden="1" x14ac:dyDescent="0.25">
      <c r="Y21466" s="501"/>
    </row>
    <row r="21467" spans="25:25" hidden="1" x14ac:dyDescent="0.25">
      <c r="Y21467" s="501"/>
    </row>
    <row r="21468" spans="25:25" hidden="1" x14ac:dyDescent="0.25">
      <c r="Y21468" s="501"/>
    </row>
    <row r="21469" spans="25:25" hidden="1" x14ac:dyDescent="0.25">
      <c r="Y21469" s="501"/>
    </row>
    <row r="21470" spans="25:25" hidden="1" x14ac:dyDescent="0.25">
      <c r="Y21470" s="501"/>
    </row>
    <row r="21471" spans="25:25" hidden="1" x14ac:dyDescent="0.25">
      <c r="Y21471" s="501"/>
    </row>
    <row r="21472" spans="25:25" hidden="1" x14ac:dyDescent="0.25">
      <c r="Y21472" s="501"/>
    </row>
    <row r="21473" spans="25:25" hidden="1" x14ac:dyDescent="0.25">
      <c r="Y21473" s="501"/>
    </row>
    <row r="21474" spans="25:25" hidden="1" x14ac:dyDescent="0.25">
      <c r="Y21474" s="501"/>
    </row>
    <row r="21475" spans="25:25" hidden="1" x14ac:dyDescent="0.25">
      <c r="Y21475" s="501"/>
    </row>
    <row r="21476" spans="25:25" hidden="1" x14ac:dyDescent="0.25">
      <c r="Y21476" s="501"/>
    </row>
    <row r="21477" spans="25:25" hidden="1" x14ac:dyDescent="0.25">
      <c r="Y21477" s="501"/>
    </row>
    <row r="21478" spans="25:25" hidden="1" x14ac:dyDescent="0.25">
      <c r="Y21478" s="501"/>
    </row>
    <row r="21479" spans="25:25" hidden="1" x14ac:dyDescent="0.25">
      <c r="Y21479" s="501"/>
    </row>
    <row r="21480" spans="25:25" hidden="1" x14ac:dyDescent="0.25">
      <c r="Y21480" s="501"/>
    </row>
    <row r="21481" spans="25:25" hidden="1" x14ac:dyDescent="0.25">
      <c r="Y21481" s="501"/>
    </row>
    <row r="21482" spans="25:25" hidden="1" x14ac:dyDescent="0.25">
      <c r="Y21482" s="501"/>
    </row>
    <row r="21483" spans="25:25" hidden="1" x14ac:dyDescent="0.25">
      <c r="Y21483" s="501"/>
    </row>
    <row r="21484" spans="25:25" hidden="1" x14ac:dyDescent="0.25">
      <c r="Y21484" s="501"/>
    </row>
    <row r="21485" spans="25:25" hidden="1" x14ac:dyDescent="0.25">
      <c r="Y21485" s="501"/>
    </row>
    <row r="21486" spans="25:25" hidden="1" x14ac:dyDescent="0.25">
      <c r="Y21486" s="501"/>
    </row>
    <row r="21487" spans="25:25" hidden="1" x14ac:dyDescent="0.25">
      <c r="Y21487" s="501"/>
    </row>
    <row r="21488" spans="25:25" hidden="1" x14ac:dyDescent="0.25">
      <c r="Y21488" s="501"/>
    </row>
    <row r="21489" spans="25:25" hidden="1" x14ac:dyDescent="0.25">
      <c r="Y21489" s="501"/>
    </row>
    <row r="21490" spans="25:25" hidden="1" x14ac:dyDescent="0.25">
      <c r="Y21490" s="501"/>
    </row>
    <row r="21491" spans="25:25" hidden="1" x14ac:dyDescent="0.25">
      <c r="Y21491" s="501"/>
    </row>
    <row r="21492" spans="25:25" hidden="1" x14ac:dyDescent="0.25">
      <c r="Y21492" s="501"/>
    </row>
    <row r="21493" spans="25:25" hidden="1" x14ac:dyDescent="0.25">
      <c r="Y21493" s="501"/>
    </row>
    <row r="21494" spans="25:25" hidden="1" x14ac:dyDescent="0.25">
      <c r="Y21494" s="501"/>
    </row>
    <row r="21495" spans="25:25" hidden="1" x14ac:dyDescent="0.25">
      <c r="Y21495" s="501"/>
    </row>
    <row r="21496" spans="25:25" hidden="1" x14ac:dyDescent="0.25">
      <c r="Y21496" s="501"/>
    </row>
    <row r="21497" spans="25:25" hidden="1" x14ac:dyDescent="0.25">
      <c r="Y21497" s="501"/>
    </row>
    <row r="21498" spans="25:25" hidden="1" x14ac:dyDescent="0.25">
      <c r="Y21498" s="501"/>
    </row>
    <row r="21499" spans="25:25" hidden="1" x14ac:dyDescent="0.25">
      <c r="Y21499" s="501"/>
    </row>
    <row r="21500" spans="25:25" hidden="1" x14ac:dyDescent="0.25">
      <c r="Y21500" s="501"/>
    </row>
    <row r="21501" spans="25:25" hidden="1" x14ac:dyDescent="0.25">
      <c r="Y21501" s="501"/>
    </row>
    <row r="21502" spans="25:25" hidden="1" x14ac:dyDescent="0.25">
      <c r="Y21502" s="501"/>
    </row>
    <row r="21503" spans="25:25" hidden="1" x14ac:dyDescent="0.25">
      <c r="Y21503" s="501"/>
    </row>
    <row r="21504" spans="25:25" hidden="1" x14ac:dyDescent="0.25">
      <c r="Y21504" s="501"/>
    </row>
    <row r="21505" spans="25:25" hidden="1" x14ac:dyDescent="0.25">
      <c r="Y21505" s="501"/>
    </row>
    <row r="21506" spans="25:25" hidden="1" x14ac:dyDescent="0.25">
      <c r="Y21506" s="501"/>
    </row>
    <row r="21507" spans="25:25" hidden="1" x14ac:dyDescent="0.25">
      <c r="Y21507" s="501"/>
    </row>
    <row r="21508" spans="25:25" hidden="1" x14ac:dyDescent="0.25">
      <c r="Y21508" s="501"/>
    </row>
    <row r="21509" spans="25:25" hidden="1" x14ac:dyDescent="0.25">
      <c r="Y21509" s="501"/>
    </row>
    <row r="21510" spans="25:25" hidden="1" x14ac:dyDescent="0.25">
      <c r="Y21510" s="501"/>
    </row>
    <row r="21511" spans="25:25" hidden="1" x14ac:dyDescent="0.25">
      <c r="Y21511" s="501"/>
    </row>
    <row r="21512" spans="25:25" hidden="1" x14ac:dyDescent="0.25">
      <c r="Y21512" s="501"/>
    </row>
    <row r="21513" spans="25:25" hidden="1" x14ac:dyDescent="0.25">
      <c r="Y21513" s="501"/>
    </row>
    <row r="21514" spans="25:25" hidden="1" x14ac:dyDescent="0.25">
      <c r="Y21514" s="501"/>
    </row>
    <row r="21515" spans="25:25" hidden="1" x14ac:dyDescent="0.25">
      <c r="Y21515" s="501"/>
    </row>
    <row r="21516" spans="25:25" hidden="1" x14ac:dyDescent="0.25">
      <c r="Y21516" s="501"/>
    </row>
    <row r="21517" spans="25:25" hidden="1" x14ac:dyDescent="0.25">
      <c r="Y21517" s="501"/>
    </row>
    <row r="21518" spans="25:25" hidden="1" x14ac:dyDescent="0.25">
      <c r="Y21518" s="501"/>
    </row>
    <row r="21519" spans="25:25" hidden="1" x14ac:dyDescent="0.25">
      <c r="Y21519" s="501"/>
    </row>
    <row r="21520" spans="25:25" hidden="1" x14ac:dyDescent="0.25">
      <c r="Y21520" s="501"/>
    </row>
    <row r="21521" spans="25:25" hidden="1" x14ac:dyDescent="0.25">
      <c r="Y21521" s="501"/>
    </row>
    <row r="21522" spans="25:25" hidden="1" x14ac:dyDescent="0.25">
      <c r="Y21522" s="501"/>
    </row>
    <row r="21523" spans="25:25" hidden="1" x14ac:dyDescent="0.25">
      <c r="Y21523" s="501"/>
    </row>
    <row r="21524" spans="25:25" hidden="1" x14ac:dyDescent="0.25">
      <c r="Y21524" s="501"/>
    </row>
    <row r="21525" spans="25:25" hidden="1" x14ac:dyDescent="0.25">
      <c r="Y21525" s="501"/>
    </row>
    <row r="21526" spans="25:25" hidden="1" x14ac:dyDescent="0.25">
      <c r="Y21526" s="501"/>
    </row>
    <row r="21527" spans="25:25" hidden="1" x14ac:dyDescent="0.25">
      <c r="Y21527" s="501"/>
    </row>
    <row r="21528" spans="25:25" hidden="1" x14ac:dyDescent="0.25">
      <c r="Y21528" s="501"/>
    </row>
    <row r="21529" spans="25:25" hidden="1" x14ac:dyDescent="0.25">
      <c r="Y21529" s="501"/>
    </row>
    <row r="21530" spans="25:25" hidden="1" x14ac:dyDescent="0.25">
      <c r="Y21530" s="501"/>
    </row>
    <row r="21531" spans="25:25" hidden="1" x14ac:dyDescent="0.25">
      <c r="Y21531" s="501"/>
    </row>
    <row r="21532" spans="25:25" hidden="1" x14ac:dyDescent="0.25">
      <c r="Y21532" s="501"/>
    </row>
    <row r="21533" spans="25:25" hidden="1" x14ac:dyDescent="0.25">
      <c r="Y21533" s="501"/>
    </row>
    <row r="21534" spans="25:25" hidden="1" x14ac:dyDescent="0.25">
      <c r="Y21534" s="501"/>
    </row>
    <row r="21535" spans="25:25" hidden="1" x14ac:dyDescent="0.25">
      <c r="Y21535" s="501"/>
    </row>
    <row r="21536" spans="25:25" hidden="1" x14ac:dyDescent="0.25">
      <c r="Y21536" s="501"/>
    </row>
    <row r="21537" spans="25:25" hidden="1" x14ac:dyDescent="0.25">
      <c r="Y21537" s="501"/>
    </row>
    <row r="21538" spans="25:25" hidden="1" x14ac:dyDescent="0.25">
      <c r="Y21538" s="501"/>
    </row>
    <row r="21539" spans="25:25" hidden="1" x14ac:dyDescent="0.25">
      <c r="Y21539" s="501"/>
    </row>
    <row r="21540" spans="25:25" hidden="1" x14ac:dyDescent="0.25">
      <c r="Y21540" s="501"/>
    </row>
    <row r="21541" spans="25:25" hidden="1" x14ac:dyDescent="0.25">
      <c r="Y21541" s="501"/>
    </row>
    <row r="21542" spans="25:25" hidden="1" x14ac:dyDescent="0.25">
      <c r="Y21542" s="501"/>
    </row>
    <row r="21543" spans="25:25" hidden="1" x14ac:dyDescent="0.25">
      <c r="Y21543" s="501"/>
    </row>
    <row r="21544" spans="25:25" hidden="1" x14ac:dyDescent="0.25">
      <c r="Y21544" s="501"/>
    </row>
    <row r="21545" spans="25:25" hidden="1" x14ac:dyDescent="0.25">
      <c r="Y21545" s="501"/>
    </row>
    <row r="21546" spans="25:25" hidden="1" x14ac:dyDescent="0.25">
      <c r="Y21546" s="501"/>
    </row>
    <row r="21547" spans="25:25" hidden="1" x14ac:dyDescent="0.25">
      <c r="Y21547" s="501"/>
    </row>
    <row r="21548" spans="25:25" hidden="1" x14ac:dyDescent="0.25">
      <c r="Y21548" s="501"/>
    </row>
    <row r="21549" spans="25:25" hidden="1" x14ac:dyDescent="0.25">
      <c r="Y21549" s="501"/>
    </row>
    <row r="21550" spans="25:25" hidden="1" x14ac:dyDescent="0.25">
      <c r="Y21550" s="501"/>
    </row>
    <row r="21551" spans="25:25" hidden="1" x14ac:dyDescent="0.25">
      <c r="Y21551" s="501"/>
    </row>
    <row r="21552" spans="25:25" hidden="1" x14ac:dyDescent="0.25">
      <c r="Y21552" s="501"/>
    </row>
    <row r="21553" spans="25:25" hidden="1" x14ac:dyDescent="0.25">
      <c r="Y21553" s="501"/>
    </row>
    <row r="21554" spans="25:25" hidden="1" x14ac:dyDescent="0.25">
      <c r="Y21554" s="501"/>
    </row>
    <row r="21555" spans="25:25" hidden="1" x14ac:dyDescent="0.25">
      <c r="Y21555" s="501"/>
    </row>
    <row r="21556" spans="25:25" hidden="1" x14ac:dyDescent="0.25">
      <c r="Y21556" s="501"/>
    </row>
    <row r="21557" spans="25:25" hidden="1" x14ac:dyDescent="0.25">
      <c r="Y21557" s="501"/>
    </row>
    <row r="21558" spans="25:25" hidden="1" x14ac:dyDescent="0.25">
      <c r="Y21558" s="501"/>
    </row>
    <row r="21559" spans="25:25" hidden="1" x14ac:dyDescent="0.25">
      <c r="Y21559" s="501"/>
    </row>
    <row r="21560" spans="25:25" hidden="1" x14ac:dyDescent="0.25">
      <c r="Y21560" s="501"/>
    </row>
    <row r="21561" spans="25:25" hidden="1" x14ac:dyDescent="0.25">
      <c r="Y21561" s="501"/>
    </row>
    <row r="21562" spans="25:25" hidden="1" x14ac:dyDescent="0.25">
      <c r="Y21562" s="501"/>
    </row>
    <row r="21563" spans="25:25" hidden="1" x14ac:dyDescent="0.25">
      <c r="Y21563" s="501"/>
    </row>
    <row r="21564" spans="25:25" hidden="1" x14ac:dyDescent="0.25">
      <c r="Y21564" s="501"/>
    </row>
    <row r="21565" spans="25:25" hidden="1" x14ac:dyDescent="0.25">
      <c r="Y21565" s="501"/>
    </row>
    <row r="21566" spans="25:25" hidden="1" x14ac:dyDescent="0.25">
      <c r="Y21566" s="501"/>
    </row>
    <row r="21567" spans="25:25" hidden="1" x14ac:dyDescent="0.25">
      <c r="Y21567" s="501"/>
    </row>
    <row r="21568" spans="25:25" hidden="1" x14ac:dyDescent="0.25">
      <c r="Y21568" s="501"/>
    </row>
    <row r="21569" spans="25:25" hidden="1" x14ac:dyDescent="0.25">
      <c r="Y21569" s="501"/>
    </row>
    <row r="21570" spans="25:25" hidden="1" x14ac:dyDescent="0.25">
      <c r="Y21570" s="501"/>
    </row>
    <row r="21571" spans="25:25" hidden="1" x14ac:dyDescent="0.25">
      <c r="Y21571" s="501"/>
    </row>
    <row r="21572" spans="25:25" hidden="1" x14ac:dyDescent="0.25">
      <c r="Y21572" s="501"/>
    </row>
    <row r="21573" spans="25:25" hidden="1" x14ac:dyDescent="0.25">
      <c r="Y21573" s="501"/>
    </row>
    <row r="21574" spans="25:25" hidden="1" x14ac:dyDescent="0.25">
      <c r="Y21574" s="501"/>
    </row>
    <row r="21575" spans="25:25" hidden="1" x14ac:dyDescent="0.25">
      <c r="Y21575" s="501"/>
    </row>
    <row r="21576" spans="25:25" hidden="1" x14ac:dyDescent="0.25">
      <c r="Y21576" s="501"/>
    </row>
    <row r="21577" spans="25:25" hidden="1" x14ac:dyDescent="0.25">
      <c r="Y21577" s="501"/>
    </row>
    <row r="21578" spans="25:25" hidden="1" x14ac:dyDescent="0.25">
      <c r="Y21578" s="501"/>
    </row>
    <row r="21579" spans="25:25" hidden="1" x14ac:dyDescent="0.25">
      <c r="Y21579" s="501"/>
    </row>
    <row r="21580" spans="25:25" hidden="1" x14ac:dyDescent="0.25">
      <c r="Y21580" s="501"/>
    </row>
    <row r="21581" spans="25:25" hidden="1" x14ac:dyDescent="0.25">
      <c r="Y21581" s="501"/>
    </row>
    <row r="21582" spans="25:25" hidden="1" x14ac:dyDescent="0.25">
      <c r="Y21582" s="501"/>
    </row>
    <row r="21583" spans="25:25" hidden="1" x14ac:dyDescent="0.25">
      <c r="Y21583" s="501"/>
    </row>
    <row r="21584" spans="25:25" hidden="1" x14ac:dyDescent="0.25">
      <c r="Y21584" s="501"/>
    </row>
    <row r="21585" spans="25:25" hidden="1" x14ac:dyDescent="0.25">
      <c r="Y21585" s="501"/>
    </row>
    <row r="21586" spans="25:25" hidden="1" x14ac:dyDescent="0.25">
      <c r="Y21586" s="501"/>
    </row>
    <row r="21587" spans="25:25" hidden="1" x14ac:dyDescent="0.25">
      <c r="Y21587" s="501"/>
    </row>
    <row r="21588" spans="25:25" hidden="1" x14ac:dyDescent="0.25">
      <c r="Y21588" s="501"/>
    </row>
    <row r="21589" spans="25:25" hidden="1" x14ac:dyDescent="0.25">
      <c r="Y21589" s="501"/>
    </row>
    <row r="21590" spans="25:25" hidden="1" x14ac:dyDescent="0.25">
      <c r="Y21590" s="501"/>
    </row>
    <row r="21591" spans="25:25" hidden="1" x14ac:dyDescent="0.25">
      <c r="Y21591" s="501"/>
    </row>
    <row r="21592" spans="25:25" hidden="1" x14ac:dyDescent="0.25">
      <c r="Y21592" s="501"/>
    </row>
    <row r="21593" spans="25:25" hidden="1" x14ac:dyDescent="0.25">
      <c r="Y21593" s="501"/>
    </row>
    <row r="21594" spans="25:25" hidden="1" x14ac:dyDescent="0.25">
      <c r="Y21594" s="501"/>
    </row>
    <row r="21595" spans="25:25" hidden="1" x14ac:dyDescent="0.25">
      <c r="Y21595" s="501"/>
    </row>
    <row r="21596" spans="25:25" hidden="1" x14ac:dyDescent="0.25">
      <c r="Y21596" s="501"/>
    </row>
    <row r="21597" spans="25:25" hidden="1" x14ac:dyDescent="0.25">
      <c r="Y21597" s="501"/>
    </row>
    <row r="21598" spans="25:25" hidden="1" x14ac:dyDescent="0.25">
      <c r="Y21598" s="501"/>
    </row>
    <row r="21599" spans="25:25" hidden="1" x14ac:dyDescent="0.25">
      <c r="Y21599" s="501"/>
    </row>
    <row r="21600" spans="25:25" hidden="1" x14ac:dyDescent="0.25">
      <c r="Y21600" s="501"/>
    </row>
    <row r="21601" spans="25:25" hidden="1" x14ac:dyDescent="0.25">
      <c r="Y21601" s="501"/>
    </row>
    <row r="21602" spans="25:25" hidden="1" x14ac:dyDescent="0.25">
      <c r="Y21602" s="501"/>
    </row>
    <row r="21603" spans="25:25" hidden="1" x14ac:dyDescent="0.25">
      <c r="Y21603" s="501"/>
    </row>
    <row r="21604" spans="25:25" hidden="1" x14ac:dyDescent="0.25">
      <c r="Y21604" s="501"/>
    </row>
    <row r="21605" spans="25:25" hidden="1" x14ac:dyDescent="0.25">
      <c r="Y21605" s="501"/>
    </row>
    <row r="21606" spans="25:25" hidden="1" x14ac:dyDescent="0.25">
      <c r="Y21606" s="501"/>
    </row>
    <row r="21607" spans="25:25" hidden="1" x14ac:dyDescent="0.25">
      <c r="Y21607" s="501"/>
    </row>
    <row r="21608" spans="25:25" hidden="1" x14ac:dyDescent="0.25">
      <c r="Y21608" s="501"/>
    </row>
    <row r="21609" spans="25:25" hidden="1" x14ac:dyDescent="0.25">
      <c r="Y21609" s="501"/>
    </row>
    <row r="21610" spans="25:25" hidden="1" x14ac:dyDescent="0.25">
      <c r="Y21610" s="501"/>
    </row>
    <row r="21611" spans="25:25" hidden="1" x14ac:dyDescent="0.25">
      <c r="Y21611" s="501"/>
    </row>
    <row r="21612" spans="25:25" hidden="1" x14ac:dyDescent="0.25">
      <c r="Y21612" s="501"/>
    </row>
    <row r="21613" spans="25:25" hidden="1" x14ac:dyDescent="0.25">
      <c r="Y21613" s="501"/>
    </row>
    <row r="21614" spans="25:25" hidden="1" x14ac:dyDescent="0.25">
      <c r="Y21614" s="501"/>
    </row>
    <row r="21615" spans="25:25" hidden="1" x14ac:dyDescent="0.25">
      <c r="Y21615" s="501"/>
    </row>
    <row r="21616" spans="25:25" hidden="1" x14ac:dyDescent="0.25">
      <c r="Y21616" s="501"/>
    </row>
    <row r="21617" spans="25:25" hidden="1" x14ac:dyDescent="0.25">
      <c r="Y21617" s="501"/>
    </row>
    <row r="21618" spans="25:25" hidden="1" x14ac:dyDescent="0.25">
      <c r="Y21618" s="501"/>
    </row>
    <row r="21619" spans="25:25" hidden="1" x14ac:dyDescent="0.25">
      <c r="Y21619" s="501"/>
    </row>
    <row r="21620" spans="25:25" hidden="1" x14ac:dyDescent="0.25">
      <c r="Y21620" s="501"/>
    </row>
    <row r="21621" spans="25:25" hidden="1" x14ac:dyDescent="0.25">
      <c r="Y21621" s="501"/>
    </row>
    <row r="21622" spans="25:25" hidden="1" x14ac:dyDescent="0.25">
      <c r="Y21622" s="501"/>
    </row>
    <row r="21623" spans="25:25" hidden="1" x14ac:dyDescent="0.25">
      <c r="Y21623" s="501"/>
    </row>
    <row r="21624" spans="25:25" hidden="1" x14ac:dyDescent="0.25">
      <c r="Y21624" s="501"/>
    </row>
    <row r="21625" spans="25:25" hidden="1" x14ac:dyDescent="0.25">
      <c r="Y21625" s="501"/>
    </row>
    <row r="21626" spans="25:25" hidden="1" x14ac:dyDescent="0.25">
      <c r="Y21626" s="501"/>
    </row>
    <row r="21627" spans="25:25" hidden="1" x14ac:dyDescent="0.25">
      <c r="Y21627" s="501"/>
    </row>
    <row r="21628" spans="25:25" hidden="1" x14ac:dyDescent="0.25">
      <c r="Y21628" s="501"/>
    </row>
    <row r="21629" spans="25:25" hidden="1" x14ac:dyDescent="0.25">
      <c r="Y21629" s="501"/>
    </row>
    <row r="21630" spans="25:25" hidden="1" x14ac:dyDescent="0.25">
      <c r="Y21630" s="501"/>
    </row>
    <row r="21631" spans="25:25" hidden="1" x14ac:dyDescent="0.25">
      <c r="Y21631" s="501"/>
    </row>
    <row r="21632" spans="25:25" hidden="1" x14ac:dyDescent="0.25">
      <c r="Y21632" s="501"/>
    </row>
    <row r="21633" spans="25:25" hidden="1" x14ac:dyDescent="0.25">
      <c r="Y21633" s="501"/>
    </row>
    <row r="21634" spans="25:25" hidden="1" x14ac:dyDescent="0.25">
      <c r="Y21634" s="501"/>
    </row>
    <row r="21635" spans="25:25" hidden="1" x14ac:dyDescent="0.25">
      <c r="Y21635" s="501"/>
    </row>
    <row r="21636" spans="25:25" hidden="1" x14ac:dyDescent="0.25">
      <c r="Y21636" s="501"/>
    </row>
    <row r="21637" spans="25:25" hidden="1" x14ac:dyDescent="0.25">
      <c r="Y21637" s="501"/>
    </row>
    <row r="21638" spans="25:25" hidden="1" x14ac:dyDescent="0.25">
      <c r="Y21638" s="501"/>
    </row>
    <row r="21639" spans="25:25" hidden="1" x14ac:dyDescent="0.25">
      <c r="Y21639" s="501"/>
    </row>
    <row r="21640" spans="25:25" hidden="1" x14ac:dyDescent="0.25">
      <c r="Y21640" s="501"/>
    </row>
    <row r="21641" spans="25:25" hidden="1" x14ac:dyDescent="0.25">
      <c r="Y21641" s="501"/>
    </row>
    <row r="21642" spans="25:25" hidden="1" x14ac:dyDescent="0.25">
      <c r="Y21642" s="501"/>
    </row>
    <row r="21643" spans="25:25" hidden="1" x14ac:dyDescent="0.25">
      <c r="Y21643" s="501"/>
    </row>
    <row r="21644" spans="25:25" hidden="1" x14ac:dyDescent="0.25">
      <c r="Y21644" s="501"/>
    </row>
    <row r="21645" spans="25:25" hidden="1" x14ac:dyDescent="0.25">
      <c r="Y21645" s="501"/>
    </row>
    <row r="21646" spans="25:25" hidden="1" x14ac:dyDescent="0.25">
      <c r="Y21646" s="501"/>
    </row>
    <row r="21647" spans="25:25" hidden="1" x14ac:dyDescent="0.25">
      <c r="Y21647" s="501"/>
    </row>
    <row r="21648" spans="25:25" hidden="1" x14ac:dyDescent="0.25">
      <c r="Y21648" s="501"/>
    </row>
    <row r="21649" spans="25:25" hidden="1" x14ac:dyDescent="0.25">
      <c r="Y21649" s="501"/>
    </row>
    <row r="21650" spans="25:25" hidden="1" x14ac:dyDescent="0.25">
      <c r="Y21650" s="501"/>
    </row>
    <row r="21651" spans="25:25" hidden="1" x14ac:dyDescent="0.25">
      <c r="Y21651" s="501"/>
    </row>
    <row r="21652" spans="25:25" hidden="1" x14ac:dyDescent="0.25">
      <c r="Y21652" s="501"/>
    </row>
    <row r="21653" spans="25:25" hidden="1" x14ac:dyDescent="0.25">
      <c r="Y21653" s="501"/>
    </row>
    <row r="21654" spans="25:25" hidden="1" x14ac:dyDescent="0.25">
      <c r="Y21654" s="501"/>
    </row>
    <row r="21655" spans="25:25" hidden="1" x14ac:dyDescent="0.25">
      <c r="Y21655" s="501"/>
    </row>
    <row r="21656" spans="25:25" hidden="1" x14ac:dyDescent="0.25">
      <c r="Y21656" s="501"/>
    </row>
    <row r="21657" spans="25:25" hidden="1" x14ac:dyDescent="0.25">
      <c r="Y21657" s="501"/>
    </row>
    <row r="21658" spans="25:25" hidden="1" x14ac:dyDescent="0.25">
      <c r="Y21658" s="501"/>
    </row>
    <row r="21659" spans="25:25" hidden="1" x14ac:dyDescent="0.25">
      <c r="Y21659" s="501"/>
    </row>
    <row r="21660" spans="25:25" hidden="1" x14ac:dyDescent="0.25">
      <c r="Y21660" s="501"/>
    </row>
    <row r="21661" spans="25:25" hidden="1" x14ac:dyDescent="0.25">
      <c r="Y21661" s="501"/>
    </row>
    <row r="21662" spans="25:25" hidden="1" x14ac:dyDescent="0.25">
      <c r="Y21662" s="501"/>
    </row>
    <row r="21663" spans="25:25" hidden="1" x14ac:dyDescent="0.25">
      <c r="Y21663" s="501"/>
    </row>
    <row r="21664" spans="25:25" hidden="1" x14ac:dyDescent="0.25">
      <c r="Y21664" s="501"/>
    </row>
    <row r="21665" spans="25:25" hidden="1" x14ac:dyDescent="0.25">
      <c r="Y21665" s="501"/>
    </row>
    <row r="21666" spans="25:25" hidden="1" x14ac:dyDescent="0.25">
      <c r="Y21666" s="501"/>
    </row>
    <row r="21667" spans="25:25" hidden="1" x14ac:dyDescent="0.25">
      <c r="Y21667" s="501"/>
    </row>
    <row r="21668" spans="25:25" hidden="1" x14ac:dyDescent="0.25">
      <c r="Y21668" s="501"/>
    </row>
    <row r="21669" spans="25:25" hidden="1" x14ac:dyDescent="0.25">
      <c r="Y21669" s="501"/>
    </row>
    <row r="21670" spans="25:25" hidden="1" x14ac:dyDescent="0.25">
      <c r="Y21670" s="501"/>
    </row>
    <row r="21671" spans="25:25" hidden="1" x14ac:dyDescent="0.25">
      <c r="Y21671" s="501"/>
    </row>
    <row r="21672" spans="25:25" hidden="1" x14ac:dyDescent="0.25">
      <c r="Y21672" s="501"/>
    </row>
    <row r="21673" spans="25:25" hidden="1" x14ac:dyDescent="0.25">
      <c r="Y21673" s="501"/>
    </row>
    <row r="21674" spans="25:25" hidden="1" x14ac:dyDescent="0.25">
      <c r="Y21674" s="501"/>
    </row>
    <row r="21675" spans="25:25" hidden="1" x14ac:dyDescent="0.25">
      <c r="Y21675" s="501"/>
    </row>
    <row r="21676" spans="25:25" hidden="1" x14ac:dyDescent="0.25">
      <c r="Y21676" s="501"/>
    </row>
    <row r="21677" spans="25:25" hidden="1" x14ac:dyDescent="0.25">
      <c r="Y21677" s="501"/>
    </row>
    <row r="21678" spans="25:25" hidden="1" x14ac:dyDescent="0.25">
      <c r="Y21678" s="501"/>
    </row>
    <row r="21679" spans="25:25" hidden="1" x14ac:dyDescent="0.25">
      <c r="Y21679" s="501"/>
    </row>
    <row r="21680" spans="25:25" hidden="1" x14ac:dyDescent="0.25">
      <c r="Y21680" s="501"/>
    </row>
    <row r="21681" spans="25:25" hidden="1" x14ac:dyDescent="0.25">
      <c r="Y21681" s="501"/>
    </row>
    <row r="21682" spans="25:25" hidden="1" x14ac:dyDescent="0.25">
      <c r="Y21682" s="501"/>
    </row>
    <row r="21683" spans="25:25" hidden="1" x14ac:dyDescent="0.25">
      <c r="Y21683" s="501"/>
    </row>
    <row r="21684" spans="25:25" hidden="1" x14ac:dyDescent="0.25">
      <c r="Y21684" s="501"/>
    </row>
    <row r="21685" spans="25:25" hidden="1" x14ac:dyDescent="0.25">
      <c r="Y21685" s="501"/>
    </row>
    <row r="21686" spans="25:25" hidden="1" x14ac:dyDescent="0.25">
      <c r="Y21686" s="501"/>
    </row>
    <row r="21687" spans="25:25" hidden="1" x14ac:dyDescent="0.25">
      <c r="Y21687" s="501"/>
    </row>
    <row r="21688" spans="25:25" hidden="1" x14ac:dyDescent="0.25">
      <c r="Y21688" s="501"/>
    </row>
    <row r="21689" spans="25:25" hidden="1" x14ac:dyDescent="0.25">
      <c r="Y21689" s="501"/>
    </row>
    <row r="21690" spans="25:25" hidden="1" x14ac:dyDescent="0.25">
      <c r="Y21690" s="501"/>
    </row>
    <row r="21691" spans="25:25" hidden="1" x14ac:dyDescent="0.25">
      <c r="Y21691" s="501"/>
    </row>
    <row r="21692" spans="25:25" hidden="1" x14ac:dyDescent="0.25">
      <c r="Y21692" s="501"/>
    </row>
    <row r="21693" spans="25:25" hidden="1" x14ac:dyDescent="0.25">
      <c r="Y21693" s="501"/>
    </row>
    <row r="21694" spans="25:25" hidden="1" x14ac:dyDescent="0.25">
      <c r="Y21694" s="501"/>
    </row>
    <row r="21695" spans="25:25" hidden="1" x14ac:dyDescent="0.25">
      <c r="Y21695" s="501"/>
    </row>
    <row r="21696" spans="25:25" hidden="1" x14ac:dyDescent="0.25">
      <c r="Y21696" s="501"/>
    </row>
    <row r="21697" spans="25:25" hidden="1" x14ac:dyDescent="0.25">
      <c r="Y21697" s="501"/>
    </row>
    <row r="21698" spans="25:25" hidden="1" x14ac:dyDescent="0.25">
      <c r="Y21698" s="501"/>
    </row>
    <row r="21699" spans="25:25" hidden="1" x14ac:dyDescent="0.25">
      <c r="Y21699" s="501"/>
    </row>
    <row r="21700" spans="25:25" hidden="1" x14ac:dyDescent="0.25">
      <c r="Y21700" s="501"/>
    </row>
    <row r="21701" spans="25:25" hidden="1" x14ac:dyDescent="0.25">
      <c r="Y21701" s="501"/>
    </row>
    <row r="21702" spans="25:25" hidden="1" x14ac:dyDescent="0.25">
      <c r="Y21702" s="501"/>
    </row>
    <row r="21703" spans="25:25" hidden="1" x14ac:dyDescent="0.25">
      <c r="Y21703" s="501"/>
    </row>
    <row r="21704" spans="25:25" hidden="1" x14ac:dyDescent="0.25">
      <c r="Y21704" s="501"/>
    </row>
    <row r="21705" spans="25:25" hidden="1" x14ac:dyDescent="0.25">
      <c r="Y21705" s="501"/>
    </row>
    <row r="21706" spans="25:25" hidden="1" x14ac:dyDescent="0.25">
      <c r="Y21706" s="501"/>
    </row>
    <row r="21707" spans="25:25" hidden="1" x14ac:dyDescent="0.25">
      <c r="Y21707" s="501"/>
    </row>
    <row r="21708" spans="25:25" hidden="1" x14ac:dyDescent="0.25">
      <c r="Y21708" s="501"/>
    </row>
    <row r="21709" spans="25:25" hidden="1" x14ac:dyDescent="0.25">
      <c r="Y21709" s="501"/>
    </row>
    <row r="21710" spans="25:25" hidden="1" x14ac:dyDescent="0.25">
      <c r="Y21710" s="501"/>
    </row>
    <row r="21711" spans="25:25" hidden="1" x14ac:dyDescent="0.25">
      <c r="Y21711" s="501"/>
    </row>
    <row r="21712" spans="25:25" hidden="1" x14ac:dyDescent="0.25">
      <c r="Y21712" s="501"/>
    </row>
    <row r="21713" spans="25:25" hidden="1" x14ac:dyDescent="0.25">
      <c r="Y21713" s="501"/>
    </row>
    <row r="21714" spans="25:25" hidden="1" x14ac:dyDescent="0.25">
      <c r="Y21714" s="501"/>
    </row>
    <row r="21715" spans="25:25" hidden="1" x14ac:dyDescent="0.25">
      <c r="Y21715" s="501"/>
    </row>
    <row r="21716" spans="25:25" hidden="1" x14ac:dyDescent="0.25">
      <c r="Y21716" s="501"/>
    </row>
    <row r="21717" spans="25:25" hidden="1" x14ac:dyDescent="0.25">
      <c r="Y21717" s="501"/>
    </row>
    <row r="21718" spans="25:25" hidden="1" x14ac:dyDescent="0.25">
      <c r="Y21718" s="501"/>
    </row>
    <row r="21719" spans="25:25" hidden="1" x14ac:dyDescent="0.25">
      <c r="Y21719" s="501"/>
    </row>
    <row r="21720" spans="25:25" hidden="1" x14ac:dyDescent="0.25">
      <c r="Y21720" s="501"/>
    </row>
    <row r="21721" spans="25:25" hidden="1" x14ac:dyDescent="0.25">
      <c r="Y21721" s="501"/>
    </row>
    <row r="21722" spans="25:25" hidden="1" x14ac:dyDescent="0.25">
      <c r="Y21722" s="501"/>
    </row>
    <row r="21723" spans="25:25" hidden="1" x14ac:dyDescent="0.25">
      <c r="Y21723" s="501"/>
    </row>
    <row r="21724" spans="25:25" hidden="1" x14ac:dyDescent="0.25">
      <c r="Y21724" s="501"/>
    </row>
    <row r="21725" spans="25:25" hidden="1" x14ac:dyDescent="0.25">
      <c r="Y21725" s="501"/>
    </row>
    <row r="21726" spans="25:25" hidden="1" x14ac:dyDescent="0.25">
      <c r="Y21726" s="501"/>
    </row>
    <row r="21727" spans="25:25" hidden="1" x14ac:dyDescent="0.25">
      <c r="Y21727" s="501"/>
    </row>
    <row r="21728" spans="25:25" hidden="1" x14ac:dyDescent="0.25">
      <c r="Y21728" s="501"/>
    </row>
    <row r="21729" spans="25:25" hidden="1" x14ac:dyDescent="0.25">
      <c r="Y21729" s="501"/>
    </row>
    <row r="21730" spans="25:25" hidden="1" x14ac:dyDescent="0.25">
      <c r="Y21730" s="501"/>
    </row>
    <row r="21731" spans="25:25" hidden="1" x14ac:dyDescent="0.25">
      <c r="Y21731" s="501"/>
    </row>
    <row r="21732" spans="25:25" hidden="1" x14ac:dyDescent="0.25">
      <c r="Y21732" s="501"/>
    </row>
    <row r="21733" spans="25:25" hidden="1" x14ac:dyDescent="0.25">
      <c r="Y21733" s="501"/>
    </row>
    <row r="21734" spans="25:25" hidden="1" x14ac:dyDescent="0.25">
      <c r="Y21734" s="501"/>
    </row>
    <row r="21735" spans="25:25" hidden="1" x14ac:dyDescent="0.25">
      <c r="Y21735" s="501"/>
    </row>
    <row r="21736" spans="25:25" hidden="1" x14ac:dyDescent="0.25">
      <c r="Y21736" s="501"/>
    </row>
    <row r="21737" spans="25:25" hidden="1" x14ac:dyDescent="0.25">
      <c r="Y21737" s="501"/>
    </row>
    <row r="21738" spans="25:25" hidden="1" x14ac:dyDescent="0.25">
      <c r="Y21738" s="501"/>
    </row>
    <row r="21739" spans="25:25" hidden="1" x14ac:dyDescent="0.25">
      <c r="Y21739" s="501"/>
    </row>
    <row r="21740" spans="25:25" hidden="1" x14ac:dyDescent="0.25">
      <c r="Y21740" s="501"/>
    </row>
    <row r="21741" spans="25:25" hidden="1" x14ac:dyDescent="0.25">
      <c r="Y21741" s="501"/>
    </row>
    <row r="21742" spans="25:25" hidden="1" x14ac:dyDescent="0.25">
      <c r="Y21742" s="501"/>
    </row>
    <row r="21743" spans="25:25" hidden="1" x14ac:dyDescent="0.25">
      <c r="Y21743" s="501"/>
    </row>
    <row r="21744" spans="25:25" hidden="1" x14ac:dyDescent="0.25">
      <c r="Y21744" s="501"/>
    </row>
    <row r="21745" spans="25:25" hidden="1" x14ac:dyDescent="0.25">
      <c r="Y21745" s="501"/>
    </row>
    <row r="21746" spans="25:25" hidden="1" x14ac:dyDescent="0.25">
      <c r="Y21746" s="501"/>
    </row>
    <row r="21747" spans="25:25" hidden="1" x14ac:dyDescent="0.25">
      <c r="Y21747" s="501"/>
    </row>
    <row r="21748" spans="25:25" hidden="1" x14ac:dyDescent="0.25">
      <c r="Y21748" s="501"/>
    </row>
    <row r="21749" spans="25:25" hidden="1" x14ac:dyDescent="0.25">
      <c r="Y21749" s="501"/>
    </row>
    <row r="21750" spans="25:25" hidden="1" x14ac:dyDescent="0.25">
      <c r="Y21750" s="501"/>
    </row>
    <row r="21751" spans="25:25" hidden="1" x14ac:dyDescent="0.25">
      <c r="Y21751" s="501"/>
    </row>
    <row r="21752" spans="25:25" hidden="1" x14ac:dyDescent="0.25">
      <c r="Y21752" s="501"/>
    </row>
    <row r="21753" spans="25:25" hidden="1" x14ac:dyDescent="0.25">
      <c r="Y21753" s="501"/>
    </row>
    <row r="21754" spans="25:25" hidden="1" x14ac:dyDescent="0.25">
      <c r="Y21754" s="501"/>
    </row>
    <row r="21755" spans="25:25" hidden="1" x14ac:dyDescent="0.25">
      <c r="Y21755" s="501"/>
    </row>
    <row r="21756" spans="25:25" hidden="1" x14ac:dyDescent="0.25">
      <c r="Y21756" s="501"/>
    </row>
    <row r="21757" spans="25:25" hidden="1" x14ac:dyDescent="0.25">
      <c r="Y21757" s="501"/>
    </row>
    <row r="21758" spans="25:25" hidden="1" x14ac:dyDescent="0.25">
      <c r="Y21758" s="501"/>
    </row>
    <row r="21759" spans="25:25" hidden="1" x14ac:dyDescent="0.25">
      <c r="Y21759" s="501"/>
    </row>
    <row r="21760" spans="25:25" hidden="1" x14ac:dyDescent="0.25">
      <c r="Y21760" s="501"/>
    </row>
    <row r="21761" spans="25:25" hidden="1" x14ac:dyDescent="0.25">
      <c r="Y21761" s="501"/>
    </row>
    <row r="21762" spans="25:25" hidden="1" x14ac:dyDescent="0.25">
      <c r="Y21762" s="501"/>
    </row>
    <row r="21763" spans="25:25" hidden="1" x14ac:dyDescent="0.25">
      <c r="Y21763" s="501"/>
    </row>
    <row r="21764" spans="25:25" hidden="1" x14ac:dyDescent="0.25">
      <c r="Y21764" s="501"/>
    </row>
    <row r="21765" spans="25:25" hidden="1" x14ac:dyDescent="0.25">
      <c r="Y21765" s="501"/>
    </row>
    <row r="21766" spans="25:25" hidden="1" x14ac:dyDescent="0.25">
      <c r="Y21766" s="501"/>
    </row>
    <row r="21767" spans="25:25" hidden="1" x14ac:dyDescent="0.25">
      <c r="Y21767" s="501"/>
    </row>
    <row r="21768" spans="25:25" hidden="1" x14ac:dyDescent="0.25">
      <c r="Y21768" s="501"/>
    </row>
    <row r="21769" spans="25:25" hidden="1" x14ac:dyDescent="0.25">
      <c r="Y21769" s="501"/>
    </row>
    <row r="21770" spans="25:25" hidden="1" x14ac:dyDescent="0.25">
      <c r="Y21770" s="501"/>
    </row>
    <row r="21771" spans="25:25" hidden="1" x14ac:dyDescent="0.25">
      <c r="Y21771" s="501"/>
    </row>
    <row r="21772" spans="25:25" hidden="1" x14ac:dyDescent="0.25">
      <c r="Y21772" s="501"/>
    </row>
    <row r="21773" spans="25:25" hidden="1" x14ac:dyDescent="0.25">
      <c r="Y21773" s="501"/>
    </row>
    <row r="21774" spans="25:25" hidden="1" x14ac:dyDescent="0.25">
      <c r="Y21774" s="501"/>
    </row>
    <row r="21775" spans="25:25" hidden="1" x14ac:dyDescent="0.25">
      <c r="Y21775" s="501"/>
    </row>
    <row r="21776" spans="25:25" hidden="1" x14ac:dyDescent="0.25">
      <c r="Y21776" s="501"/>
    </row>
    <row r="21777" spans="25:25" hidden="1" x14ac:dyDescent="0.25">
      <c r="Y21777" s="501"/>
    </row>
    <row r="21778" spans="25:25" hidden="1" x14ac:dyDescent="0.25">
      <c r="Y21778" s="501"/>
    </row>
    <row r="21779" spans="25:25" hidden="1" x14ac:dyDescent="0.25">
      <c r="Y21779" s="501"/>
    </row>
    <row r="21780" spans="25:25" hidden="1" x14ac:dyDescent="0.25">
      <c r="Y21780" s="501"/>
    </row>
    <row r="21781" spans="25:25" hidden="1" x14ac:dyDescent="0.25">
      <c r="Y21781" s="501"/>
    </row>
    <row r="21782" spans="25:25" hidden="1" x14ac:dyDescent="0.25">
      <c r="Y21782" s="501"/>
    </row>
    <row r="21783" spans="25:25" hidden="1" x14ac:dyDescent="0.25">
      <c r="Y21783" s="501"/>
    </row>
    <row r="21784" spans="25:25" hidden="1" x14ac:dyDescent="0.25">
      <c r="Y21784" s="501"/>
    </row>
    <row r="21785" spans="25:25" hidden="1" x14ac:dyDescent="0.25">
      <c r="Y21785" s="501"/>
    </row>
    <row r="21786" spans="25:25" hidden="1" x14ac:dyDescent="0.25">
      <c r="Y21786" s="501"/>
    </row>
    <row r="21787" spans="25:25" hidden="1" x14ac:dyDescent="0.25">
      <c r="Y21787" s="501"/>
    </row>
    <row r="21788" spans="25:25" hidden="1" x14ac:dyDescent="0.25">
      <c r="Y21788" s="501"/>
    </row>
    <row r="21789" spans="25:25" hidden="1" x14ac:dyDescent="0.25">
      <c r="Y21789" s="501"/>
    </row>
    <row r="21790" spans="25:25" hidden="1" x14ac:dyDescent="0.25">
      <c r="Y21790" s="501"/>
    </row>
    <row r="21791" spans="25:25" hidden="1" x14ac:dyDescent="0.25">
      <c r="Y21791" s="501"/>
    </row>
    <row r="21792" spans="25:25" hidden="1" x14ac:dyDescent="0.25">
      <c r="Y21792" s="501"/>
    </row>
    <row r="21793" spans="25:25" hidden="1" x14ac:dyDescent="0.25">
      <c r="Y21793" s="501"/>
    </row>
    <row r="21794" spans="25:25" hidden="1" x14ac:dyDescent="0.25">
      <c r="Y21794" s="501"/>
    </row>
    <row r="21795" spans="25:25" hidden="1" x14ac:dyDescent="0.25">
      <c r="Y21795" s="501"/>
    </row>
    <row r="21796" spans="25:25" hidden="1" x14ac:dyDescent="0.25">
      <c r="Y21796" s="501"/>
    </row>
    <row r="21797" spans="25:25" hidden="1" x14ac:dyDescent="0.25">
      <c r="Y21797" s="501"/>
    </row>
    <row r="21798" spans="25:25" hidden="1" x14ac:dyDescent="0.25">
      <c r="Y21798" s="501"/>
    </row>
    <row r="21799" spans="25:25" hidden="1" x14ac:dyDescent="0.25">
      <c r="Y21799" s="501"/>
    </row>
    <row r="21800" spans="25:25" hidden="1" x14ac:dyDescent="0.25">
      <c r="Y21800" s="501"/>
    </row>
    <row r="21801" spans="25:25" hidden="1" x14ac:dyDescent="0.25">
      <c r="Y21801" s="501"/>
    </row>
    <row r="21802" spans="25:25" hidden="1" x14ac:dyDescent="0.25">
      <c r="Y21802" s="501"/>
    </row>
    <row r="21803" spans="25:25" hidden="1" x14ac:dyDescent="0.25">
      <c r="Y21803" s="501"/>
    </row>
    <row r="21804" spans="25:25" hidden="1" x14ac:dyDescent="0.25">
      <c r="Y21804" s="501"/>
    </row>
    <row r="21805" spans="25:25" hidden="1" x14ac:dyDescent="0.25">
      <c r="Y21805" s="501"/>
    </row>
    <row r="21806" spans="25:25" hidden="1" x14ac:dyDescent="0.25">
      <c r="Y21806" s="501"/>
    </row>
    <row r="21807" spans="25:25" hidden="1" x14ac:dyDescent="0.25">
      <c r="Y21807" s="501"/>
    </row>
    <row r="21808" spans="25:25" hidden="1" x14ac:dyDescent="0.25">
      <c r="Y21808" s="501"/>
    </row>
    <row r="21809" spans="25:25" hidden="1" x14ac:dyDescent="0.25">
      <c r="Y21809" s="501"/>
    </row>
    <row r="21810" spans="25:25" hidden="1" x14ac:dyDescent="0.25">
      <c r="Y21810" s="501"/>
    </row>
    <row r="21811" spans="25:25" hidden="1" x14ac:dyDescent="0.25">
      <c r="Y21811" s="501"/>
    </row>
    <row r="21812" spans="25:25" hidden="1" x14ac:dyDescent="0.25">
      <c r="Y21812" s="501"/>
    </row>
    <row r="21813" spans="25:25" hidden="1" x14ac:dyDescent="0.25">
      <c r="Y21813" s="501"/>
    </row>
    <row r="21814" spans="25:25" hidden="1" x14ac:dyDescent="0.25">
      <c r="Y21814" s="501"/>
    </row>
    <row r="21815" spans="25:25" hidden="1" x14ac:dyDescent="0.25">
      <c r="Y21815" s="501"/>
    </row>
    <row r="21816" spans="25:25" hidden="1" x14ac:dyDescent="0.25">
      <c r="Y21816" s="501"/>
    </row>
    <row r="21817" spans="25:25" hidden="1" x14ac:dyDescent="0.25">
      <c r="Y21817" s="501"/>
    </row>
    <row r="21818" spans="25:25" hidden="1" x14ac:dyDescent="0.25">
      <c r="Y21818" s="501"/>
    </row>
    <row r="21819" spans="25:25" hidden="1" x14ac:dyDescent="0.25">
      <c r="Y21819" s="501"/>
    </row>
    <row r="21820" spans="25:25" hidden="1" x14ac:dyDescent="0.25">
      <c r="Y21820" s="501"/>
    </row>
    <row r="21821" spans="25:25" hidden="1" x14ac:dyDescent="0.25">
      <c r="Y21821" s="501"/>
    </row>
    <row r="21822" spans="25:25" hidden="1" x14ac:dyDescent="0.25">
      <c r="Y21822" s="501"/>
    </row>
    <row r="21823" spans="25:25" hidden="1" x14ac:dyDescent="0.25">
      <c r="Y21823" s="501"/>
    </row>
    <row r="21824" spans="25:25" hidden="1" x14ac:dyDescent="0.25">
      <c r="Y21824" s="501"/>
    </row>
    <row r="21825" spans="25:25" hidden="1" x14ac:dyDescent="0.25">
      <c r="Y21825" s="501"/>
    </row>
    <row r="21826" spans="25:25" hidden="1" x14ac:dyDescent="0.25">
      <c r="Y21826" s="501"/>
    </row>
    <row r="21827" spans="25:25" hidden="1" x14ac:dyDescent="0.25">
      <c r="Y21827" s="501"/>
    </row>
    <row r="21828" spans="25:25" hidden="1" x14ac:dyDescent="0.25">
      <c r="Y21828" s="501"/>
    </row>
    <row r="21829" spans="25:25" hidden="1" x14ac:dyDescent="0.25">
      <c r="Y21829" s="501"/>
    </row>
    <row r="21830" spans="25:25" hidden="1" x14ac:dyDescent="0.25">
      <c r="Y21830" s="501"/>
    </row>
    <row r="21831" spans="25:25" hidden="1" x14ac:dyDescent="0.25">
      <c r="Y21831" s="501"/>
    </row>
    <row r="21832" spans="25:25" hidden="1" x14ac:dyDescent="0.25">
      <c r="Y21832" s="501"/>
    </row>
    <row r="21833" spans="25:25" hidden="1" x14ac:dyDescent="0.25">
      <c r="Y21833" s="501"/>
    </row>
    <row r="21834" spans="25:25" hidden="1" x14ac:dyDescent="0.25">
      <c r="Y21834" s="501"/>
    </row>
    <row r="21835" spans="25:25" hidden="1" x14ac:dyDescent="0.25">
      <c r="Y21835" s="501"/>
    </row>
    <row r="21836" spans="25:25" hidden="1" x14ac:dyDescent="0.25">
      <c r="Y21836" s="501"/>
    </row>
    <row r="21837" spans="25:25" hidden="1" x14ac:dyDescent="0.25">
      <c r="Y21837" s="501"/>
    </row>
    <row r="21838" spans="25:25" hidden="1" x14ac:dyDescent="0.25">
      <c r="Y21838" s="501"/>
    </row>
    <row r="21839" spans="25:25" hidden="1" x14ac:dyDescent="0.25">
      <c r="Y21839" s="501"/>
    </row>
    <row r="21840" spans="25:25" hidden="1" x14ac:dyDescent="0.25">
      <c r="Y21840" s="501"/>
    </row>
    <row r="21841" spans="25:25" hidden="1" x14ac:dyDescent="0.25">
      <c r="Y21841" s="501"/>
    </row>
    <row r="21842" spans="25:25" hidden="1" x14ac:dyDescent="0.25">
      <c r="Y21842" s="501"/>
    </row>
    <row r="21843" spans="25:25" hidden="1" x14ac:dyDescent="0.25">
      <c r="Y21843" s="501"/>
    </row>
    <row r="21844" spans="25:25" hidden="1" x14ac:dyDescent="0.25">
      <c r="Y21844" s="501"/>
    </row>
    <row r="21845" spans="25:25" hidden="1" x14ac:dyDescent="0.25">
      <c r="Y21845" s="501"/>
    </row>
    <row r="21846" spans="25:25" hidden="1" x14ac:dyDescent="0.25">
      <c r="Y21846" s="501"/>
    </row>
    <row r="21847" spans="25:25" hidden="1" x14ac:dyDescent="0.25">
      <c r="Y21847" s="501"/>
    </row>
    <row r="21848" spans="25:25" hidden="1" x14ac:dyDescent="0.25">
      <c r="Y21848" s="501"/>
    </row>
    <row r="21849" spans="25:25" hidden="1" x14ac:dyDescent="0.25">
      <c r="Y21849" s="501"/>
    </row>
    <row r="21850" spans="25:25" hidden="1" x14ac:dyDescent="0.25">
      <c r="Y21850" s="501"/>
    </row>
    <row r="21851" spans="25:25" hidden="1" x14ac:dyDescent="0.25">
      <c r="Y21851" s="501"/>
    </row>
    <row r="21852" spans="25:25" hidden="1" x14ac:dyDescent="0.25">
      <c r="Y21852" s="501"/>
    </row>
    <row r="21853" spans="25:25" hidden="1" x14ac:dyDescent="0.25">
      <c r="Y21853" s="501"/>
    </row>
    <row r="21854" spans="25:25" hidden="1" x14ac:dyDescent="0.25">
      <c r="Y21854" s="501"/>
    </row>
    <row r="21855" spans="25:25" hidden="1" x14ac:dyDescent="0.25">
      <c r="Y21855" s="501"/>
    </row>
    <row r="21856" spans="25:25" hidden="1" x14ac:dyDescent="0.25">
      <c r="Y21856" s="501"/>
    </row>
    <row r="21857" spans="25:25" hidden="1" x14ac:dyDescent="0.25">
      <c r="Y21857" s="501"/>
    </row>
    <row r="21858" spans="25:25" hidden="1" x14ac:dyDescent="0.25">
      <c r="Y21858" s="501"/>
    </row>
    <row r="21859" spans="25:25" hidden="1" x14ac:dyDescent="0.25">
      <c r="Y21859" s="501"/>
    </row>
    <row r="21860" spans="25:25" hidden="1" x14ac:dyDescent="0.25">
      <c r="Y21860" s="501"/>
    </row>
    <row r="21861" spans="25:25" hidden="1" x14ac:dyDescent="0.25">
      <c r="Y21861" s="501"/>
    </row>
    <row r="21862" spans="25:25" hidden="1" x14ac:dyDescent="0.25">
      <c r="Y21862" s="501"/>
    </row>
    <row r="21863" spans="25:25" hidden="1" x14ac:dyDescent="0.25">
      <c r="Y21863" s="501"/>
    </row>
    <row r="21864" spans="25:25" hidden="1" x14ac:dyDescent="0.25">
      <c r="Y21864" s="501"/>
    </row>
    <row r="21865" spans="25:25" hidden="1" x14ac:dyDescent="0.25">
      <c r="Y21865" s="501"/>
    </row>
    <row r="21866" spans="25:25" hidden="1" x14ac:dyDescent="0.25">
      <c r="Y21866" s="501"/>
    </row>
    <row r="21867" spans="25:25" hidden="1" x14ac:dyDescent="0.25">
      <c r="Y21867" s="501"/>
    </row>
    <row r="21868" spans="25:25" hidden="1" x14ac:dyDescent="0.25">
      <c r="Y21868" s="501"/>
    </row>
    <row r="21869" spans="25:25" hidden="1" x14ac:dyDescent="0.25">
      <c r="Y21869" s="501"/>
    </row>
    <row r="21870" spans="25:25" hidden="1" x14ac:dyDescent="0.25">
      <c r="Y21870" s="501"/>
    </row>
    <row r="21871" spans="25:25" hidden="1" x14ac:dyDescent="0.25">
      <c r="Y21871" s="501"/>
    </row>
    <row r="21872" spans="25:25" hidden="1" x14ac:dyDescent="0.25">
      <c r="Y21872" s="501"/>
    </row>
    <row r="21873" spans="25:25" hidden="1" x14ac:dyDescent="0.25">
      <c r="Y21873" s="501"/>
    </row>
    <row r="21874" spans="25:25" hidden="1" x14ac:dyDescent="0.25">
      <c r="Y21874" s="501"/>
    </row>
    <row r="21875" spans="25:25" hidden="1" x14ac:dyDescent="0.25">
      <c r="Y21875" s="501"/>
    </row>
    <row r="21876" spans="25:25" hidden="1" x14ac:dyDescent="0.25">
      <c r="Y21876" s="501"/>
    </row>
    <row r="21877" spans="25:25" hidden="1" x14ac:dyDescent="0.25">
      <c r="Y21877" s="501"/>
    </row>
    <row r="21878" spans="25:25" hidden="1" x14ac:dyDescent="0.25">
      <c r="Y21878" s="501"/>
    </row>
    <row r="21879" spans="25:25" hidden="1" x14ac:dyDescent="0.25">
      <c r="Y21879" s="501"/>
    </row>
    <row r="21880" spans="25:25" hidden="1" x14ac:dyDescent="0.25">
      <c r="Y21880" s="501"/>
    </row>
    <row r="21881" spans="25:25" hidden="1" x14ac:dyDescent="0.25">
      <c r="Y21881" s="501"/>
    </row>
    <row r="21882" spans="25:25" hidden="1" x14ac:dyDescent="0.25">
      <c r="Y21882" s="501"/>
    </row>
    <row r="21883" spans="25:25" hidden="1" x14ac:dyDescent="0.25">
      <c r="Y21883" s="501"/>
    </row>
    <row r="21884" spans="25:25" hidden="1" x14ac:dyDescent="0.25">
      <c r="Y21884" s="501"/>
    </row>
    <row r="21885" spans="25:25" hidden="1" x14ac:dyDescent="0.25">
      <c r="Y21885" s="501"/>
    </row>
    <row r="21886" spans="25:25" hidden="1" x14ac:dyDescent="0.25">
      <c r="Y21886" s="501"/>
    </row>
    <row r="21887" spans="25:25" hidden="1" x14ac:dyDescent="0.25">
      <c r="Y21887" s="501"/>
    </row>
    <row r="21888" spans="25:25" hidden="1" x14ac:dyDescent="0.25">
      <c r="Y21888" s="501"/>
    </row>
    <row r="21889" spans="25:25" hidden="1" x14ac:dyDescent="0.25">
      <c r="Y21889" s="501"/>
    </row>
    <row r="21890" spans="25:25" hidden="1" x14ac:dyDescent="0.25">
      <c r="Y21890" s="501"/>
    </row>
    <row r="21891" spans="25:25" hidden="1" x14ac:dyDescent="0.25">
      <c r="Y21891" s="501"/>
    </row>
    <row r="21892" spans="25:25" hidden="1" x14ac:dyDescent="0.25">
      <c r="Y21892" s="501"/>
    </row>
    <row r="21893" spans="25:25" hidden="1" x14ac:dyDescent="0.25">
      <c r="Y21893" s="501"/>
    </row>
    <row r="21894" spans="25:25" hidden="1" x14ac:dyDescent="0.25">
      <c r="Y21894" s="501"/>
    </row>
    <row r="21895" spans="25:25" hidden="1" x14ac:dyDescent="0.25">
      <c r="Y21895" s="501"/>
    </row>
    <row r="21896" spans="25:25" hidden="1" x14ac:dyDescent="0.25">
      <c r="Y21896" s="501"/>
    </row>
    <row r="21897" spans="25:25" hidden="1" x14ac:dyDescent="0.25">
      <c r="Y21897" s="501"/>
    </row>
    <row r="21898" spans="25:25" hidden="1" x14ac:dyDescent="0.25">
      <c r="Y21898" s="501"/>
    </row>
    <row r="21899" spans="25:25" hidden="1" x14ac:dyDescent="0.25">
      <c r="Y21899" s="501"/>
    </row>
    <row r="21900" spans="25:25" hidden="1" x14ac:dyDescent="0.25">
      <c r="Y21900" s="501"/>
    </row>
    <row r="21901" spans="25:25" hidden="1" x14ac:dyDescent="0.25">
      <c r="Y21901" s="501"/>
    </row>
    <row r="21902" spans="25:25" hidden="1" x14ac:dyDescent="0.25">
      <c r="Y21902" s="501"/>
    </row>
    <row r="21903" spans="25:25" hidden="1" x14ac:dyDescent="0.25">
      <c r="Y21903" s="501"/>
    </row>
    <row r="21904" spans="25:25" hidden="1" x14ac:dyDescent="0.25">
      <c r="Y21904" s="501"/>
    </row>
    <row r="21905" spans="25:25" hidden="1" x14ac:dyDescent="0.25">
      <c r="Y21905" s="501"/>
    </row>
    <row r="21906" spans="25:25" hidden="1" x14ac:dyDescent="0.25">
      <c r="Y21906" s="501"/>
    </row>
    <row r="21907" spans="25:25" hidden="1" x14ac:dyDescent="0.25">
      <c r="Y21907" s="501"/>
    </row>
    <row r="21908" spans="25:25" hidden="1" x14ac:dyDescent="0.25">
      <c r="Y21908" s="501"/>
    </row>
    <row r="21909" spans="25:25" hidden="1" x14ac:dyDescent="0.25">
      <c r="Y21909" s="501"/>
    </row>
    <row r="21910" spans="25:25" hidden="1" x14ac:dyDescent="0.25">
      <c r="Y21910" s="501"/>
    </row>
    <row r="21911" spans="25:25" hidden="1" x14ac:dyDescent="0.25">
      <c r="Y21911" s="501"/>
    </row>
    <row r="21912" spans="25:25" hidden="1" x14ac:dyDescent="0.25">
      <c r="Y21912" s="501"/>
    </row>
    <row r="21913" spans="25:25" hidden="1" x14ac:dyDescent="0.25">
      <c r="Y21913" s="501"/>
    </row>
    <row r="21914" spans="25:25" hidden="1" x14ac:dyDescent="0.25">
      <c r="Y21914" s="501"/>
    </row>
    <row r="21915" spans="25:25" hidden="1" x14ac:dyDescent="0.25">
      <c r="Y21915" s="501"/>
    </row>
    <row r="21916" spans="25:25" hidden="1" x14ac:dyDescent="0.25">
      <c r="Y21916" s="501"/>
    </row>
    <row r="21917" spans="25:25" hidden="1" x14ac:dyDescent="0.25">
      <c r="Y21917" s="501"/>
    </row>
    <row r="21918" spans="25:25" hidden="1" x14ac:dyDescent="0.25">
      <c r="Y21918" s="501"/>
    </row>
    <row r="21919" spans="25:25" hidden="1" x14ac:dyDescent="0.25">
      <c r="Y21919" s="501"/>
    </row>
    <row r="21920" spans="25:25" hidden="1" x14ac:dyDescent="0.25">
      <c r="Y21920" s="501"/>
    </row>
    <row r="21921" spans="25:25" hidden="1" x14ac:dyDescent="0.25">
      <c r="Y21921" s="501"/>
    </row>
    <row r="21922" spans="25:25" hidden="1" x14ac:dyDescent="0.25">
      <c r="Y21922" s="501"/>
    </row>
    <row r="21923" spans="25:25" hidden="1" x14ac:dyDescent="0.25">
      <c r="Y21923" s="501"/>
    </row>
    <row r="21924" spans="25:25" hidden="1" x14ac:dyDescent="0.25">
      <c r="Y21924" s="501"/>
    </row>
    <row r="21925" spans="25:25" hidden="1" x14ac:dyDescent="0.25">
      <c r="Y21925" s="501"/>
    </row>
    <row r="21926" spans="25:25" hidden="1" x14ac:dyDescent="0.25">
      <c r="Y21926" s="501"/>
    </row>
    <row r="21927" spans="25:25" hidden="1" x14ac:dyDescent="0.25">
      <c r="Y21927" s="501"/>
    </row>
    <row r="21928" spans="25:25" hidden="1" x14ac:dyDescent="0.25">
      <c r="Y21928" s="501"/>
    </row>
    <row r="21929" spans="25:25" hidden="1" x14ac:dyDescent="0.25">
      <c r="Y21929" s="501"/>
    </row>
    <row r="21930" spans="25:25" hidden="1" x14ac:dyDescent="0.25">
      <c r="Y21930" s="501"/>
    </row>
    <row r="21931" spans="25:25" hidden="1" x14ac:dyDescent="0.25">
      <c r="Y21931" s="501"/>
    </row>
    <row r="21932" spans="25:25" hidden="1" x14ac:dyDescent="0.25">
      <c r="Y21932" s="501"/>
    </row>
    <row r="21933" spans="25:25" hidden="1" x14ac:dyDescent="0.25">
      <c r="Y21933" s="501"/>
    </row>
    <row r="21934" spans="25:25" hidden="1" x14ac:dyDescent="0.25">
      <c r="Y21934" s="501"/>
    </row>
    <row r="21935" spans="25:25" hidden="1" x14ac:dyDescent="0.25">
      <c r="Y21935" s="501"/>
    </row>
    <row r="21936" spans="25:25" hidden="1" x14ac:dyDescent="0.25">
      <c r="Y21936" s="501"/>
    </row>
    <row r="21937" spans="25:25" hidden="1" x14ac:dyDescent="0.25">
      <c r="Y21937" s="501"/>
    </row>
    <row r="21938" spans="25:25" hidden="1" x14ac:dyDescent="0.25">
      <c r="Y21938" s="501"/>
    </row>
    <row r="21939" spans="25:25" hidden="1" x14ac:dyDescent="0.25">
      <c r="Y21939" s="501"/>
    </row>
    <row r="21940" spans="25:25" hidden="1" x14ac:dyDescent="0.25">
      <c r="Y21940" s="501"/>
    </row>
    <row r="21941" spans="25:25" hidden="1" x14ac:dyDescent="0.25">
      <c r="Y21941" s="501"/>
    </row>
    <row r="21942" spans="25:25" hidden="1" x14ac:dyDescent="0.25">
      <c r="Y21942" s="501"/>
    </row>
    <row r="21943" spans="25:25" hidden="1" x14ac:dyDescent="0.25">
      <c r="Y21943" s="501"/>
    </row>
    <row r="21944" spans="25:25" hidden="1" x14ac:dyDescent="0.25">
      <c r="Y21944" s="501"/>
    </row>
    <row r="21945" spans="25:25" hidden="1" x14ac:dyDescent="0.25">
      <c r="Y21945" s="501"/>
    </row>
    <row r="21946" spans="25:25" hidden="1" x14ac:dyDescent="0.25">
      <c r="Y21946" s="501"/>
    </row>
    <row r="21947" spans="25:25" hidden="1" x14ac:dyDescent="0.25">
      <c r="Y21947" s="501"/>
    </row>
    <row r="21948" spans="25:25" hidden="1" x14ac:dyDescent="0.25">
      <c r="Y21948" s="501"/>
    </row>
    <row r="21949" spans="25:25" hidden="1" x14ac:dyDescent="0.25">
      <c r="Y21949" s="501"/>
    </row>
    <row r="21950" spans="25:25" hidden="1" x14ac:dyDescent="0.25">
      <c r="Y21950" s="501"/>
    </row>
    <row r="21951" spans="25:25" hidden="1" x14ac:dyDescent="0.25">
      <c r="Y21951" s="501"/>
    </row>
    <row r="21952" spans="25:25" hidden="1" x14ac:dyDescent="0.25">
      <c r="Y21952" s="501"/>
    </row>
    <row r="21953" spans="25:25" hidden="1" x14ac:dyDescent="0.25">
      <c r="Y21953" s="501"/>
    </row>
    <row r="21954" spans="25:25" hidden="1" x14ac:dyDescent="0.25">
      <c r="Y21954" s="501"/>
    </row>
    <row r="21955" spans="25:25" hidden="1" x14ac:dyDescent="0.25">
      <c r="Y21955" s="501"/>
    </row>
    <row r="21956" spans="25:25" hidden="1" x14ac:dyDescent="0.25">
      <c r="Y21956" s="501"/>
    </row>
    <row r="21957" spans="25:25" hidden="1" x14ac:dyDescent="0.25">
      <c r="Y21957" s="501"/>
    </row>
    <row r="21958" spans="25:25" hidden="1" x14ac:dyDescent="0.25">
      <c r="Y21958" s="501"/>
    </row>
    <row r="21959" spans="25:25" hidden="1" x14ac:dyDescent="0.25">
      <c r="Y21959" s="501"/>
    </row>
    <row r="21960" spans="25:25" hidden="1" x14ac:dyDescent="0.25">
      <c r="Y21960" s="501"/>
    </row>
    <row r="21961" spans="25:25" hidden="1" x14ac:dyDescent="0.25">
      <c r="Y21961" s="501"/>
    </row>
    <row r="21962" spans="25:25" hidden="1" x14ac:dyDescent="0.25">
      <c r="Y21962" s="501"/>
    </row>
    <row r="21963" spans="25:25" hidden="1" x14ac:dyDescent="0.25">
      <c r="Y21963" s="501"/>
    </row>
    <row r="21964" spans="25:25" hidden="1" x14ac:dyDescent="0.25">
      <c r="Y21964" s="501"/>
    </row>
    <row r="21965" spans="25:25" hidden="1" x14ac:dyDescent="0.25">
      <c r="Y21965" s="501"/>
    </row>
    <row r="21966" spans="25:25" hidden="1" x14ac:dyDescent="0.25">
      <c r="Y21966" s="501"/>
    </row>
    <row r="21967" spans="25:25" hidden="1" x14ac:dyDescent="0.25">
      <c r="Y21967" s="501"/>
    </row>
    <row r="21968" spans="25:25" hidden="1" x14ac:dyDescent="0.25">
      <c r="Y21968" s="501"/>
    </row>
    <row r="21969" spans="25:25" hidden="1" x14ac:dyDescent="0.25">
      <c r="Y21969" s="501"/>
    </row>
    <row r="21970" spans="25:25" hidden="1" x14ac:dyDescent="0.25">
      <c r="Y21970" s="501"/>
    </row>
    <row r="21971" spans="25:25" hidden="1" x14ac:dyDescent="0.25">
      <c r="Y21971" s="501"/>
    </row>
    <row r="21972" spans="25:25" hidden="1" x14ac:dyDescent="0.25">
      <c r="Y21972" s="501"/>
    </row>
    <row r="21973" spans="25:25" hidden="1" x14ac:dyDescent="0.25">
      <c r="Y21973" s="501"/>
    </row>
    <row r="21974" spans="25:25" hidden="1" x14ac:dyDescent="0.25">
      <c r="Y21974" s="501"/>
    </row>
    <row r="21975" spans="25:25" hidden="1" x14ac:dyDescent="0.25">
      <c r="Y21975" s="501"/>
    </row>
    <row r="21976" spans="25:25" hidden="1" x14ac:dyDescent="0.25">
      <c r="Y21976" s="501"/>
    </row>
    <row r="21977" spans="25:25" hidden="1" x14ac:dyDescent="0.25">
      <c r="Y21977" s="501"/>
    </row>
    <row r="21978" spans="25:25" hidden="1" x14ac:dyDescent="0.25">
      <c r="Y21978" s="501"/>
    </row>
    <row r="21979" spans="25:25" hidden="1" x14ac:dyDescent="0.25">
      <c r="Y21979" s="501"/>
    </row>
    <row r="21980" spans="25:25" hidden="1" x14ac:dyDescent="0.25">
      <c r="Y21980" s="501"/>
    </row>
    <row r="21981" spans="25:25" hidden="1" x14ac:dyDescent="0.25">
      <c r="Y21981" s="501"/>
    </row>
    <row r="21982" spans="25:25" hidden="1" x14ac:dyDescent="0.25">
      <c r="Y21982" s="501"/>
    </row>
    <row r="21983" spans="25:25" hidden="1" x14ac:dyDescent="0.25">
      <c r="Y21983" s="501"/>
    </row>
    <row r="21984" spans="25:25" hidden="1" x14ac:dyDescent="0.25">
      <c r="Y21984" s="501"/>
    </row>
    <row r="21985" spans="25:25" hidden="1" x14ac:dyDescent="0.25">
      <c r="Y21985" s="501"/>
    </row>
    <row r="21986" spans="25:25" hidden="1" x14ac:dyDescent="0.25">
      <c r="Y21986" s="501"/>
    </row>
    <row r="21987" spans="25:25" hidden="1" x14ac:dyDescent="0.25">
      <c r="Y21987" s="501"/>
    </row>
    <row r="21988" spans="25:25" hidden="1" x14ac:dyDescent="0.25">
      <c r="Y21988" s="501"/>
    </row>
    <row r="21989" spans="25:25" hidden="1" x14ac:dyDescent="0.25">
      <c r="Y21989" s="501"/>
    </row>
    <row r="21990" spans="25:25" hidden="1" x14ac:dyDescent="0.25">
      <c r="Y21990" s="501"/>
    </row>
    <row r="21991" spans="25:25" hidden="1" x14ac:dyDescent="0.25">
      <c r="Y21991" s="501"/>
    </row>
    <row r="21992" spans="25:25" hidden="1" x14ac:dyDescent="0.25">
      <c r="Y21992" s="501"/>
    </row>
    <row r="21993" spans="25:25" hidden="1" x14ac:dyDescent="0.25">
      <c r="Y21993" s="501"/>
    </row>
    <row r="21994" spans="25:25" hidden="1" x14ac:dyDescent="0.25">
      <c r="Y21994" s="501"/>
    </row>
    <row r="21995" spans="25:25" hidden="1" x14ac:dyDescent="0.25">
      <c r="Y21995" s="501"/>
    </row>
    <row r="21996" spans="25:25" hidden="1" x14ac:dyDescent="0.25">
      <c r="Y21996" s="501"/>
    </row>
    <row r="21997" spans="25:25" hidden="1" x14ac:dyDescent="0.25">
      <c r="Y21997" s="501"/>
    </row>
    <row r="21998" spans="25:25" hidden="1" x14ac:dyDescent="0.25">
      <c r="Y21998" s="501"/>
    </row>
    <row r="21999" spans="25:25" hidden="1" x14ac:dyDescent="0.25">
      <c r="Y21999" s="501"/>
    </row>
    <row r="22000" spans="25:25" hidden="1" x14ac:dyDescent="0.25">
      <c r="Y22000" s="501"/>
    </row>
    <row r="22001" spans="25:25" hidden="1" x14ac:dyDescent="0.25">
      <c r="Y22001" s="501"/>
    </row>
    <row r="22002" spans="25:25" hidden="1" x14ac:dyDescent="0.25">
      <c r="Y22002" s="501"/>
    </row>
    <row r="22003" spans="25:25" hidden="1" x14ac:dyDescent="0.25">
      <c r="Y22003" s="501"/>
    </row>
    <row r="22004" spans="25:25" hidden="1" x14ac:dyDescent="0.25">
      <c r="Y22004" s="501"/>
    </row>
    <row r="22005" spans="25:25" hidden="1" x14ac:dyDescent="0.25">
      <c r="Y22005" s="501"/>
    </row>
    <row r="22006" spans="25:25" hidden="1" x14ac:dyDescent="0.25">
      <c r="Y22006" s="501"/>
    </row>
    <row r="22007" spans="25:25" hidden="1" x14ac:dyDescent="0.25">
      <c r="Y22007" s="501"/>
    </row>
    <row r="22008" spans="25:25" hidden="1" x14ac:dyDescent="0.25">
      <c r="Y22008" s="501"/>
    </row>
    <row r="22009" spans="25:25" hidden="1" x14ac:dyDescent="0.25">
      <c r="Y22009" s="501"/>
    </row>
    <row r="22010" spans="25:25" hidden="1" x14ac:dyDescent="0.25">
      <c r="Y22010" s="501"/>
    </row>
    <row r="22011" spans="25:25" hidden="1" x14ac:dyDescent="0.25">
      <c r="Y22011" s="501"/>
    </row>
    <row r="22012" spans="25:25" hidden="1" x14ac:dyDescent="0.25">
      <c r="Y22012" s="501"/>
    </row>
    <row r="22013" spans="25:25" hidden="1" x14ac:dyDescent="0.25">
      <c r="Y22013" s="501"/>
    </row>
    <row r="22014" spans="25:25" hidden="1" x14ac:dyDescent="0.25">
      <c r="Y22014" s="501"/>
    </row>
    <row r="22015" spans="25:25" hidden="1" x14ac:dyDescent="0.25">
      <c r="Y22015" s="501"/>
    </row>
    <row r="22016" spans="25:25" hidden="1" x14ac:dyDescent="0.25">
      <c r="Y22016" s="501"/>
    </row>
    <row r="22017" spans="25:25" hidden="1" x14ac:dyDescent="0.25">
      <c r="Y22017" s="501"/>
    </row>
    <row r="22018" spans="25:25" hidden="1" x14ac:dyDescent="0.25">
      <c r="Y22018" s="501"/>
    </row>
    <row r="22019" spans="25:25" hidden="1" x14ac:dyDescent="0.25">
      <c r="Y22019" s="501"/>
    </row>
    <row r="22020" spans="25:25" hidden="1" x14ac:dyDescent="0.25">
      <c r="Y22020" s="501"/>
    </row>
    <row r="22021" spans="25:25" hidden="1" x14ac:dyDescent="0.25">
      <c r="Y22021" s="501"/>
    </row>
    <row r="22022" spans="25:25" hidden="1" x14ac:dyDescent="0.25">
      <c r="Y22022" s="501"/>
    </row>
    <row r="22023" spans="25:25" hidden="1" x14ac:dyDescent="0.25">
      <c r="Y22023" s="501"/>
    </row>
    <row r="22024" spans="25:25" hidden="1" x14ac:dyDescent="0.25">
      <c r="Y22024" s="501"/>
    </row>
    <row r="22025" spans="25:25" hidden="1" x14ac:dyDescent="0.25">
      <c r="Y22025" s="501"/>
    </row>
    <row r="22026" spans="25:25" hidden="1" x14ac:dyDescent="0.25">
      <c r="Y22026" s="501"/>
    </row>
    <row r="22027" spans="25:25" hidden="1" x14ac:dyDescent="0.25">
      <c r="Y22027" s="501"/>
    </row>
    <row r="22028" spans="25:25" hidden="1" x14ac:dyDescent="0.25">
      <c r="Y22028" s="501"/>
    </row>
    <row r="22029" spans="25:25" hidden="1" x14ac:dyDescent="0.25">
      <c r="Y22029" s="501"/>
    </row>
    <row r="22030" spans="25:25" hidden="1" x14ac:dyDescent="0.25">
      <c r="Y22030" s="501"/>
    </row>
    <row r="22031" spans="25:25" hidden="1" x14ac:dyDescent="0.25">
      <c r="Y22031" s="501"/>
    </row>
    <row r="22032" spans="25:25" hidden="1" x14ac:dyDescent="0.25">
      <c r="Y22032" s="501"/>
    </row>
    <row r="22033" spans="25:25" hidden="1" x14ac:dyDescent="0.25">
      <c r="Y22033" s="501"/>
    </row>
    <row r="22034" spans="25:25" hidden="1" x14ac:dyDescent="0.25">
      <c r="Y22034" s="501"/>
    </row>
    <row r="22035" spans="25:25" hidden="1" x14ac:dyDescent="0.25">
      <c r="Y22035" s="501"/>
    </row>
    <row r="22036" spans="25:25" hidden="1" x14ac:dyDescent="0.25">
      <c r="Y22036" s="501"/>
    </row>
    <row r="22037" spans="25:25" hidden="1" x14ac:dyDescent="0.25">
      <c r="Y22037" s="501"/>
    </row>
    <row r="22038" spans="25:25" hidden="1" x14ac:dyDescent="0.25">
      <c r="Y22038" s="501"/>
    </row>
    <row r="22039" spans="25:25" hidden="1" x14ac:dyDescent="0.25">
      <c r="Y22039" s="501"/>
    </row>
    <row r="22040" spans="25:25" hidden="1" x14ac:dyDescent="0.25">
      <c r="Y22040" s="501"/>
    </row>
    <row r="22041" spans="25:25" hidden="1" x14ac:dyDescent="0.25">
      <c r="Y22041" s="501"/>
    </row>
    <row r="22042" spans="25:25" hidden="1" x14ac:dyDescent="0.25">
      <c r="Y22042" s="501"/>
    </row>
    <row r="22043" spans="25:25" hidden="1" x14ac:dyDescent="0.25">
      <c r="Y22043" s="501"/>
    </row>
    <row r="22044" spans="25:25" hidden="1" x14ac:dyDescent="0.25">
      <c r="Y22044" s="501"/>
    </row>
    <row r="22045" spans="25:25" hidden="1" x14ac:dyDescent="0.25">
      <c r="Y22045" s="501"/>
    </row>
    <row r="22046" spans="25:25" hidden="1" x14ac:dyDescent="0.25">
      <c r="Y22046" s="501"/>
    </row>
    <row r="22047" spans="25:25" hidden="1" x14ac:dyDescent="0.25">
      <c r="Y22047" s="501"/>
    </row>
    <row r="22048" spans="25:25" hidden="1" x14ac:dyDescent="0.25">
      <c r="Y22048" s="501"/>
    </row>
    <row r="22049" spans="25:25" hidden="1" x14ac:dyDescent="0.25">
      <c r="Y22049" s="501"/>
    </row>
    <row r="22050" spans="25:25" hidden="1" x14ac:dyDescent="0.25">
      <c r="Y22050" s="501"/>
    </row>
    <row r="22051" spans="25:25" hidden="1" x14ac:dyDescent="0.25">
      <c r="Y22051" s="501"/>
    </row>
    <row r="22052" spans="25:25" hidden="1" x14ac:dyDescent="0.25">
      <c r="Y22052" s="501"/>
    </row>
    <row r="22053" spans="25:25" hidden="1" x14ac:dyDescent="0.25">
      <c r="Y22053" s="501"/>
    </row>
    <row r="22054" spans="25:25" hidden="1" x14ac:dyDescent="0.25">
      <c r="Y22054" s="501"/>
    </row>
    <row r="22055" spans="25:25" hidden="1" x14ac:dyDescent="0.25">
      <c r="Y22055" s="501"/>
    </row>
    <row r="22056" spans="25:25" hidden="1" x14ac:dyDescent="0.25">
      <c r="Y22056" s="501"/>
    </row>
    <row r="22057" spans="25:25" hidden="1" x14ac:dyDescent="0.25">
      <c r="Y22057" s="501"/>
    </row>
    <row r="22058" spans="25:25" hidden="1" x14ac:dyDescent="0.25">
      <c r="Y22058" s="501"/>
    </row>
    <row r="22059" spans="25:25" hidden="1" x14ac:dyDescent="0.25">
      <c r="Y22059" s="501"/>
    </row>
    <row r="22060" spans="25:25" hidden="1" x14ac:dyDescent="0.25">
      <c r="Y22060" s="501"/>
    </row>
    <row r="22061" spans="25:25" hidden="1" x14ac:dyDescent="0.25">
      <c r="Y22061" s="501"/>
    </row>
    <row r="22062" spans="25:25" hidden="1" x14ac:dyDescent="0.25">
      <c r="Y22062" s="501"/>
    </row>
    <row r="22063" spans="25:25" hidden="1" x14ac:dyDescent="0.25">
      <c r="Y22063" s="501"/>
    </row>
    <row r="22064" spans="25:25" hidden="1" x14ac:dyDescent="0.25">
      <c r="Y22064" s="501"/>
    </row>
    <row r="22065" spans="25:25" hidden="1" x14ac:dyDescent="0.25">
      <c r="Y22065" s="501"/>
    </row>
    <row r="22066" spans="25:25" hidden="1" x14ac:dyDescent="0.25">
      <c r="Y22066" s="501"/>
    </row>
    <row r="22067" spans="25:25" hidden="1" x14ac:dyDescent="0.25">
      <c r="Y22067" s="501"/>
    </row>
    <row r="22068" spans="25:25" hidden="1" x14ac:dyDescent="0.25">
      <c r="Y22068" s="501"/>
    </row>
    <row r="22069" spans="25:25" hidden="1" x14ac:dyDescent="0.25">
      <c r="Y22069" s="501"/>
    </row>
    <row r="22070" spans="25:25" hidden="1" x14ac:dyDescent="0.25">
      <c r="Y22070" s="501"/>
    </row>
    <row r="22071" spans="25:25" hidden="1" x14ac:dyDescent="0.25">
      <c r="Y22071" s="501"/>
    </row>
    <row r="22072" spans="25:25" hidden="1" x14ac:dyDescent="0.25">
      <c r="Y22072" s="501"/>
    </row>
    <row r="22073" spans="25:25" hidden="1" x14ac:dyDescent="0.25">
      <c r="Y22073" s="501"/>
    </row>
    <row r="22074" spans="25:25" hidden="1" x14ac:dyDescent="0.25">
      <c r="Y22074" s="501"/>
    </row>
    <row r="22075" spans="25:25" hidden="1" x14ac:dyDescent="0.25">
      <c r="Y22075" s="501"/>
    </row>
    <row r="22076" spans="25:25" hidden="1" x14ac:dyDescent="0.25">
      <c r="Y22076" s="501"/>
    </row>
    <row r="22077" spans="25:25" hidden="1" x14ac:dyDescent="0.25">
      <c r="Y22077" s="501"/>
    </row>
    <row r="22078" spans="25:25" hidden="1" x14ac:dyDescent="0.25">
      <c r="Y22078" s="501"/>
    </row>
    <row r="22079" spans="25:25" hidden="1" x14ac:dyDescent="0.25">
      <c r="Y22079" s="501"/>
    </row>
    <row r="22080" spans="25:25" hidden="1" x14ac:dyDescent="0.25">
      <c r="Y22080" s="501"/>
    </row>
    <row r="22081" spans="25:25" hidden="1" x14ac:dyDescent="0.25">
      <c r="Y22081" s="501"/>
    </row>
    <row r="22082" spans="25:25" hidden="1" x14ac:dyDescent="0.25">
      <c r="Y22082" s="501"/>
    </row>
    <row r="22083" spans="25:25" hidden="1" x14ac:dyDescent="0.25">
      <c r="Y22083" s="501"/>
    </row>
    <row r="22084" spans="25:25" hidden="1" x14ac:dyDescent="0.25">
      <c r="Y22084" s="501"/>
    </row>
    <row r="22085" spans="25:25" hidden="1" x14ac:dyDescent="0.25">
      <c r="Y22085" s="501"/>
    </row>
    <row r="22086" spans="25:25" hidden="1" x14ac:dyDescent="0.25">
      <c r="Y22086" s="501"/>
    </row>
    <row r="22087" spans="25:25" hidden="1" x14ac:dyDescent="0.25">
      <c r="Y22087" s="501"/>
    </row>
    <row r="22088" spans="25:25" hidden="1" x14ac:dyDescent="0.25">
      <c r="Y22088" s="501"/>
    </row>
    <row r="22089" spans="25:25" hidden="1" x14ac:dyDescent="0.25">
      <c r="Y22089" s="501"/>
    </row>
    <row r="22090" spans="25:25" hidden="1" x14ac:dyDescent="0.25">
      <c r="Y22090" s="501"/>
    </row>
    <row r="22091" spans="25:25" hidden="1" x14ac:dyDescent="0.25">
      <c r="Y22091" s="501"/>
    </row>
    <row r="22092" spans="25:25" hidden="1" x14ac:dyDescent="0.25">
      <c r="Y22092" s="501"/>
    </row>
    <row r="22093" spans="25:25" hidden="1" x14ac:dyDescent="0.25">
      <c r="Y22093" s="501"/>
    </row>
    <row r="22094" spans="25:25" hidden="1" x14ac:dyDescent="0.25">
      <c r="Y22094" s="501"/>
    </row>
    <row r="22095" spans="25:25" hidden="1" x14ac:dyDescent="0.25">
      <c r="Y22095" s="501"/>
    </row>
    <row r="22096" spans="25:25" hidden="1" x14ac:dyDescent="0.25">
      <c r="Y22096" s="501"/>
    </row>
    <row r="22097" spans="25:25" hidden="1" x14ac:dyDescent="0.25">
      <c r="Y22097" s="501"/>
    </row>
    <row r="22098" spans="25:25" hidden="1" x14ac:dyDescent="0.25">
      <c r="Y22098" s="501"/>
    </row>
    <row r="22099" spans="25:25" hidden="1" x14ac:dyDescent="0.25">
      <c r="Y22099" s="501"/>
    </row>
    <row r="22100" spans="25:25" hidden="1" x14ac:dyDescent="0.25">
      <c r="Y22100" s="501"/>
    </row>
    <row r="22101" spans="25:25" hidden="1" x14ac:dyDescent="0.25">
      <c r="Y22101" s="501"/>
    </row>
    <row r="22102" spans="25:25" hidden="1" x14ac:dyDescent="0.25">
      <c r="Y22102" s="501"/>
    </row>
    <row r="22103" spans="25:25" hidden="1" x14ac:dyDescent="0.25">
      <c r="Y22103" s="501"/>
    </row>
    <row r="22104" spans="25:25" hidden="1" x14ac:dyDescent="0.25">
      <c r="Y22104" s="501"/>
    </row>
    <row r="22105" spans="25:25" hidden="1" x14ac:dyDescent="0.25">
      <c r="Y22105" s="501"/>
    </row>
    <row r="22106" spans="25:25" hidden="1" x14ac:dyDescent="0.25">
      <c r="Y22106" s="501"/>
    </row>
    <row r="22107" spans="25:25" hidden="1" x14ac:dyDescent="0.25">
      <c r="Y22107" s="501"/>
    </row>
    <row r="22108" spans="25:25" hidden="1" x14ac:dyDescent="0.25">
      <c r="Y22108" s="501"/>
    </row>
    <row r="22109" spans="25:25" hidden="1" x14ac:dyDescent="0.25">
      <c r="Y22109" s="501"/>
    </row>
    <row r="22110" spans="25:25" hidden="1" x14ac:dyDescent="0.25">
      <c r="Y22110" s="501"/>
    </row>
    <row r="22111" spans="25:25" hidden="1" x14ac:dyDescent="0.25">
      <c r="Y22111" s="501"/>
    </row>
    <row r="22112" spans="25:25" hidden="1" x14ac:dyDescent="0.25">
      <c r="Y22112" s="501"/>
    </row>
    <row r="22113" spans="25:25" hidden="1" x14ac:dyDescent="0.25">
      <c r="Y22113" s="501"/>
    </row>
    <row r="22114" spans="25:25" hidden="1" x14ac:dyDescent="0.25">
      <c r="Y22114" s="501"/>
    </row>
    <row r="22115" spans="25:25" hidden="1" x14ac:dyDescent="0.25">
      <c r="Y22115" s="501"/>
    </row>
    <row r="22116" spans="25:25" hidden="1" x14ac:dyDescent="0.25">
      <c r="Y22116" s="501"/>
    </row>
    <row r="22117" spans="25:25" hidden="1" x14ac:dyDescent="0.25">
      <c r="Y22117" s="501"/>
    </row>
    <row r="22118" spans="25:25" hidden="1" x14ac:dyDescent="0.25">
      <c r="Y22118" s="501"/>
    </row>
    <row r="22119" spans="25:25" hidden="1" x14ac:dyDescent="0.25">
      <c r="Y22119" s="501"/>
    </row>
    <row r="22120" spans="25:25" hidden="1" x14ac:dyDescent="0.25">
      <c r="Y22120" s="501"/>
    </row>
    <row r="22121" spans="25:25" hidden="1" x14ac:dyDescent="0.25">
      <c r="Y22121" s="501"/>
    </row>
    <row r="22122" spans="25:25" hidden="1" x14ac:dyDescent="0.25">
      <c r="Y22122" s="501"/>
    </row>
    <row r="22123" spans="25:25" hidden="1" x14ac:dyDescent="0.25">
      <c r="Y22123" s="501"/>
    </row>
    <row r="22124" spans="25:25" hidden="1" x14ac:dyDescent="0.25">
      <c r="Y22124" s="501"/>
    </row>
    <row r="22125" spans="25:25" hidden="1" x14ac:dyDescent="0.25">
      <c r="Y22125" s="501"/>
    </row>
    <row r="22126" spans="25:25" hidden="1" x14ac:dyDescent="0.25">
      <c r="Y22126" s="501"/>
    </row>
    <row r="22127" spans="25:25" hidden="1" x14ac:dyDescent="0.25">
      <c r="Y22127" s="501"/>
    </row>
    <row r="22128" spans="25:25" hidden="1" x14ac:dyDescent="0.25">
      <c r="Y22128" s="501"/>
    </row>
    <row r="22129" spans="25:25" hidden="1" x14ac:dyDescent="0.25">
      <c r="Y22129" s="501"/>
    </row>
    <row r="22130" spans="25:25" hidden="1" x14ac:dyDescent="0.25">
      <c r="Y22130" s="501"/>
    </row>
    <row r="22131" spans="25:25" hidden="1" x14ac:dyDescent="0.25">
      <c r="Y22131" s="501"/>
    </row>
    <row r="22132" spans="25:25" hidden="1" x14ac:dyDescent="0.25">
      <c r="Y22132" s="501"/>
    </row>
    <row r="22133" spans="25:25" hidden="1" x14ac:dyDescent="0.25">
      <c r="Y22133" s="501"/>
    </row>
    <row r="22134" spans="25:25" hidden="1" x14ac:dyDescent="0.25">
      <c r="Y22134" s="501"/>
    </row>
    <row r="22135" spans="25:25" hidden="1" x14ac:dyDescent="0.25">
      <c r="Y22135" s="501"/>
    </row>
    <row r="22136" spans="25:25" hidden="1" x14ac:dyDescent="0.25">
      <c r="Y22136" s="501"/>
    </row>
    <row r="22137" spans="25:25" hidden="1" x14ac:dyDescent="0.25">
      <c r="Y22137" s="501"/>
    </row>
    <row r="22138" spans="25:25" hidden="1" x14ac:dyDescent="0.25">
      <c r="Y22138" s="501"/>
    </row>
    <row r="22139" spans="25:25" hidden="1" x14ac:dyDescent="0.25">
      <c r="Y22139" s="501"/>
    </row>
    <row r="22140" spans="25:25" hidden="1" x14ac:dyDescent="0.25">
      <c r="Y22140" s="501"/>
    </row>
    <row r="22141" spans="25:25" hidden="1" x14ac:dyDescent="0.25">
      <c r="Y22141" s="501"/>
    </row>
    <row r="22142" spans="25:25" hidden="1" x14ac:dyDescent="0.25">
      <c r="Y22142" s="501"/>
    </row>
    <row r="22143" spans="25:25" hidden="1" x14ac:dyDescent="0.25">
      <c r="Y22143" s="501"/>
    </row>
    <row r="22144" spans="25:25" hidden="1" x14ac:dyDescent="0.25">
      <c r="Y22144" s="501"/>
    </row>
    <row r="22145" spans="25:25" hidden="1" x14ac:dyDescent="0.25">
      <c r="Y22145" s="501"/>
    </row>
    <row r="22146" spans="25:25" hidden="1" x14ac:dyDescent="0.25">
      <c r="Y22146" s="501"/>
    </row>
    <row r="22147" spans="25:25" hidden="1" x14ac:dyDescent="0.25">
      <c r="Y22147" s="501"/>
    </row>
    <row r="22148" spans="25:25" hidden="1" x14ac:dyDescent="0.25">
      <c r="Y22148" s="501"/>
    </row>
    <row r="22149" spans="25:25" hidden="1" x14ac:dyDescent="0.25">
      <c r="Y22149" s="501"/>
    </row>
    <row r="22150" spans="25:25" hidden="1" x14ac:dyDescent="0.25">
      <c r="Y22150" s="501"/>
    </row>
    <row r="22151" spans="25:25" hidden="1" x14ac:dyDescent="0.25">
      <c r="Y22151" s="501"/>
    </row>
    <row r="22152" spans="25:25" hidden="1" x14ac:dyDescent="0.25">
      <c r="Y22152" s="501"/>
    </row>
    <row r="22153" spans="25:25" hidden="1" x14ac:dyDescent="0.25">
      <c r="Y22153" s="501"/>
    </row>
    <row r="22154" spans="25:25" hidden="1" x14ac:dyDescent="0.25">
      <c r="Y22154" s="501"/>
    </row>
    <row r="22155" spans="25:25" hidden="1" x14ac:dyDescent="0.25">
      <c r="Y22155" s="501"/>
    </row>
    <row r="22156" spans="25:25" hidden="1" x14ac:dyDescent="0.25">
      <c r="Y22156" s="501"/>
    </row>
    <row r="22157" spans="25:25" hidden="1" x14ac:dyDescent="0.25">
      <c r="Y22157" s="501"/>
    </row>
    <row r="22158" spans="25:25" hidden="1" x14ac:dyDescent="0.25">
      <c r="Y22158" s="501"/>
    </row>
    <row r="22159" spans="25:25" hidden="1" x14ac:dyDescent="0.25">
      <c r="Y22159" s="501"/>
    </row>
    <row r="22160" spans="25:25" hidden="1" x14ac:dyDescent="0.25">
      <c r="Y22160" s="501"/>
    </row>
    <row r="22161" spans="25:25" hidden="1" x14ac:dyDescent="0.25">
      <c r="Y22161" s="501"/>
    </row>
    <row r="22162" spans="25:25" hidden="1" x14ac:dyDescent="0.25">
      <c r="Y22162" s="501"/>
    </row>
    <row r="22163" spans="25:25" hidden="1" x14ac:dyDescent="0.25">
      <c r="Y22163" s="501"/>
    </row>
    <row r="22164" spans="25:25" hidden="1" x14ac:dyDescent="0.25">
      <c r="Y22164" s="501"/>
    </row>
    <row r="22165" spans="25:25" hidden="1" x14ac:dyDescent="0.25">
      <c r="Y22165" s="501"/>
    </row>
    <row r="22166" spans="25:25" hidden="1" x14ac:dyDescent="0.25">
      <c r="Y22166" s="501"/>
    </row>
    <row r="22167" spans="25:25" hidden="1" x14ac:dyDescent="0.25">
      <c r="Y22167" s="501"/>
    </row>
    <row r="22168" spans="25:25" hidden="1" x14ac:dyDescent="0.25">
      <c r="Y22168" s="501"/>
    </row>
    <row r="22169" spans="25:25" hidden="1" x14ac:dyDescent="0.25">
      <c r="Y22169" s="501"/>
    </row>
    <row r="22170" spans="25:25" hidden="1" x14ac:dyDescent="0.25">
      <c r="Y22170" s="501"/>
    </row>
    <row r="22171" spans="25:25" hidden="1" x14ac:dyDescent="0.25">
      <c r="Y22171" s="501"/>
    </row>
    <row r="22172" spans="25:25" hidden="1" x14ac:dyDescent="0.25">
      <c r="Y22172" s="501"/>
    </row>
    <row r="22173" spans="25:25" hidden="1" x14ac:dyDescent="0.25">
      <c r="Y22173" s="501"/>
    </row>
    <row r="22174" spans="25:25" hidden="1" x14ac:dyDescent="0.25">
      <c r="Y22174" s="501"/>
    </row>
    <row r="22175" spans="25:25" hidden="1" x14ac:dyDescent="0.25">
      <c r="Y22175" s="501"/>
    </row>
    <row r="22176" spans="25:25" hidden="1" x14ac:dyDescent="0.25">
      <c r="Y22176" s="501"/>
    </row>
    <row r="22177" spans="25:25" hidden="1" x14ac:dyDescent="0.25">
      <c r="Y22177" s="501"/>
    </row>
    <row r="22178" spans="25:25" hidden="1" x14ac:dyDescent="0.25">
      <c r="Y22178" s="501"/>
    </row>
    <row r="22179" spans="25:25" hidden="1" x14ac:dyDescent="0.25">
      <c r="Y22179" s="501"/>
    </row>
    <row r="22180" spans="25:25" hidden="1" x14ac:dyDescent="0.25">
      <c r="Y22180" s="501"/>
    </row>
    <row r="22181" spans="25:25" hidden="1" x14ac:dyDescent="0.25">
      <c r="Y22181" s="501"/>
    </row>
    <row r="22182" spans="25:25" hidden="1" x14ac:dyDescent="0.25">
      <c r="Y22182" s="501"/>
    </row>
    <row r="22183" spans="25:25" hidden="1" x14ac:dyDescent="0.25">
      <c r="Y22183" s="501"/>
    </row>
    <row r="22184" spans="25:25" hidden="1" x14ac:dyDescent="0.25">
      <c r="Y22184" s="501"/>
    </row>
    <row r="22185" spans="25:25" hidden="1" x14ac:dyDescent="0.25">
      <c r="Y22185" s="501"/>
    </row>
    <row r="22186" spans="25:25" hidden="1" x14ac:dyDescent="0.25">
      <c r="Y22186" s="501"/>
    </row>
    <row r="22187" spans="25:25" hidden="1" x14ac:dyDescent="0.25">
      <c r="Y22187" s="501"/>
    </row>
    <row r="22188" spans="25:25" hidden="1" x14ac:dyDescent="0.25">
      <c r="Y22188" s="501"/>
    </row>
    <row r="22189" spans="25:25" hidden="1" x14ac:dyDescent="0.25">
      <c r="Y22189" s="501"/>
    </row>
    <row r="22190" spans="25:25" hidden="1" x14ac:dyDescent="0.25">
      <c r="Y22190" s="501"/>
    </row>
    <row r="22191" spans="25:25" hidden="1" x14ac:dyDescent="0.25">
      <c r="Y22191" s="501"/>
    </row>
    <row r="22192" spans="25:25" hidden="1" x14ac:dyDescent="0.25">
      <c r="Y22192" s="501"/>
    </row>
    <row r="22193" spans="25:25" hidden="1" x14ac:dyDescent="0.25">
      <c r="Y22193" s="501"/>
    </row>
    <row r="22194" spans="25:25" hidden="1" x14ac:dyDescent="0.25">
      <c r="Y22194" s="501"/>
    </row>
    <row r="22195" spans="25:25" hidden="1" x14ac:dyDescent="0.25">
      <c r="Y22195" s="501"/>
    </row>
    <row r="22196" spans="25:25" hidden="1" x14ac:dyDescent="0.25">
      <c r="Y22196" s="501"/>
    </row>
    <row r="22197" spans="25:25" hidden="1" x14ac:dyDescent="0.25">
      <c r="Y22197" s="501"/>
    </row>
    <row r="22198" spans="25:25" hidden="1" x14ac:dyDescent="0.25">
      <c r="Y22198" s="501"/>
    </row>
    <row r="22199" spans="25:25" hidden="1" x14ac:dyDescent="0.25">
      <c r="Y22199" s="501"/>
    </row>
    <row r="22200" spans="25:25" hidden="1" x14ac:dyDescent="0.25">
      <c r="Y22200" s="501"/>
    </row>
    <row r="22201" spans="25:25" hidden="1" x14ac:dyDescent="0.25">
      <c r="Y22201" s="501"/>
    </row>
    <row r="22202" spans="25:25" hidden="1" x14ac:dyDescent="0.25">
      <c r="Y22202" s="501"/>
    </row>
    <row r="22203" spans="25:25" hidden="1" x14ac:dyDescent="0.25">
      <c r="Y22203" s="501"/>
    </row>
    <row r="22204" spans="25:25" hidden="1" x14ac:dyDescent="0.25">
      <c r="Y22204" s="501"/>
    </row>
    <row r="22205" spans="25:25" hidden="1" x14ac:dyDescent="0.25">
      <c r="Y22205" s="501"/>
    </row>
    <row r="22206" spans="25:25" hidden="1" x14ac:dyDescent="0.25">
      <c r="Y22206" s="501"/>
    </row>
    <row r="22207" spans="25:25" hidden="1" x14ac:dyDescent="0.25">
      <c r="Y22207" s="501"/>
    </row>
    <row r="22208" spans="25:25" hidden="1" x14ac:dyDescent="0.25">
      <c r="Y22208" s="501"/>
    </row>
    <row r="22209" spans="25:25" hidden="1" x14ac:dyDescent="0.25">
      <c r="Y22209" s="501"/>
    </row>
    <row r="22210" spans="25:25" hidden="1" x14ac:dyDescent="0.25">
      <c r="Y22210" s="501"/>
    </row>
    <row r="22211" spans="25:25" hidden="1" x14ac:dyDescent="0.25">
      <c r="Y22211" s="501"/>
    </row>
    <row r="22212" spans="25:25" hidden="1" x14ac:dyDescent="0.25">
      <c r="Y22212" s="501"/>
    </row>
    <row r="22213" spans="25:25" hidden="1" x14ac:dyDescent="0.25">
      <c r="Y22213" s="501"/>
    </row>
    <row r="22214" spans="25:25" hidden="1" x14ac:dyDescent="0.25">
      <c r="Y22214" s="501"/>
    </row>
    <row r="22215" spans="25:25" hidden="1" x14ac:dyDescent="0.25">
      <c r="Y22215" s="501"/>
    </row>
    <row r="22216" spans="25:25" hidden="1" x14ac:dyDescent="0.25">
      <c r="Y22216" s="501"/>
    </row>
    <row r="22217" spans="25:25" hidden="1" x14ac:dyDescent="0.25">
      <c r="Y22217" s="501"/>
    </row>
    <row r="22218" spans="25:25" hidden="1" x14ac:dyDescent="0.25">
      <c r="Y22218" s="501"/>
    </row>
    <row r="22219" spans="25:25" hidden="1" x14ac:dyDescent="0.25">
      <c r="Y22219" s="501"/>
    </row>
    <row r="22220" spans="25:25" hidden="1" x14ac:dyDescent="0.25">
      <c r="Y22220" s="501"/>
    </row>
    <row r="22221" spans="25:25" hidden="1" x14ac:dyDescent="0.25">
      <c r="Y22221" s="501"/>
    </row>
    <row r="22222" spans="25:25" hidden="1" x14ac:dyDescent="0.25">
      <c r="Y22222" s="501"/>
    </row>
    <row r="22223" spans="25:25" hidden="1" x14ac:dyDescent="0.25">
      <c r="Y22223" s="501"/>
    </row>
    <row r="22224" spans="25:25" hidden="1" x14ac:dyDescent="0.25">
      <c r="Y22224" s="501"/>
    </row>
    <row r="22225" spans="25:25" hidden="1" x14ac:dyDescent="0.25">
      <c r="Y22225" s="501"/>
    </row>
    <row r="22226" spans="25:25" hidden="1" x14ac:dyDescent="0.25">
      <c r="Y22226" s="501"/>
    </row>
    <row r="22227" spans="25:25" hidden="1" x14ac:dyDescent="0.25">
      <c r="Y22227" s="501"/>
    </row>
    <row r="22228" spans="25:25" hidden="1" x14ac:dyDescent="0.25">
      <c r="Y22228" s="501"/>
    </row>
    <row r="22229" spans="25:25" hidden="1" x14ac:dyDescent="0.25">
      <c r="Y22229" s="501"/>
    </row>
    <row r="22230" spans="25:25" hidden="1" x14ac:dyDescent="0.25">
      <c r="Y22230" s="501"/>
    </row>
    <row r="22231" spans="25:25" hidden="1" x14ac:dyDescent="0.25">
      <c r="Y22231" s="501"/>
    </row>
    <row r="22232" spans="25:25" hidden="1" x14ac:dyDescent="0.25">
      <c r="Y22232" s="501"/>
    </row>
    <row r="22233" spans="25:25" hidden="1" x14ac:dyDescent="0.25">
      <c r="Y22233" s="501"/>
    </row>
    <row r="22234" spans="25:25" hidden="1" x14ac:dyDescent="0.25">
      <c r="Y22234" s="501"/>
    </row>
    <row r="22235" spans="25:25" hidden="1" x14ac:dyDescent="0.25">
      <c r="Y22235" s="501"/>
    </row>
    <row r="22236" spans="25:25" hidden="1" x14ac:dyDescent="0.25">
      <c r="Y22236" s="501"/>
    </row>
    <row r="22237" spans="25:25" hidden="1" x14ac:dyDescent="0.25">
      <c r="Y22237" s="501"/>
    </row>
    <row r="22238" spans="25:25" hidden="1" x14ac:dyDescent="0.25">
      <c r="Y22238" s="501"/>
    </row>
    <row r="22239" spans="25:25" hidden="1" x14ac:dyDescent="0.25">
      <c r="Y22239" s="501"/>
    </row>
    <row r="22240" spans="25:25" hidden="1" x14ac:dyDescent="0.25">
      <c r="Y22240" s="501"/>
    </row>
    <row r="22241" spans="25:25" hidden="1" x14ac:dyDescent="0.25">
      <c r="Y22241" s="501"/>
    </row>
    <row r="22242" spans="25:25" hidden="1" x14ac:dyDescent="0.25">
      <c r="Y22242" s="501"/>
    </row>
    <row r="22243" spans="25:25" hidden="1" x14ac:dyDescent="0.25">
      <c r="Y22243" s="501"/>
    </row>
    <row r="22244" spans="25:25" hidden="1" x14ac:dyDescent="0.25">
      <c r="Y22244" s="501"/>
    </row>
    <row r="22245" spans="25:25" hidden="1" x14ac:dyDescent="0.25">
      <c r="Y22245" s="501"/>
    </row>
    <row r="22246" spans="25:25" hidden="1" x14ac:dyDescent="0.25">
      <c r="Y22246" s="501"/>
    </row>
    <row r="22247" spans="25:25" hidden="1" x14ac:dyDescent="0.25">
      <c r="Y22247" s="501"/>
    </row>
    <row r="22248" spans="25:25" hidden="1" x14ac:dyDescent="0.25">
      <c r="Y22248" s="501"/>
    </row>
    <row r="22249" spans="25:25" hidden="1" x14ac:dyDescent="0.25">
      <c r="Y22249" s="501"/>
    </row>
    <row r="22250" spans="25:25" hidden="1" x14ac:dyDescent="0.25">
      <c r="Y22250" s="501"/>
    </row>
    <row r="22251" spans="25:25" hidden="1" x14ac:dyDescent="0.25">
      <c r="Y22251" s="501"/>
    </row>
    <row r="22252" spans="25:25" hidden="1" x14ac:dyDescent="0.25">
      <c r="Y22252" s="501"/>
    </row>
    <row r="22253" spans="25:25" hidden="1" x14ac:dyDescent="0.25">
      <c r="Y22253" s="501"/>
    </row>
    <row r="22254" spans="25:25" hidden="1" x14ac:dyDescent="0.25">
      <c r="Y22254" s="501"/>
    </row>
    <row r="22255" spans="25:25" hidden="1" x14ac:dyDescent="0.25">
      <c r="Y22255" s="501"/>
    </row>
    <row r="22256" spans="25:25" hidden="1" x14ac:dyDescent="0.25">
      <c r="Y22256" s="501"/>
    </row>
    <row r="22257" spans="25:25" hidden="1" x14ac:dyDescent="0.25">
      <c r="Y22257" s="501"/>
    </row>
    <row r="22258" spans="25:25" hidden="1" x14ac:dyDescent="0.25">
      <c r="Y22258" s="501"/>
    </row>
    <row r="22259" spans="25:25" hidden="1" x14ac:dyDescent="0.25">
      <c r="Y22259" s="501"/>
    </row>
    <row r="22260" spans="25:25" hidden="1" x14ac:dyDescent="0.25">
      <c r="Y22260" s="501"/>
    </row>
    <row r="22261" spans="25:25" hidden="1" x14ac:dyDescent="0.25">
      <c r="Y22261" s="501"/>
    </row>
    <row r="22262" spans="25:25" hidden="1" x14ac:dyDescent="0.25">
      <c r="Y22262" s="501"/>
    </row>
    <row r="22263" spans="25:25" hidden="1" x14ac:dyDescent="0.25">
      <c r="Y22263" s="501"/>
    </row>
    <row r="22264" spans="25:25" hidden="1" x14ac:dyDescent="0.25">
      <c r="Y22264" s="501"/>
    </row>
    <row r="22265" spans="25:25" hidden="1" x14ac:dyDescent="0.25">
      <c r="Y22265" s="501"/>
    </row>
    <row r="22266" spans="25:25" hidden="1" x14ac:dyDescent="0.25">
      <c r="Y22266" s="501"/>
    </row>
    <row r="22267" spans="25:25" hidden="1" x14ac:dyDescent="0.25">
      <c r="Y22267" s="501"/>
    </row>
    <row r="22268" spans="25:25" hidden="1" x14ac:dyDescent="0.25">
      <c r="Y22268" s="501"/>
    </row>
    <row r="22269" spans="25:25" hidden="1" x14ac:dyDescent="0.25">
      <c r="Y22269" s="501"/>
    </row>
    <row r="22270" spans="25:25" hidden="1" x14ac:dyDescent="0.25">
      <c r="Y22270" s="501"/>
    </row>
    <row r="22271" spans="25:25" hidden="1" x14ac:dyDescent="0.25">
      <c r="Y22271" s="501"/>
    </row>
    <row r="22272" spans="25:25" hidden="1" x14ac:dyDescent="0.25">
      <c r="Y22272" s="501"/>
    </row>
    <row r="22273" spans="25:25" hidden="1" x14ac:dyDescent="0.25">
      <c r="Y22273" s="501"/>
    </row>
    <row r="22274" spans="25:25" hidden="1" x14ac:dyDescent="0.25">
      <c r="Y22274" s="501"/>
    </row>
    <row r="22275" spans="25:25" hidden="1" x14ac:dyDescent="0.25">
      <c r="Y22275" s="501"/>
    </row>
    <row r="22276" spans="25:25" hidden="1" x14ac:dyDescent="0.25">
      <c r="Y22276" s="501"/>
    </row>
    <row r="22277" spans="25:25" hidden="1" x14ac:dyDescent="0.25">
      <c r="Y22277" s="501"/>
    </row>
    <row r="22278" spans="25:25" hidden="1" x14ac:dyDescent="0.25">
      <c r="Y22278" s="501"/>
    </row>
    <row r="22279" spans="25:25" hidden="1" x14ac:dyDescent="0.25">
      <c r="Y22279" s="501"/>
    </row>
    <row r="22280" spans="25:25" hidden="1" x14ac:dyDescent="0.25">
      <c r="Y22280" s="501"/>
    </row>
    <row r="22281" spans="25:25" hidden="1" x14ac:dyDescent="0.25">
      <c r="Y22281" s="501"/>
    </row>
    <row r="22282" spans="25:25" hidden="1" x14ac:dyDescent="0.25">
      <c r="Y22282" s="501"/>
    </row>
    <row r="22283" spans="25:25" hidden="1" x14ac:dyDescent="0.25">
      <c r="Y22283" s="501"/>
    </row>
    <row r="22284" spans="25:25" hidden="1" x14ac:dyDescent="0.25">
      <c r="Y22284" s="501"/>
    </row>
    <row r="22285" spans="25:25" hidden="1" x14ac:dyDescent="0.25">
      <c r="Y22285" s="501"/>
    </row>
    <row r="22286" spans="25:25" hidden="1" x14ac:dyDescent="0.25">
      <c r="Y22286" s="501"/>
    </row>
    <row r="22287" spans="25:25" hidden="1" x14ac:dyDescent="0.25">
      <c r="Y22287" s="501"/>
    </row>
    <row r="22288" spans="25:25" hidden="1" x14ac:dyDescent="0.25">
      <c r="Y22288" s="501"/>
    </row>
    <row r="22289" spans="25:25" hidden="1" x14ac:dyDescent="0.25">
      <c r="Y22289" s="501"/>
    </row>
    <row r="22290" spans="25:25" hidden="1" x14ac:dyDescent="0.25">
      <c r="Y22290" s="501"/>
    </row>
    <row r="22291" spans="25:25" hidden="1" x14ac:dyDescent="0.25">
      <c r="Y22291" s="501"/>
    </row>
    <row r="22292" spans="25:25" hidden="1" x14ac:dyDescent="0.25">
      <c r="Y22292" s="501"/>
    </row>
    <row r="22293" spans="25:25" hidden="1" x14ac:dyDescent="0.25">
      <c r="Y22293" s="501"/>
    </row>
    <row r="22294" spans="25:25" hidden="1" x14ac:dyDescent="0.25">
      <c r="Y22294" s="501"/>
    </row>
    <row r="22295" spans="25:25" hidden="1" x14ac:dyDescent="0.25">
      <c r="Y22295" s="501"/>
    </row>
    <row r="22296" spans="25:25" hidden="1" x14ac:dyDescent="0.25">
      <c r="Y22296" s="501"/>
    </row>
    <row r="22297" spans="25:25" hidden="1" x14ac:dyDescent="0.25">
      <c r="Y22297" s="501"/>
    </row>
    <row r="22298" spans="25:25" hidden="1" x14ac:dyDescent="0.25">
      <c r="Y22298" s="501"/>
    </row>
    <row r="22299" spans="25:25" hidden="1" x14ac:dyDescent="0.25">
      <c r="Y22299" s="501"/>
    </row>
    <row r="22300" spans="25:25" hidden="1" x14ac:dyDescent="0.25">
      <c r="Y22300" s="501"/>
    </row>
    <row r="22301" spans="25:25" hidden="1" x14ac:dyDescent="0.25">
      <c r="Y22301" s="501"/>
    </row>
    <row r="22302" spans="25:25" hidden="1" x14ac:dyDescent="0.25">
      <c r="Y22302" s="501"/>
    </row>
    <row r="22303" spans="25:25" hidden="1" x14ac:dyDescent="0.25">
      <c r="Y22303" s="501"/>
    </row>
    <row r="22304" spans="25:25" hidden="1" x14ac:dyDescent="0.25">
      <c r="Y22304" s="501"/>
    </row>
    <row r="22305" spans="25:25" hidden="1" x14ac:dyDescent="0.25">
      <c r="Y22305" s="501"/>
    </row>
    <row r="22306" spans="25:25" hidden="1" x14ac:dyDescent="0.25">
      <c r="Y22306" s="501"/>
    </row>
    <row r="22307" spans="25:25" hidden="1" x14ac:dyDescent="0.25">
      <c r="Y22307" s="501"/>
    </row>
    <row r="22308" spans="25:25" hidden="1" x14ac:dyDescent="0.25">
      <c r="Y22308" s="501"/>
    </row>
    <row r="22309" spans="25:25" hidden="1" x14ac:dyDescent="0.25">
      <c r="Y22309" s="501"/>
    </row>
    <row r="22310" spans="25:25" hidden="1" x14ac:dyDescent="0.25">
      <c r="Y22310" s="501"/>
    </row>
    <row r="22311" spans="25:25" hidden="1" x14ac:dyDescent="0.25">
      <c r="Y22311" s="501"/>
    </row>
    <row r="22312" spans="25:25" hidden="1" x14ac:dyDescent="0.25">
      <c r="Y22312" s="501"/>
    </row>
    <row r="22313" spans="25:25" hidden="1" x14ac:dyDescent="0.25">
      <c r="Y22313" s="501"/>
    </row>
    <row r="22314" spans="25:25" hidden="1" x14ac:dyDescent="0.25">
      <c r="Y22314" s="501"/>
    </row>
    <row r="22315" spans="25:25" hidden="1" x14ac:dyDescent="0.25">
      <c r="Y22315" s="501"/>
    </row>
    <row r="22316" spans="25:25" hidden="1" x14ac:dyDescent="0.25">
      <c r="Y22316" s="501"/>
    </row>
    <row r="22317" spans="25:25" hidden="1" x14ac:dyDescent="0.25">
      <c r="Y22317" s="501"/>
    </row>
    <row r="22318" spans="25:25" hidden="1" x14ac:dyDescent="0.25">
      <c r="Y22318" s="501"/>
    </row>
    <row r="22319" spans="25:25" hidden="1" x14ac:dyDescent="0.25">
      <c r="Y22319" s="501"/>
    </row>
    <row r="22320" spans="25:25" hidden="1" x14ac:dyDescent="0.25">
      <c r="Y22320" s="501"/>
    </row>
    <row r="22321" spans="25:25" hidden="1" x14ac:dyDescent="0.25">
      <c r="Y22321" s="501"/>
    </row>
    <row r="22322" spans="25:25" hidden="1" x14ac:dyDescent="0.25">
      <c r="Y22322" s="501"/>
    </row>
    <row r="22323" spans="25:25" hidden="1" x14ac:dyDescent="0.25">
      <c r="Y22323" s="501"/>
    </row>
    <row r="22324" spans="25:25" hidden="1" x14ac:dyDescent="0.25">
      <c r="Y22324" s="501"/>
    </row>
    <row r="22325" spans="25:25" hidden="1" x14ac:dyDescent="0.25">
      <c r="Y22325" s="501"/>
    </row>
    <row r="22326" spans="25:25" hidden="1" x14ac:dyDescent="0.25">
      <c r="Y22326" s="501"/>
    </row>
    <row r="22327" spans="25:25" hidden="1" x14ac:dyDescent="0.25">
      <c r="Y22327" s="501"/>
    </row>
    <row r="22328" spans="25:25" hidden="1" x14ac:dyDescent="0.25">
      <c r="Y22328" s="501"/>
    </row>
    <row r="22329" spans="25:25" hidden="1" x14ac:dyDescent="0.25">
      <c r="Y22329" s="501"/>
    </row>
    <row r="22330" spans="25:25" hidden="1" x14ac:dyDescent="0.25">
      <c r="Y22330" s="501"/>
    </row>
    <row r="22331" spans="25:25" hidden="1" x14ac:dyDescent="0.25">
      <c r="Y22331" s="501"/>
    </row>
    <row r="22332" spans="25:25" hidden="1" x14ac:dyDescent="0.25">
      <c r="Y22332" s="501"/>
    </row>
    <row r="22333" spans="25:25" hidden="1" x14ac:dyDescent="0.25">
      <c r="Y22333" s="501"/>
    </row>
    <row r="22334" spans="25:25" hidden="1" x14ac:dyDescent="0.25">
      <c r="Y22334" s="501"/>
    </row>
    <row r="22335" spans="25:25" hidden="1" x14ac:dyDescent="0.25">
      <c r="Y22335" s="501"/>
    </row>
    <row r="22336" spans="25:25" hidden="1" x14ac:dyDescent="0.25">
      <c r="Y22336" s="501"/>
    </row>
    <row r="22337" spans="25:25" hidden="1" x14ac:dyDescent="0.25">
      <c r="Y22337" s="501"/>
    </row>
    <row r="22338" spans="25:25" hidden="1" x14ac:dyDescent="0.25">
      <c r="Y22338" s="501"/>
    </row>
    <row r="22339" spans="25:25" hidden="1" x14ac:dyDescent="0.25">
      <c r="Y22339" s="501"/>
    </row>
    <row r="22340" spans="25:25" hidden="1" x14ac:dyDescent="0.25">
      <c r="Y22340" s="501"/>
    </row>
    <row r="22341" spans="25:25" hidden="1" x14ac:dyDescent="0.25">
      <c r="Y22341" s="501"/>
    </row>
    <row r="22342" spans="25:25" hidden="1" x14ac:dyDescent="0.25">
      <c r="Y22342" s="501"/>
    </row>
    <row r="22343" spans="25:25" hidden="1" x14ac:dyDescent="0.25">
      <c r="Y22343" s="501"/>
    </row>
    <row r="22344" spans="25:25" hidden="1" x14ac:dyDescent="0.25">
      <c r="Y22344" s="501"/>
    </row>
    <row r="22345" spans="25:25" hidden="1" x14ac:dyDescent="0.25">
      <c r="Y22345" s="501"/>
    </row>
    <row r="22346" spans="25:25" hidden="1" x14ac:dyDescent="0.25">
      <c r="Y22346" s="501"/>
    </row>
    <row r="22347" spans="25:25" hidden="1" x14ac:dyDescent="0.25">
      <c r="Y22347" s="501"/>
    </row>
    <row r="22348" spans="25:25" hidden="1" x14ac:dyDescent="0.25">
      <c r="Y22348" s="501"/>
    </row>
    <row r="22349" spans="25:25" hidden="1" x14ac:dyDescent="0.25">
      <c r="Y22349" s="501"/>
    </row>
    <row r="22350" spans="25:25" hidden="1" x14ac:dyDescent="0.25">
      <c r="Y22350" s="501"/>
    </row>
    <row r="22351" spans="25:25" hidden="1" x14ac:dyDescent="0.25">
      <c r="Y22351" s="501"/>
    </row>
    <row r="22352" spans="25:25" hidden="1" x14ac:dyDescent="0.25">
      <c r="Y22352" s="501"/>
    </row>
    <row r="22353" spans="25:25" hidden="1" x14ac:dyDescent="0.25">
      <c r="Y22353" s="501"/>
    </row>
    <row r="22354" spans="25:25" hidden="1" x14ac:dyDescent="0.25">
      <c r="Y22354" s="501"/>
    </row>
    <row r="22355" spans="25:25" hidden="1" x14ac:dyDescent="0.25">
      <c r="Y22355" s="501"/>
    </row>
    <row r="22356" spans="25:25" hidden="1" x14ac:dyDescent="0.25">
      <c r="Y22356" s="501"/>
    </row>
    <row r="22357" spans="25:25" hidden="1" x14ac:dyDescent="0.25">
      <c r="Y22357" s="501"/>
    </row>
    <row r="22358" spans="25:25" hidden="1" x14ac:dyDescent="0.25">
      <c r="Y22358" s="501"/>
    </row>
    <row r="22359" spans="25:25" hidden="1" x14ac:dyDescent="0.25">
      <c r="Y22359" s="501"/>
    </row>
    <row r="22360" spans="25:25" hidden="1" x14ac:dyDescent="0.25">
      <c r="Y22360" s="501"/>
    </row>
    <row r="22361" spans="25:25" hidden="1" x14ac:dyDescent="0.25">
      <c r="Y22361" s="501"/>
    </row>
    <row r="22362" spans="25:25" hidden="1" x14ac:dyDescent="0.25">
      <c r="Y22362" s="501"/>
    </row>
    <row r="22363" spans="25:25" hidden="1" x14ac:dyDescent="0.25">
      <c r="Y22363" s="501"/>
    </row>
    <row r="22364" spans="25:25" hidden="1" x14ac:dyDescent="0.25">
      <c r="Y22364" s="501"/>
    </row>
    <row r="22365" spans="25:25" hidden="1" x14ac:dyDescent="0.25">
      <c r="Y22365" s="501"/>
    </row>
    <row r="22366" spans="25:25" hidden="1" x14ac:dyDescent="0.25">
      <c r="Y22366" s="501"/>
    </row>
    <row r="22367" spans="25:25" hidden="1" x14ac:dyDescent="0.25">
      <c r="Y22367" s="501"/>
    </row>
    <row r="22368" spans="25:25" hidden="1" x14ac:dyDescent="0.25">
      <c r="Y22368" s="501"/>
    </row>
    <row r="22369" spans="25:25" hidden="1" x14ac:dyDescent="0.25">
      <c r="Y22369" s="501"/>
    </row>
    <row r="22370" spans="25:25" hidden="1" x14ac:dyDescent="0.25">
      <c r="Y22370" s="501"/>
    </row>
    <row r="22371" spans="25:25" hidden="1" x14ac:dyDescent="0.25">
      <c r="Y22371" s="501"/>
    </row>
    <row r="22372" spans="25:25" hidden="1" x14ac:dyDescent="0.25">
      <c r="Y22372" s="501"/>
    </row>
    <row r="22373" spans="25:25" hidden="1" x14ac:dyDescent="0.25">
      <c r="Y22373" s="501"/>
    </row>
    <row r="22374" spans="25:25" hidden="1" x14ac:dyDescent="0.25">
      <c r="Y22374" s="501"/>
    </row>
    <row r="22375" spans="25:25" hidden="1" x14ac:dyDescent="0.25">
      <c r="Y22375" s="501"/>
    </row>
    <row r="22376" spans="25:25" hidden="1" x14ac:dyDescent="0.25">
      <c r="Y22376" s="501"/>
    </row>
    <row r="22377" spans="25:25" hidden="1" x14ac:dyDescent="0.25">
      <c r="Y22377" s="501"/>
    </row>
    <row r="22378" spans="25:25" hidden="1" x14ac:dyDescent="0.25">
      <c r="Y22378" s="501"/>
    </row>
    <row r="22379" spans="25:25" hidden="1" x14ac:dyDescent="0.25">
      <c r="Y22379" s="501"/>
    </row>
    <row r="22380" spans="25:25" hidden="1" x14ac:dyDescent="0.25">
      <c r="Y22380" s="501"/>
    </row>
    <row r="22381" spans="25:25" hidden="1" x14ac:dyDescent="0.25">
      <c r="Y22381" s="501"/>
    </row>
    <row r="22382" spans="25:25" hidden="1" x14ac:dyDescent="0.25">
      <c r="Y22382" s="501"/>
    </row>
    <row r="22383" spans="25:25" hidden="1" x14ac:dyDescent="0.25">
      <c r="Y22383" s="501"/>
    </row>
    <row r="22384" spans="25:25" hidden="1" x14ac:dyDescent="0.25">
      <c r="Y22384" s="501"/>
    </row>
    <row r="22385" spans="25:25" hidden="1" x14ac:dyDescent="0.25">
      <c r="Y22385" s="501"/>
    </row>
    <row r="22386" spans="25:25" hidden="1" x14ac:dyDescent="0.25">
      <c r="Y22386" s="501"/>
    </row>
    <row r="22387" spans="25:25" hidden="1" x14ac:dyDescent="0.25">
      <c r="Y22387" s="501"/>
    </row>
    <row r="22388" spans="25:25" hidden="1" x14ac:dyDescent="0.25">
      <c r="Y22388" s="501"/>
    </row>
    <row r="22389" spans="25:25" hidden="1" x14ac:dyDescent="0.25">
      <c r="Y22389" s="501"/>
    </row>
    <row r="22390" spans="25:25" hidden="1" x14ac:dyDescent="0.25">
      <c r="Y22390" s="501"/>
    </row>
    <row r="22391" spans="25:25" hidden="1" x14ac:dyDescent="0.25">
      <c r="Y22391" s="501"/>
    </row>
    <row r="22392" spans="25:25" hidden="1" x14ac:dyDescent="0.25">
      <c r="Y22392" s="501"/>
    </row>
    <row r="22393" spans="25:25" hidden="1" x14ac:dyDescent="0.25">
      <c r="Y22393" s="501"/>
    </row>
    <row r="22394" spans="25:25" hidden="1" x14ac:dyDescent="0.25">
      <c r="Y22394" s="501"/>
    </row>
    <row r="22395" spans="25:25" hidden="1" x14ac:dyDescent="0.25">
      <c r="Y22395" s="501"/>
    </row>
    <row r="22396" spans="25:25" hidden="1" x14ac:dyDescent="0.25">
      <c r="Y22396" s="501"/>
    </row>
    <row r="22397" spans="25:25" hidden="1" x14ac:dyDescent="0.25">
      <c r="Y22397" s="501"/>
    </row>
    <row r="22398" spans="25:25" hidden="1" x14ac:dyDescent="0.25">
      <c r="Y22398" s="501"/>
    </row>
    <row r="22399" spans="25:25" hidden="1" x14ac:dyDescent="0.25">
      <c r="Y22399" s="501"/>
    </row>
    <row r="22400" spans="25:25" hidden="1" x14ac:dyDescent="0.25">
      <c r="Y22400" s="501"/>
    </row>
    <row r="22401" spans="25:25" hidden="1" x14ac:dyDescent="0.25">
      <c r="Y22401" s="501"/>
    </row>
    <row r="22402" spans="25:25" hidden="1" x14ac:dyDescent="0.25">
      <c r="Y22402" s="501"/>
    </row>
    <row r="22403" spans="25:25" hidden="1" x14ac:dyDescent="0.25">
      <c r="Y22403" s="501"/>
    </row>
    <row r="22404" spans="25:25" hidden="1" x14ac:dyDescent="0.25">
      <c r="Y22404" s="501"/>
    </row>
    <row r="22405" spans="25:25" hidden="1" x14ac:dyDescent="0.25">
      <c r="Y22405" s="501"/>
    </row>
    <row r="22406" spans="25:25" hidden="1" x14ac:dyDescent="0.25">
      <c r="Y22406" s="501"/>
    </row>
    <row r="22407" spans="25:25" hidden="1" x14ac:dyDescent="0.25">
      <c r="Y22407" s="501"/>
    </row>
    <row r="22408" spans="25:25" hidden="1" x14ac:dyDescent="0.25">
      <c r="Y22408" s="501"/>
    </row>
    <row r="22409" spans="25:25" hidden="1" x14ac:dyDescent="0.25">
      <c r="Y22409" s="501"/>
    </row>
    <row r="22410" spans="25:25" hidden="1" x14ac:dyDescent="0.25">
      <c r="Y22410" s="501"/>
    </row>
    <row r="22411" spans="25:25" hidden="1" x14ac:dyDescent="0.25">
      <c r="Y22411" s="501"/>
    </row>
    <row r="22412" spans="25:25" hidden="1" x14ac:dyDescent="0.25">
      <c r="Y22412" s="501"/>
    </row>
    <row r="22413" spans="25:25" hidden="1" x14ac:dyDescent="0.25">
      <c r="Y22413" s="501"/>
    </row>
    <row r="22414" spans="25:25" hidden="1" x14ac:dyDescent="0.25">
      <c r="Y22414" s="501"/>
    </row>
    <row r="22415" spans="25:25" hidden="1" x14ac:dyDescent="0.25">
      <c r="Y22415" s="501"/>
    </row>
    <row r="22416" spans="25:25" hidden="1" x14ac:dyDescent="0.25">
      <c r="Y22416" s="501"/>
    </row>
    <row r="22417" spans="25:25" hidden="1" x14ac:dyDescent="0.25">
      <c r="Y22417" s="501"/>
    </row>
    <row r="22418" spans="25:25" hidden="1" x14ac:dyDescent="0.25">
      <c r="Y22418" s="501"/>
    </row>
    <row r="22419" spans="25:25" hidden="1" x14ac:dyDescent="0.25">
      <c r="Y22419" s="501"/>
    </row>
    <row r="22420" spans="25:25" hidden="1" x14ac:dyDescent="0.25">
      <c r="Y22420" s="501"/>
    </row>
    <row r="22421" spans="25:25" hidden="1" x14ac:dyDescent="0.25">
      <c r="Y22421" s="501"/>
    </row>
    <row r="22422" spans="25:25" hidden="1" x14ac:dyDescent="0.25">
      <c r="Y22422" s="501"/>
    </row>
    <row r="22423" spans="25:25" hidden="1" x14ac:dyDescent="0.25">
      <c r="Y22423" s="501"/>
    </row>
    <row r="22424" spans="25:25" hidden="1" x14ac:dyDescent="0.25">
      <c r="Y22424" s="501"/>
    </row>
    <row r="22425" spans="25:25" hidden="1" x14ac:dyDescent="0.25">
      <c r="Y22425" s="501"/>
    </row>
    <row r="22426" spans="25:25" hidden="1" x14ac:dyDescent="0.25">
      <c r="Y22426" s="501"/>
    </row>
    <row r="22427" spans="25:25" hidden="1" x14ac:dyDescent="0.25">
      <c r="Y22427" s="501"/>
    </row>
    <row r="22428" spans="25:25" hidden="1" x14ac:dyDescent="0.25">
      <c r="Y22428" s="501"/>
    </row>
    <row r="22429" spans="25:25" hidden="1" x14ac:dyDescent="0.25">
      <c r="Y22429" s="501"/>
    </row>
    <row r="22430" spans="25:25" hidden="1" x14ac:dyDescent="0.25">
      <c r="Y22430" s="501"/>
    </row>
    <row r="22431" spans="25:25" hidden="1" x14ac:dyDescent="0.25">
      <c r="Y22431" s="501"/>
    </row>
    <row r="22432" spans="25:25" hidden="1" x14ac:dyDescent="0.25">
      <c r="Y22432" s="501"/>
    </row>
    <row r="22433" spans="25:25" hidden="1" x14ac:dyDescent="0.25">
      <c r="Y22433" s="501"/>
    </row>
    <row r="22434" spans="25:25" hidden="1" x14ac:dyDescent="0.25">
      <c r="Y22434" s="501"/>
    </row>
    <row r="22435" spans="25:25" hidden="1" x14ac:dyDescent="0.25">
      <c r="Y22435" s="501"/>
    </row>
    <row r="22436" spans="25:25" hidden="1" x14ac:dyDescent="0.25">
      <c r="Y22436" s="501"/>
    </row>
    <row r="22437" spans="25:25" hidden="1" x14ac:dyDescent="0.25">
      <c r="Y22437" s="501"/>
    </row>
    <row r="22438" spans="25:25" hidden="1" x14ac:dyDescent="0.25">
      <c r="Y22438" s="501"/>
    </row>
    <row r="22439" spans="25:25" hidden="1" x14ac:dyDescent="0.25">
      <c r="Y22439" s="501"/>
    </row>
    <row r="22440" spans="25:25" hidden="1" x14ac:dyDescent="0.25">
      <c r="Y22440" s="501"/>
    </row>
    <row r="22441" spans="25:25" hidden="1" x14ac:dyDescent="0.25">
      <c r="Y22441" s="501"/>
    </row>
    <row r="22442" spans="25:25" hidden="1" x14ac:dyDescent="0.25">
      <c r="Y22442" s="501"/>
    </row>
    <row r="22443" spans="25:25" hidden="1" x14ac:dyDescent="0.25">
      <c r="Y22443" s="501"/>
    </row>
    <row r="22444" spans="25:25" hidden="1" x14ac:dyDescent="0.25">
      <c r="Y22444" s="501"/>
    </row>
    <row r="22445" spans="25:25" hidden="1" x14ac:dyDescent="0.25">
      <c r="Y22445" s="501"/>
    </row>
    <row r="22446" spans="25:25" hidden="1" x14ac:dyDescent="0.25">
      <c r="Y22446" s="501"/>
    </row>
    <row r="22447" spans="25:25" hidden="1" x14ac:dyDescent="0.25">
      <c r="Y22447" s="501"/>
    </row>
    <row r="22448" spans="25:25" hidden="1" x14ac:dyDescent="0.25">
      <c r="Y22448" s="501"/>
    </row>
    <row r="22449" spans="25:25" hidden="1" x14ac:dyDescent="0.25">
      <c r="Y22449" s="501"/>
    </row>
    <row r="22450" spans="25:25" hidden="1" x14ac:dyDescent="0.25">
      <c r="Y22450" s="501"/>
    </row>
    <row r="22451" spans="25:25" hidden="1" x14ac:dyDescent="0.25">
      <c r="Y22451" s="501"/>
    </row>
    <row r="22452" spans="25:25" hidden="1" x14ac:dyDescent="0.25">
      <c r="Y22452" s="501"/>
    </row>
    <row r="22453" spans="25:25" hidden="1" x14ac:dyDescent="0.25">
      <c r="Y22453" s="501"/>
    </row>
    <row r="22454" spans="25:25" hidden="1" x14ac:dyDescent="0.25">
      <c r="Y22454" s="501"/>
    </row>
    <row r="22455" spans="25:25" hidden="1" x14ac:dyDescent="0.25">
      <c r="Y22455" s="501"/>
    </row>
    <row r="22456" spans="25:25" hidden="1" x14ac:dyDescent="0.25">
      <c r="Y22456" s="501"/>
    </row>
    <row r="22457" spans="25:25" hidden="1" x14ac:dyDescent="0.25">
      <c r="Y22457" s="501"/>
    </row>
    <row r="22458" spans="25:25" hidden="1" x14ac:dyDescent="0.25">
      <c r="Y22458" s="501"/>
    </row>
    <row r="22459" spans="25:25" hidden="1" x14ac:dyDescent="0.25">
      <c r="Y22459" s="501"/>
    </row>
    <row r="22460" spans="25:25" hidden="1" x14ac:dyDescent="0.25">
      <c r="Y22460" s="501"/>
    </row>
    <row r="22461" spans="25:25" hidden="1" x14ac:dyDescent="0.25">
      <c r="Y22461" s="501"/>
    </row>
    <row r="22462" spans="25:25" hidden="1" x14ac:dyDescent="0.25">
      <c r="Y22462" s="501"/>
    </row>
    <row r="22463" spans="25:25" hidden="1" x14ac:dyDescent="0.25">
      <c r="Y22463" s="501"/>
    </row>
    <row r="22464" spans="25:25" hidden="1" x14ac:dyDescent="0.25">
      <c r="Y22464" s="501"/>
    </row>
    <row r="22465" spans="25:25" hidden="1" x14ac:dyDescent="0.25">
      <c r="Y22465" s="501"/>
    </row>
    <row r="22466" spans="25:25" hidden="1" x14ac:dyDescent="0.25">
      <c r="Y22466" s="501"/>
    </row>
    <row r="22467" spans="25:25" hidden="1" x14ac:dyDescent="0.25">
      <c r="Y22467" s="501"/>
    </row>
    <row r="22468" spans="25:25" hidden="1" x14ac:dyDescent="0.25">
      <c r="Y22468" s="501"/>
    </row>
    <row r="22469" spans="25:25" hidden="1" x14ac:dyDescent="0.25">
      <c r="Y22469" s="501"/>
    </row>
    <row r="22470" spans="25:25" hidden="1" x14ac:dyDescent="0.25">
      <c r="Y22470" s="501"/>
    </row>
    <row r="22471" spans="25:25" hidden="1" x14ac:dyDescent="0.25">
      <c r="Y22471" s="501"/>
    </row>
    <row r="22472" spans="25:25" hidden="1" x14ac:dyDescent="0.25">
      <c r="Y22472" s="501"/>
    </row>
    <row r="22473" spans="25:25" hidden="1" x14ac:dyDescent="0.25">
      <c r="Y22473" s="501"/>
    </row>
    <row r="22474" spans="25:25" hidden="1" x14ac:dyDescent="0.25">
      <c r="Y22474" s="501"/>
    </row>
    <row r="22475" spans="25:25" hidden="1" x14ac:dyDescent="0.25">
      <c r="Y22475" s="501"/>
    </row>
    <row r="22476" spans="25:25" hidden="1" x14ac:dyDescent="0.25">
      <c r="Y22476" s="501"/>
    </row>
    <row r="22477" spans="25:25" hidden="1" x14ac:dyDescent="0.25">
      <c r="Y22477" s="501"/>
    </row>
    <row r="22478" spans="25:25" hidden="1" x14ac:dyDescent="0.25">
      <c r="Y22478" s="501"/>
    </row>
    <row r="22479" spans="25:25" hidden="1" x14ac:dyDescent="0.25">
      <c r="Y22479" s="501"/>
    </row>
    <row r="22480" spans="25:25" hidden="1" x14ac:dyDescent="0.25">
      <c r="Y22480" s="501"/>
    </row>
    <row r="22481" spans="25:25" hidden="1" x14ac:dyDescent="0.25">
      <c r="Y22481" s="501"/>
    </row>
    <row r="22482" spans="25:25" hidden="1" x14ac:dyDescent="0.25">
      <c r="Y22482" s="501"/>
    </row>
    <row r="22483" spans="25:25" hidden="1" x14ac:dyDescent="0.25">
      <c r="Y22483" s="501"/>
    </row>
    <row r="22484" spans="25:25" hidden="1" x14ac:dyDescent="0.25">
      <c r="Y22484" s="501"/>
    </row>
    <row r="22485" spans="25:25" hidden="1" x14ac:dyDescent="0.25">
      <c r="Y22485" s="501"/>
    </row>
    <row r="22486" spans="25:25" hidden="1" x14ac:dyDescent="0.25">
      <c r="Y22486" s="501"/>
    </row>
    <row r="22487" spans="25:25" hidden="1" x14ac:dyDescent="0.25">
      <c r="Y22487" s="501"/>
    </row>
    <row r="22488" spans="25:25" hidden="1" x14ac:dyDescent="0.25">
      <c r="Y22488" s="501"/>
    </row>
    <row r="22489" spans="25:25" hidden="1" x14ac:dyDescent="0.25">
      <c r="Y22489" s="501"/>
    </row>
    <row r="22490" spans="25:25" hidden="1" x14ac:dyDescent="0.25">
      <c r="Y22490" s="501"/>
    </row>
    <row r="22491" spans="25:25" hidden="1" x14ac:dyDescent="0.25">
      <c r="Y22491" s="501"/>
    </row>
    <row r="22492" spans="25:25" hidden="1" x14ac:dyDescent="0.25">
      <c r="Y22492" s="501"/>
    </row>
    <row r="22493" spans="25:25" hidden="1" x14ac:dyDescent="0.25">
      <c r="Y22493" s="501"/>
    </row>
    <row r="22494" spans="25:25" hidden="1" x14ac:dyDescent="0.25">
      <c r="Y22494" s="501"/>
    </row>
    <row r="22495" spans="25:25" hidden="1" x14ac:dyDescent="0.25">
      <c r="Y22495" s="501"/>
    </row>
    <row r="22496" spans="25:25" hidden="1" x14ac:dyDescent="0.25">
      <c r="Y22496" s="501"/>
    </row>
    <row r="22497" spans="25:25" hidden="1" x14ac:dyDescent="0.25">
      <c r="Y22497" s="501"/>
    </row>
    <row r="22498" spans="25:25" hidden="1" x14ac:dyDescent="0.25">
      <c r="Y22498" s="501"/>
    </row>
    <row r="22499" spans="25:25" hidden="1" x14ac:dyDescent="0.25">
      <c r="Y22499" s="501"/>
    </row>
    <row r="22500" spans="25:25" hidden="1" x14ac:dyDescent="0.25">
      <c r="Y22500" s="501"/>
    </row>
    <row r="22501" spans="25:25" hidden="1" x14ac:dyDescent="0.25">
      <c r="Y22501" s="501"/>
    </row>
    <row r="22502" spans="25:25" hidden="1" x14ac:dyDescent="0.25">
      <c r="Y22502" s="501"/>
    </row>
    <row r="22503" spans="25:25" hidden="1" x14ac:dyDescent="0.25">
      <c r="Y22503" s="501"/>
    </row>
    <row r="22504" spans="25:25" hidden="1" x14ac:dyDescent="0.25">
      <c r="Y22504" s="501"/>
    </row>
    <row r="22505" spans="25:25" hidden="1" x14ac:dyDescent="0.25">
      <c r="Y22505" s="501"/>
    </row>
    <row r="22506" spans="25:25" hidden="1" x14ac:dyDescent="0.25">
      <c r="Y22506" s="501"/>
    </row>
    <row r="22507" spans="25:25" hidden="1" x14ac:dyDescent="0.25">
      <c r="Y22507" s="501"/>
    </row>
    <row r="22508" spans="25:25" hidden="1" x14ac:dyDescent="0.25">
      <c r="Y22508" s="501"/>
    </row>
    <row r="22509" spans="25:25" hidden="1" x14ac:dyDescent="0.25">
      <c r="Y22509" s="501"/>
    </row>
    <row r="22510" spans="25:25" hidden="1" x14ac:dyDescent="0.25">
      <c r="Y22510" s="501"/>
    </row>
    <row r="22511" spans="25:25" hidden="1" x14ac:dyDescent="0.25">
      <c r="Y22511" s="501"/>
    </row>
    <row r="22512" spans="25:25" hidden="1" x14ac:dyDescent="0.25">
      <c r="Y22512" s="501"/>
    </row>
    <row r="22513" spans="25:25" hidden="1" x14ac:dyDescent="0.25">
      <c r="Y22513" s="501"/>
    </row>
    <row r="22514" spans="25:25" hidden="1" x14ac:dyDescent="0.25">
      <c r="Y22514" s="501"/>
    </row>
    <row r="22515" spans="25:25" hidden="1" x14ac:dyDescent="0.25">
      <c r="Y22515" s="501"/>
    </row>
    <row r="22516" spans="25:25" hidden="1" x14ac:dyDescent="0.25">
      <c r="Y22516" s="501"/>
    </row>
    <row r="22517" spans="25:25" hidden="1" x14ac:dyDescent="0.25">
      <c r="Y22517" s="501"/>
    </row>
    <row r="22518" spans="25:25" hidden="1" x14ac:dyDescent="0.25">
      <c r="Y22518" s="501"/>
    </row>
    <row r="22519" spans="25:25" hidden="1" x14ac:dyDescent="0.25">
      <c r="Y22519" s="501"/>
    </row>
    <row r="22520" spans="25:25" hidden="1" x14ac:dyDescent="0.25">
      <c r="Y22520" s="501"/>
    </row>
    <row r="22521" spans="25:25" hidden="1" x14ac:dyDescent="0.25">
      <c r="Y22521" s="501"/>
    </row>
    <row r="22522" spans="25:25" hidden="1" x14ac:dyDescent="0.25">
      <c r="Y22522" s="501"/>
    </row>
    <row r="22523" spans="25:25" hidden="1" x14ac:dyDescent="0.25">
      <c r="Y22523" s="501"/>
    </row>
    <row r="22524" spans="25:25" hidden="1" x14ac:dyDescent="0.25">
      <c r="Y22524" s="501"/>
    </row>
    <row r="22525" spans="25:25" hidden="1" x14ac:dyDescent="0.25">
      <c r="Y22525" s="501"/>
    </row>
    <row r="22526" spans="25:25" hidden="1" x14ac:dyDescent="0.25">
      <c r="Y22526" s="501"/>
    </row>
    <row r="22527" spans="25:25" hidden="1" x14ac:dyDescent="0.25">
      <c r="Y22527" s="501"/>
    </row>
    <row r="22528" spans="25:25" hidden="1" x14ac:dyDescent="0.25">
      <c r="Y22528" s="501"/>
    </row>
    <row r="22529" spans="25:25" hidden="1" x14ac:dyDescent="0.25">
      <c r="Y22529" s="501"/>
    </row>
    <row r="22530" spans="25:25" hidden="1" x14ac:dyDescent="0.25">
      <c r="Y22530" s="501"/>
    </row>
    <row r="22531" spans="25:25" hidden="1" x14ac:dyDescent="0.25">
      <c r="Y22531" s="501"/>
    </row>
    <row r="22532" spans="25:25" hidden="1" x14ac:dyDescent="0.25">
      <c r="Y22532" s="501"/>
    </row>
    <row r="22533" spans="25:25" hidden="1" x14ac:dyDescent="0.25">
      <c r="Y22533" s="501"/>
    </row>
    <row r="22534" spans="25:25" hidden="1" x14ac:dyDescent="0.25">
      <c r="Y22534" s="501"/>
    </row>
    <row r="22535" spans="25:25" hidden="1" x14ac:dyDescent="0.25">
      <c r="Y22535" s="501"/>
    </row>
    <row r="22536" spans="25:25" hidden="1" x14ac:dyDescent="0.25">
      <c r="Y22536" s="501"/>
    </row>
    <row r="22537" spans="25:25" hidden="1" x14ac:dyDescent="0.25">
      <c r="Y22537" s="501"/>
    </row>
    <row r="22538" spans="25:25" hidden="1" x14ac:dyDescent="0.25">
      <c r="Y22538" s="501"/>
    </row>
    <row r="22539" spans="25:25" hidden="1" x14ac:dyDescent="0.25">
      <c r="Y22539" s="501"/>
    </row>
    <row r="22540" spans="25:25" hidden="1" x14ac:dyDescent="0.25">
      <c r="Y22540" s="501"/>
    </row>
    <row r="22541" spans="25:25" hidden="1" x14ac:dyDescent="0.25">
      <c r="Y22541" s="501"/>
    </row>
    <row r="22542" spans="25:25" hidden="1" x14ac:dyDescent="0.25">
      <c r="Y22542" s="501"/>
    </row>
    <row r="22543" spans="25:25" hidden="1" x14ac:dyDescent="0.25">
      <c r="Y22543" s="501"/>
    </row>
    <row r="22544" spans="25:25" hidden="1" x14ac:dyDescent="0.25">
      <c r="Y22544" s="501"/>
    </row>
    <row r="22545" spans="25:25" hidden="1" x14ac:dyDescent="0.25">
      <c r="Y22545" s="501"/>
    </row>
    <row r="22546" spans="25:25" hidden="1" x14ac:dyDescent="0.25">
      <c r="Y22546" s="501"/>
    </row>
    <row r="22547" spans="25:25" hidden="1" x14ac:dyDescent="0.25">
      <c r="Y22547" s="501"/>
    </row>
    <row r="22548" spans="25:25" hidden="1" x14ac:dyDescent="0.25">
      <c r="Y22548" s="501"/>
    </row>
    <row r="22549" spans="25:25" hidden="1" x14ac:dyDescent="0.25">
      <c r="Y22549" s="501"/>
    </row>
    <row r="22550" spans="25:25" hidden="1" x14ac:dyDescent="0.25">
      <c r="Y22550" s="501"/>
    </row>
    <row r="22551" spans="25:25" hidden="1" x14ac:dyDescent="0.25">
      <c r="Y22551" s="501"/>
    </row>
    <row r="22552" spans="25:25" hidden="1" x14ac:dyDescent="0.25">
      <c r="Y22552" s="501"/>
    </row>
    <row r="22553" spans="25:25" hidden="1" x14ac:dyDescent="0.25">
      <c r="Y22553" s="501"/>
    </row>
    <row r="22554" spans="25:25" hidden="1" x14ac:dyDescent="0.25">
      <c r="Y22554" s="501"/>
    </row>
    <row r="22555" spans="25:25" hidden="1" x14ac:dyDescent="0.25">
      <c r="Y22555" s="501"/>
    </row>
    <row r="22556" spans="25:25" hidden="1" x14ac:dyDescent="0.25">
      <c r="Y22556" s="501"/>
    </row>
    <row r="22557" spans="25:25" hidden="1" x14ac:dyDescent="0.25">
      <c r="Y22557" s="501"/>
    </row>
    <row r="22558" spans="25:25" hidden="1" x14ac:dyDescent="0.25">
      <c r="Y22558" s="501"/>
    </row>
    <row r="22559" spans="25:25" hidden="1" x14ac:dyDescent="0.25">
      <c r="Y22559" s="501"/>
    </row>
    <row r="22560" spans="25:25" hidden="1" x14ac:dyDescent="0.25">
      <c r="Y22560" s="501"/>
    </row>
    <row r="22561" spans="25:25" hidden="1" x14ac:dyDescent="0.25">
      <c r="Y22561" s="501"/>
    </row>
    <row r="22562" spans="25:25" hidden="1" x14ac:dyDescent="0.25">
      <c r="Y22562" s="501"/>
    </row>
    <row r="22563" spans="25:25" hidden="1" x14ac:dyDescent="0.25">
      <c r="Y22563" s="501"/>
    </row>
    <row r="22564" spans="25:25" hidden="1" x14ac:dyDescent="0.25">
      <c r="Y22564" s="501"/>
    </row>
    <row r="22565" spans="25:25" hidden="1" x14ac:dyDescent="0.25">
      <c r="Y22565" s="501"/>
    </row>
    <row r="22566" spans="25:25" hidden="1" x14ac:dyDescent="0.25">
      <c r="Y22566" s="501"/>
    </row>
    <row r="22567" spans="25:25" hidden="1" x14ac:dyDescent="0.25">
      <c r="Y22567" s="501"/>
    </row>
    <row r="22568" spans="25:25" hidden="1" x14ac:dyDescent="0.25">
      <c r="Y22568" s="501"/>
    </row>
    <row r="22569" spans="25:25" hidden="1" x14ac:dyDescent="0.25">
      <c r="Y22569" s="501"/>
    </row>
    <row r="22570" spans="25:25" hidden="1" x14ac:dyDescent="0.25">
      <c r="Y22570" s="501"/>
    </row>
    <row r="22571" spans="25:25" hidden="1" x14ac:dyDescent="0.25">
      <c r="Y22571" s="501"/>
    </row>
    <row r="22572" spans="25:25" hidden="1" x14ac:dyDescent="0.25">
      <c r="Y22572" s="501"/>
    </row>
    <row r="22573" spans="25:25" hidden="1" x14ac:dyDescent="0.25">
      <c r="Y22573" s="501"/>
    </row>
    <row r="22574" spans="25:25" hidden="1" x14ac:dyDescent="0.25">
      <c r="Y22574" s="501"/>
    </row>
    <row r="22575" spans="25:25" hidden="1" x14ac:dyDescent="0.25">
      <c r="Y22575" s="501"/>
    </row>
    <row r="22576" spans="25:25" hidden="1" x14ac:dyDescent="0.25">
      <c r="Y22576" s="501"/>
    </row>
    <row r="22577" spans="25:25" hidden="1" x14ac:dyDescent="0.25">
      <c r="Y22577" s="501"/>
    </row>
    <row r="22578" spans="25:25" hidden="1" x14ac:dyDescent="0.25">
      <c r="Y22578" s="501"/>
    </row>
    <row r="22579" spans="25:25" hidden="1" x14ac:dyDescent="0.25">
      <c r="Y22579" s="501"/>
    </row>
    <row r="22580" spans="25:25" hidden="1" x14ac:dyDescent="0.25">
      <c r="Y22580" s="501"/>
    </row>
    <row r="22581" spans="25:25" hidden="1" x14ac:dyDescent="0.25">
      <c r="Y22581" s="501"/>
    </row>
    <row r="22582" spans="25:25" hidden="1" x14ac:dyDescent="0.25">
      <c r="Y22582" s="501"/>
    </row>
    <row r="22583" spans="25:25" hidden="1" x14ac:dyDescent="0.25">
      <c r="Y22583" s="501"/>
    </row>
    <row r="22584" spans="25:25" hidden="1" x14ac:dyDescent="0.25">
      <c r="Y22584" s="501"/>
    </row>
    <row r="22585" spans="25:25" hidden="1" x14ac:dyDescent="0.25">
      <c r="Y22585" s="501"/>
    </row>
    <row r="22586" spans="25:25" hidden="1" x14ac:dyDescent="0.25">
      <c r="Y22586" s="501"/>
    </row>
    <row r="22587" spans="25:25" hidden="1" x14ac:dyDescent="0.25">
      <c r="Y22587" s="501"/>
    </row>
    <row r="22588" spans="25:25" hidden="1" x14ac:dyDescent="0.25">
      <c r="Y22588" s="501"/>
    </row>
    <row r="22589" spans="25:25" hidden="1" x14ac:dyDescent="0.25">
      <c r="Y22589" s="501"/>
    </row>
    <row r="22590" spans="25:25" hidden="1" x14ac:dyDescent="0.25">
      <c r="Y22590" s="501"/>
    </row>
    <row r="22591" spans="25:25" hidden="1" x14ac:dyDescent="0.25">
      <c r="Y22591" s="501"/>
    </row>
    <row r="22592" spans="25:25" hidden="1" x14ac:dyDescent="0.25">
      <c r="Y22592" s="501"/>
    </row>
    <row r="22593" spans="25:25" hidden="1" x14ac:dyDescent="0.25">
      <c r="Y22593" s="501"/>
    </row>
    <row r="22594" spans="25:25" hidden="1" x14ac:dyDescent="0.25">
      <c r="Y22594" s="501"/>
    </row>
    <row r="22595" spans="25:25" hidden="1" x14ac:dyDescent="0.25">
      <c r="Y22595" s="501"/>
    </row>
    <row r="22596" spans="25:25" hidden="1" x14ac:dyDescent="0.25">
      <c r="Y22596" s="501"/>
    </row>
    <row r="22597" spans="25:25" hidden="1" x14ac:dyDescent="0.25">
      <c r="Y22597" s="501"/>
    </row>
    <row r="22598" spans="25:25" hidden="1" x14ac:dyDescent="0.25">
      <c r="Y22598" s="501"/>
    </row>
    <row r="22599" spans="25:25" hidden="1" x14ac:dyDescent="0.25">
      <c r="Y22599" s="501"/>
    </row>
    <row r="22600" spans="25:25" hidden="1" x14ac:dyDescent="0.25">
      <c r="Y22600" s="501"/>
    </row>
    <row r="22601" spans="25:25" hidden="1" x14ac:dyDescent="0.25">
      <c r="Y22601" s="501"/>
    </row>
    <row r="22602" spans="25:25" hidden="1" x14ac:dyDescent="0.25">
      <c r="Y22602" s="501"/>
    </row>
    <row r="22603" spans="25:25" hidden="1" x14ac:dyDescent="0.25">
      <c r="Y22603" s="501"/>
    </row>
    <row r="22604" spans="25:25" hidden="1" x14ac:dyDescent="0.25">
      <c r="Y22604" s="501"/>
    </row>
    <row r="22605" spans="25:25" hidden="1" x14ac:dyDescent="0.25">
      <c r="Y22605" s="501"/>
    </row>
    <row r="22606" spans="25:25" hidden="1" x14ac:dyDescent="0.25">
      <c r="Y22606" s="501"/>
    </row>
    <row r="22607" spans="25:25" hidden="1" x14ac:dyDescent="0.25">
      <c r="Y22607" s="501"/>
    </row>
    <row r="22608" spans="25:25" hidden="1" x14ac:dyDescent="0.25">
      <c r="Y22608" s="501"/>
    </row>
    <row r="22609" spans="25:25" hidden="1" x14ac:dyDescent="0.25">
      <c r="Y22609" s="501"/>
    </row>
    <row r="22610" spans="25:25" hidden="1" x14ac:dyDescent="0.25">
      <c r="Y22610" s="501"/>
    </row>
    <row r="22611" spans="25:25" hidden="1" x14ac:dyDescent="0.25">
      <c r="Y22611" s="501"/>
    </row>
    <row r="22612" spans="25:25" hidden="1" x14ac:dyDescent="0.25">
      <c r="Y22612" s="501"/>
    </row>
    <row r="22613" spans="25:25" hidden="1" x14ac:dyDescent="0.25">
      <c r="Y22613" s="501"/>
    </row>
    <row r="22614" spans="25:25" hidden="1" x14ac:dyDescent="0.25">
      <c r="Y22614" s="501"/>
    </row>
    <row r="22615" spans="25:25" hidden="1" x14ac:dyDescent="0.25">
      <c r="Y22615" s="501"/>
    </row>
    <row r="22616" spans="25:25" hidden="1" x14ac:dyDescent="0.25">
      <c r="Y22616" s="501"/>
    </row>
    <row r="22617" spans="25:25" hidden="1" x14ac:dyDescent="0.25">
      <c r="Y22617" s="501"/>
    </row>
    <row r="22618" spans="25:25" hidden="1" x14ac:dyDescent="0.25">
      <c r="Y22618" s="501"/>
    </row>
    <row r="22619" spans="25:25" hidden="1" x14ac:dyDescent="0.25">
      <c r="Y22619" s="501"/>
    </row>
    <row r="22620" spans="25:25" hidden="1" x14ac:dyDescent="0.25">
      <c r="Y22620" s="501"/>
    </row>
    <row r="22621" spans="25:25" hidden="1" x14ac:dyDescent="0.25">
      <c r="Y22621" s="501"/>
    </row>
    <row r="22622" spans="25:25" hidden="1" x14ac:dyDescent="0.25">
      <c r="Y22622" s="501"/>
    </row>
    <row r="22623" spans="25:25" hidden="1" x14ac:dyDescent="0.25">
      <c r="Y22623" s="501"/>
    </row>
    <row r="22624" spans="25:25" hidden="1" x14ac:dyDescent="0.25">
      <c r="Y22624" s="501"/>
    </row>
    <row r="22625" spans="25:25" hidden="1" x14ac:dyDescent="0.25">
      <c r="Y22625" s="501"/>
    </row>
    <row r="22626" spans="25:25" hidden="1" x14ac:dyDescent="0.25">
      <c r="Y22626" s="501"/>
    </row>
    <row r="22627" spans="25:25" hidden="1" x14ac:dyDescent="0.25">
      <c r="Y22627" s="501"/>
    </row>
    <row r="22628" spans="25:25" hidden="1" x14ac:dyDescent="0.25">
      <c r="Y22628" s="501"/>
    </row>
    <row r="22629" spans="25:25" hidden="1" x14ac:dyDescent="0.25">
      <c r="Y22629" s="501"/>
    </row>
    <row r="22630" spans="25:25" hidden="1" x14ac:dyDescent="0.25">
      <c r="Y22630" s="501"/>
    </row>
    <row r="22631" spans="25:25" hidden="1" x14ac:dyDescent="0.25">
      <c r="Y22631" s="501"/>
    </row>
    <row r="22632" spans="25:25" hidden="1" x14ac:dyDescent="0.25">
      <c r="Y22632" s="501"/>
    </row>
    <row r="22633" spans="25:25" hidden="1" x14ac:dyDescent="0.25">
      <c r="Y22633" s="501"/>
    </row>
    <row r="22634" spans="25:25" hidden="1" x14ac:dyDescent="0.25">
      <c r="Y22634" s="501"/>
    </row>
    <row r="22635" spans="25:25" hidden="1" x14ac:dyDescent="0.25">
      <c r="Y22635" s="501"/>
    </row>
    <row r="22636" spans="25:25" hidden="1" x14ac:dyDescent="0.25">
      <c r="Y22636" s="501"/>
    </row>
    <row r="22637" spans="25:25" hidden="1" x14ac:dyDescent="0.25">
      <c r="Y22637" s="501"/>
    </row>
    <row r="22638" spans="25:25" hidden="1" x14ac:dyDescent="0.25">
      <c r="Y22638" s="501"/>
    </row>
    <row r="22639" spans="25:25" hidden="1" x14ac:dyDescent="0.25">
      <c r="Y22639" s="501"/>
    </row>
    <row r="22640" spans="25:25" hidden="1" x14ac:dyDescent="0.25">
      <c r="Y22640" s="501"/>
    </row>
    <row r="22641" spans="25:25" hidden="1" x14ac:dyDescent="0.25">
      <c r="Y22641" s="501"/>
    </row>
    <row r="22642" spans="25:25" hidden="1" x14ac:dyDescent="0.25">
      <c r="Y22642" s="501"/>
    </row>
    <row r="22643" spans="25:25" hidden="1" x14ac:dyDescent="0.25">
      <c r="Y22643" s="501"/>
    </row>
    <row r="22644" spans="25:25" hidden="1" x14ac:dyDescent="0.25">
      <c r="Y22644" s="501"/>
    </row>
    <row r="22645" spans="25:25" hidden="1" x14ac:dyDescent="0.25">
      <c r="Y22645" s="501"/>
    </row>
    <row r="22646" spans="25:25" hidden="1" x14ac:dyDescent="0.25">
      <c r="Y22646" s="501"/>
    </row>
    <row r="22647" spans="25:25" hidden="1" x14ac:dyDescent="0.25">
      <c r="Y22647" s="501"/>
    </row>
    <row r="22648" spans="25:25" hidden="1" x14ac:dyDescent="0.25">
      <c r="Y22648" s="501"/>
    </row>
    <row r="22649" spans="25:25" hidden="1" x14ac:dyDescent="0.25">
      <c r="Y22649" s="501"/>
    </row>
    <row r="22650" spans="25:25" hidden="1" x14ac:dyDescent="0.25">
      <c r="Y22650" s="501"/>
    </row>
    <row r="22651" spans="25:25" hidden="1" x14ac:dyDescent="0.25">
      <c r="Y22651" s="501"/>
    </row>
    <row r="22652" spans="25:25" hidden="1" x14ac:dyDescent="0.25">
      <c r="Y22652" s="501"/>
    </row>
    <row r="22653" spans="25:25" hidden="1" x14ac:dyDescent="0.25">
      <c r="Y22653" s="501"/>
    </row>
    <row r="22654" spans="25:25" hidden="1" x14ac:dyDescent="0.25">
      <c r="Y22654" s="501"/>
    </row>
    <row r="22655" spans="25:25" hidden="1" x14ac:dyDescent="0.25">
      <c r="Y22655" s="501"/>
    </row>
    <row r="22656" spans="25:25" hidden="1" x14ac:dyDescent="0.25">
      <c r="Y22656" s="501"/>
    </row>
    <row r="22657" spans="25:25" hidden="1" x14ac:dyDescent="0.25">
      <c r="Y22657" s="501"/>
    </row>
    <row r="22658" spans="25:25" hidden="1" x14ac:dyDescent="0.25">
      <c r="Y22658" s="501"/>
    </row>
    <row r="22659" spans="25:25" hidden="1" x14ac:dyDescent="0.25">
      <c r="Y22659" s="501"/>
    </row>
    <row r="22660" spans="25:25" hidden="1" x14ac:dyDescent="0.25">
      <c r="Y22660" s="501"/>
    </row>
    <row r="22661" spans="25:25" hidden="1" x14ac:dyDescent="0.25">
      <c r="Y22661" s="501"/>
    </row>
    <row r="22662" spans="25:25" hidden="1" x14ac:dyDescent="0.25">
      <c r="Y22662" s="501"/>
    </row>
    <row r="22663" spans="25:25" hidden="1" x14ac:dyDescent="0.25">
      <c r="Y22663" s="501"/>
    </row>
    <row r="22664" spans="25:25" hidden="1" x14ac:dyDescent="0.25">
      <c r="Y22664" s="501"/>
    </row>
    <row r="22665" spans="25:25" hidden="1" x14ac:dyDescent="0.25">
      <c r="Y22665" s="501"/>
    </row>
    <row r="22666" spans="25:25" hidden="1" x14ac:dyDescent="0.25">
      <c r="Y22666" s="501"/>
    </row>
    <row r="22667" spans="25:25" hidden="1" x14ac:dyDescent="0.25">
      <c r="Y22667" s="501"/>
    </row>
    <row r="22668" spans="25:25" hidden="1" x14ac:dyDescent="0.25">
      <c r="Y22668" s="501"/>
    </row>
    <row r="22669" spans="25:25" hidden="1" x14ac:dyDescent="0.25">
      <c r="Y22669" s="501"/>
    </row>
    <row r="22670" spans="25:25" hidden="1" x14ac:dyDescent="0.25">
      <c r="Y22670" s="501"/>
    </row>
    <row r="22671" spans="25:25" hidden="1" x14ac:dyDescent="0.25">
      <c r="Y22671" s="501"/>
    </row>
    <row r="22672" spans="25:25" hidden="1" x14ac:dyDescent="0.25">
      <c r="Y22672" s="501"/>
    </row>
    <row r="22673" spans="25:25" hidden="1" x14ac:dyDescent="0.25">
      <c r="Y22673" s="501"/>
    </row>
    <row r="22674" spans="25:25" hidden="1" x14ac:dyDescent="0.25">
      <c r="Y22674" s="501"/>
    </row>
    <row r="22675" spans="25:25" hidden="1" x14ac:dyDescent="0.25">
      <c r="Y22675" s="501"/>
    </row>
    <row r="22676" spans="25:25" hidden="1" x14ac:dyDescent="0.25">
      <c r="Y22676" s="501"/>
    </row>
    <row r="22677" spans="25:25" hidden="1" x14ac:dyDescent="0.25">
      <c r="Y22677" s="501"/>
    </row>
    <row r="22678" spans="25:25" hidden="1" x14ac:dyDescent="0.25">
      <c r="Y22678" s="501"/>
    </row>
    <row r="22679" spans="25:25" hidden="1" x14ac:dyDescent="0.25">
      <c r="Y22679" s="501"/>
    </row>
    <row r="22680" spans="25:25" hidden="1" x14ac:dyDescent="0.25">
      <c r="Y22680" s="501"/>
    </row>
    <row r="22681" spans="25:25" hidden="1" x14ac:dyDescent="0.25">
      <c r="Y22681" s="501"/>
    </row>
    <row r="22682" spans="25:25" hidden="1" x14ac:dyDescent="0.25">
      <c r="Y22682" s="501"/>
    </row>
    <row r="22683" spans="25:25" hidden="1" x14ac:dyDescent="0.25">
      <c r="Y22683" s="501"/>
    </row>
    <row r="22684" spans="25:25" hidden="1" x14ac:dyDescent="0.25">
      <c r="Y22684" s="501"/>
    </row>
    <row r="22685" spans="25:25" hidden="1" x14ac:dyDescent="0.25">
      <c r="Y22685" s="501"/>
    </row>
    <row r="22686" spans="25:25" hidden="1" x14ac:dyDescent="0.25">
      <c r="Y22686" s="501"/>
    </row>
    <row r="22687" spans="25:25" hidden="1" x14ac:dyDescent="0.25">
      <c r="Y22687" s="501"/>
    </row>
    <row r="22688" spans="25:25" hidden="1" x14ac:dyDescent="0.25">
      <c r="Y22688" s="501"/>
    </row>
    <row r="22689" spans="25:25" hidden="1" x14ac:dyDescent="0.25">
      <c r="Y22689" s="501"/>
    </row>
    <row r="22690" spans="25:25" hidden="1" x14ac:dyDescent="0.25">
      <c r="Y22690" s="501"/>
    </row>
    <row r="22691" spans="25:25" hidden="1" x14ac:dyDescent="0.25">
      <c r="Y22691" s="501"/>
    </row>
    <row r="22692" spans="25:25" hidden="1" x14ac:dyDescent="0.25">
      <c r="Y22692" s="501"/>
    </row>
    <row r="22693" spans="25:25" hidden="1" x14ac:dyDescent="0.25">
      <c r="Y22693" s="501"/>
    </row>
    <row r="22694" spans="25:25" hidden="1" x14ac:dyDescent="0.25">
      <c r="Y22694" s="501"/>
    </row>
    <row r="22695" spans="25:25" hidden="1" x14ac:dyDescent="0.25">
      <c r="Y22695" s="501"/>
    </row>
    <row r="22696" spans="25:25" hidden="1" x14ac:dyDescent="0.25">
      <c r="Y22696" s="501"/>
    </row>
    <row r="22697" spans="25:25" hidden="1" x14ac:dyDescent="0.25">
      <c r="Y22697" s="501"/>
    </row>
    <row r="22698" spans="25:25" hidden="1" x14ac:dyDescent="0.25">
      <c r="Y22698" s="501"/>
    </row>
    <row r="22699" spans="25:25" hidden="1" x14ac:dyDescent="0.25">
      <c r="Y22699" s="501"/>
    </row>
    <row r="22700" spans="25:25" hidden="1" x14ac:dyDescent="0.25">
      <c r="Y22700" s="501"/>
    </row>
    <row r="22701" spans="25:25" hidden="1" x14ac:dyDescent="0.25">
      <c r="Y22701" s="501"/>
    </row>
    <row r="22702" spans="25:25" hidden="1" x14ac:dyDescent="0.25">
      <c r="Y22702" s="501"/>
    </row>
    <row r="22703" spans="25:25" hidden="1" x14ac:dyDescent="0.25">
      <c r="Y22703" s="501"/>
    </row>
    <row r="22704" spans="25:25" hidden="1" x14ac:dyDescent="0.25">
      <c r="Y22704" s="501"/>
    </row>
    <row r="22705" spans="25:25" hidden="1" x14ac:dyDescent="0.25">
      <c r="Y22705" s="501"/>
    </row>
    <row r="22706" spans="25:25" hidden="1" x14ac:dyDescent="0.25">
      <c r="Y22706" s="501"/>
    </row>
    <row r="22707" spans="25:25" hidden="1" x14ac:dyDescent="0.25">
      <c r="Y22707" s="501"/>
    </row>
    <row r="22708" spans="25:25" hidden="1" x14ac:dyDescent="0.25">
      <c r="Y22708" s="501"/>
    </row>
    <row r="22709" spans="25:25" hidden="1" x14ac:dyDescent="0.25">
      <c r="Y22709" s="501"/>
    </row>
    <row r="22710" spans="25:25" hidden="1" x14ac:dyDescent="0.25">
      <c r="Y22710" s="501"/>
    </row>
    <row r="22711" spans="25:25" hidden="1" x14ac:dyDescent="0.25">
      <c r="Y22711" s="501"/>
    </row>
    <row r="22712" spans="25:25" hidden="1" x14ac:dyDescent="0.25">
      <c r="Y22712" s="501"/>
    </row>
    <row r="22713" spans="25:25" hidden="1" x14ac:dyDescent="0.25">
      <c r="Y22713" s="501"/>
    </row>
    <row r="22714" spans="25:25" hidden="1" x14ac:dyDescent="0.25">
      <c r="Y22714" s="501"/>
    </row>
    <row r="22715" spans="25:25" hidden="1" x14ac:dyDescent="0.25">
      <c r="Y22715" s="501"/>
    </row>
    <row r="22716" spans="25:25" hidden="1" x14ac:dyDescent="0.25">
      <c r="Y22716" s="501"/>
    </row>
    <row r="22717" spans="25:25" hidden="1" x14ac:dyDescent="0.25">
      <c r="Y22717" s="501"/>
    </row>
    <row r="22718" spans="25:25" hidden="1" x14ac:dyDescent="0.25">
      <c r="Y22718" s="501"/>
    </row>
    <row r="22719" spans="25:25" hidden="1" x14ac:dyDescent="0.25">
      <c r="Y22719" s="501"/>
    </row>
    <row r="22720" spans="25:25" hidden="1" x14ac:dyDescent="0.25">
      <c r="Y22720" s="501"/>
    </row>
    <row r="22721" spans="25:25" hidden="1" x14ac:dyDescent="0.25">
      <c r="Y22721" s="501"/>
    </row>
    <row r="22722" spans="25:25" hidden="1" x14ac:dyDescent="0.25">
      <c r="Y22722" s="501"/>
    </row>
    <row r="22723" spans="25:25" hidden="1" x14ac:dyDescent="0.25">
      <c r="Y22723" s="501"/>
    </row>
    <row r="22724" spans="25:25" hidden="1" x14ac:dyDescent="0.25">
      <c r="Y22724" s="501"/>
    </row>
    <row r="22725" spans="25:25" hidden="1" x14ac:dyDescent="0.25">
      <c r="Y22725" s="501"/>
    </row>
    <row r="22726" spans="25:25" hidden="1" x14ac:dyDescent="0.25">
      <c r="Y22726" s="501"/>
    </row>
    <row r="22727" spans="25:25" hidden="1" x14ac:dyDescent="0.25">
      <c r="Y22727" s="501"/>
    </row>
    <row r="22728" spans="25:25" hidden="1" x14ac:dyDescent="0.25">
      <c r="Y22728" s="501"/>
    </row>
    <row r="22729" spans="25:25" hidden="1" x14ac:dyDescent="0.25">
      <c r="Y22729" s="501"/>
    </row>
    <row r="22730" spans="25:25" hidden="1" x14ac:dyDescent="0.25">
      <c r="Y22730" s="501"/>
    </row>
    <row r="22731" spans="25:25" hidden="1" x14ac:dyDescent="0.25">
      <c r="Y22731" s="501"/>
    </row>
    <row r="22732" spans="25:25" hidden="1" x14ac:dyDescent="0.25">
      <c r="Y22732" s="501"/>
    </row>
    <row r="22733" spans="25:25" hidden="1" x14ac:dyDescent="0.25">
      <c r="Y22733" s="501"/>
    </row>
    <row r="22734" spans="25:25" hidden="1" x14ac:dyDescent="0.25">
      <c r="Y22734" s="501"/>
    </row>
    <row r="22735" spans="25:25" hidden="1" x14ac:dyDescent="0.25">
      <c r="Y22735" s="501"/>
    </row>
    <row r="22736" spans="25:25" hidden="1" x14ac:dyDescent="0.25">
      <c r="Y22736" s="501"/>
    </row>
    <row r="22737" spans="25:25" hidden="1" x14ac:dyDescent="0.25">
      <c r="Y22737" s="501"/>
    </row>
    <row r="22738" spans="25:25" hidden="1" x14ac:dyDescent="0.25">
      <c r="Y22738" s="501"/>
    </row>
    <row r="22739" spans="25:25" hidden="1" x14ac:dyDescent="0.25">
      <c r="Y22739" s="501"/>
    </row>
    <row r="22740" spans="25:25" hidden="1" x14ac:dyDescent="0.25">
      <c r="Y22740" s="501"/>
    </row>
    <row r="22741" spans="25:25" hidden="1" x14ac:dyDescent="0.25">
      <c r="Y22741" s="501"/>
    </row>
    <row r="22742" spans="25:25" hidden="1" x14ac:dyDescent="0.25">
      <c r="Y22742" s="501"/>
    </row>
    <row r="22743" spans="25:25" hidden="1" x14ac:dyDescent="0.25">
      <c r="Y22743" s="501"/>
    </row>
    <row r="22744" spans="25:25" hidden="1" x14ac:dyDescent="0.25">
      <c r="Y22744" s="501"/>
    </row>
    <row r="22745" spans="25:25" hidden="1" x14ac:dyDescent="0.25">
      <c r="Y22745" s="501"/>
    </row>
    <row r="22746" spans="25:25" hidden="1" x14ac:dyDescent="0.25">
      <c r="Y22746" s="501"/>
    </row>
    <row r="22747" spans="25:25" hidden="1" x14ac:dyDescent="0.25">
      <c r="Y22747" s="501"/>
    </row>
    <row r="22748" spans="25:25" hidden="1" x14ac:dyDescent="0.25">
      <c r="Y22748" s="501"/>
    </row>
    <row r="22749" spans="25:25" hidden="1" x14ac:dyDescent="0.25">
      <c r="Y22749" s="501"/>
    </row>
    <row r="22750" spans="25:25" hidden="1" x14ac:dyDescent="0.25">
      <c r="Y22750" s="501"/>
    </row>
    <row r="22751" spans="25:25" hidden="1" x14ac:dyDescent="0.25">
      <c r="Y22751" s="501"/>
    </row>
    <row r="22752" spans="25:25" hidden="1" x14ac:dyDescent="0.25">
      <c r="Y22752" s="501"/>
    </row>
    <row r="22753" spans="25:25" hidden="1" x14ac:dyDescent="0.25">
      <c r="Y22753" s="501"/>
    </row>
    <row r="22754" spans="25:25" hidden="1" x14ac:dyDescent="0.25">
      <c r="Y22754" s="501"/>
    </row>
    <row r="22755" spans="25:25" hidden="1" x14ac:dyDescent="0.25">
      <c r="Y22755" s="501"/>
    </row>
    <row r="22756" spans="25:25" hidden="1" x14ac:dyDescent="0.25">
      <c r="Y22756" s="501"/>
    </row>
    <row r="22757" spans="25:25" hidden="1" x14ac:dyDescent="0.25">
      <c r="Y22757" s="501"/>
    </row>
    <row r="22758" spans="25:25" hidden="1" x14ac:dyDescent="0.25">
      <c r="Y22758" s="501"/>
    </row>
    <row r="22759" spans="25:25" hidden="1" x14ac:dyDescent="0.25">
      <c r="Y22759" s="501"/>
    </row>
    <row r="22760" spans="25:25" hidden="1" x14ac:dyDescent="0.25">
      <c r="Y22760" s="501"/>
    </row>
    <row r="22761" spans="25:25" hidden="1" x14ac:dyDescent="0.25">
      <c r="Y22761" s="501"/>
    </row>
    <row r="22762" spans="25:25" hidden="1" x14ac:dyDescent="0.25">
      <c r="Y22762" s="501"/>
    </row>
    <row r="22763" spans="25:25" hidden="1" x14ac:dyDescent="0.25">
      <c r="Y22763" s="501"/>
    </row>
    <row r="22764" spans="25:25" hidden="1" x14ac:dyDescent="0.25">
      <c r="Y22764" s="501"/>
    </row>
    <row r="22765" spans="25:25" hidden="1" x14ac:dyDescent="0.25">
      <c r="Y22765" s="501"/>
    </row>
    <row r="22766" spans="25:25" hidden="1" x14ac:dyDescent="0.25">
      <c r="Y22766" s="501"/>
    </row>
    <row r="22767" spans="25:25" hidden="1" x14ac:dyDescent="0.25">
      <c r="Y22767" s="501"/>
    </row>
    <row r="22768" spans="25:25" hidden="1" x14ac:dyDescent="0.25">
      <c r="Y22768" s="501"/>
    </row>
    <row r="22769" spans="25:25" hidden="1" x14ac:dyDescent="0.25">
      <c r="Y22769" s="501"/>
    </row>
    <row r="22770" spans="25:25" hidden="1" x14ac:dyDescent="0.25">
      <c r="Y22770" s="501"/>
    </row>
    <row r="22771" spans="25:25" hidden="1" x14ac:dyDescent="0.25">
      <c r="Y22771" s="501"/>
    </row>
    <row r="22772" spans="25:25" hidden="1" x14ac:dyDescent="0.25">
      <c r="Y22772" s="501"/>
    </row>
    <row r="22773" spans="25:25" hidden="1" x14ac:dyDescent="0.25">
      <c r="Y22773" s="501"/>
    </row>
    <row r="22774" spans="25:25" hidden="1" x14ac:dyDescent="0.25">
      <c r="Y22774" s="501"/>
    </row>
    <row r="22775" spans="25:25" hidden="1" x14ac:dyDescent="0.25">
      <c r="Y22775" s="501"/>
    </row>
    <row r="22776" spans="25:25" hidden="1" x14ac:dyDescent="0.25">
      <c r="Y22776" s="501"/>
    </row>
    <row r="22777" spans="25:25" hidden="1" x14ac:dyDescent="0.25">
      <c r="Y22777" s="501"/>
    </row>
    <row r="22778" spans="25:25" hidden="1" x14ac:dyDescent="0.25">
      <c r="Y22778" s="501"/>
    </row>
    <row r="22779" spans="25:25" hidden="1" x14ac:dyDescent="0.25">
      <c r="Y22779" s="501"/>
    </row>
    <row r="22780" spans="25:25" hidden="1" x14ac:dyDescent="0.25">
      <c r="Y22780" s="501"/>
    </row>
    <row r="22781" spans="25:25" hidden="1" x14ac:dyDescent="0.25">
      <c r="Y22781" s="501"/>
    </row>
    <row r="22782" spans="25:25" hidden="1" x14ac:dyDescent="0.25">
      <c r="Y22782" s="501"/>
    </row>
    <row r="22783" spans="25:25" hidden="1" x14ac:dyDescent="0.25">
      <c r="Y22783" s="501"/>
    </row>
    <row r="22784" spans="25:25" hidden="1" x14ac:dyDescent="0.25">
      <c r="Y22784" s="501"/>
    </row>
    <row r="22785" spans="25:25" hidden="1" x14ac:dyDescent="0.25">
      <c r="Y22785" s="501"/>
    </row>
    <row r="22786" spans="25:25" hidden="1" x14ac:dyDescent="0.25">
      <c r="Y22786" s="501"/>
    </row>
    <row r="22787" spans="25:25" hidden="1" x14ac:dyDescent="0.25">
      <c r="Y22787" s="501"/>
    </row>
    <row r="22788" spans="25:25" hidden="1" x14ac:dyDescent="0.25">
      <c r="Y22788" s="501"/>
    </row>
    <row r="22789" spans="25:25" hidden="1" x14ac:dyDescent="0.25">
      <c r="Y22789" s="501"/>
    </row>
    <row r="22790" spans="25:25" hidden="1" x14ac:dyDescent="0.25">
      <c r="Y22790" s="501"/>
    </row>
    <row r="22791" spans="25:25" hidden="1" x14ac:dyDescent="0.25">
      <c r="Y22791" s="501"/>
    </row>
    <row r="22792" spans="25:25" hidden="1" x14ac:dyDescent="0.25">
      <c r="Y22792" s="501"/>
    </row>
    <row r="22793" spans="25:25" hidden="1" x14ac:dyDescent="0.25">
      <c r="Y22793" s="501"/>
    </row>
    <row r="22794" spans="25:25" hidden="1" x14ac:dyDescent="0.25">
      <c r="Y22794" s="501"/>
    </row>
    <row r="22795" spans="25:25" hidden="1" x14ac:dyDescent="0.25">
      <c r="Y22795" s="501"/>
    </row>
    <row r="22796" spans="25:25" hidden="1" x14ac:dyDescent="0.25">
      <c r="Y22796" s="501"/>
    </row>
    <row r="22797" spans="25:25" hidden="1" x14ac:dyDescent="0.25">
      <c r="Y22797" s="501"/>
    </row>
    <row r="22798" spans="25:25" hidden="1" x14ac:dyDescent="0.25">
      <c r="Y22798" s="501"/>
    </row>
    <row r="22799" spans="25:25" hidden="1" x14ac:dyDescent="0.25">
      <c r="Y22799" s="501"/>
    </row>
    <row r="22800" spans="25:25" hidden="1" x14ac:dyDescent="0.25">
      <c r="Y22800" s="501"/>
    </row>
    <row r="22801" spans="25:25" hidden="1" x14ac:dyDescent="0.25">
      <c r="Y22801" s="501"/>
    </row>
    <row r="22802" spans="25:25" hidden="1" x14ac:dyDescent="0.25">
      <c r="Y22802" s="501"/>
    </row>
    <row r="22803" spans="25:25" hidden="1" x14ac:dyDescent="0.25">
      <c r="Y22803" s="501"/>
    </row>
    <row r="22804" spans="25:25" hidden="1" x14ac:dyDescent="0.25">
      <c r="Y22804" s="501"/>
    </row>
    <row r="22805" spans="25:25" hidden="1" x14ac:dyDescent="0.25">
      <c r="Y22805" s="501"/>
    </row>
    <row r="22806" spans="25:25" hidden="1" x14ac:dyDescent="0.25">
      <c r="Y22806" s="501"/>
    </row>
    <row r="22807" spans="25:25" hidden="1" x14ac:dyDescent="0.25">
      <c r="Y22807" s="501"/>
    </row>
    <row r="22808" spans="25:25" hidden="1" x14ac:dyDescent="0.25">
      <c r="Y22808" s="501"/>
    </row>
    <row r="22809" spans="25:25" hidden="1" x14ac:dyDescent="0.25">
      <c r="Y22809" s="501"/>
    </row>
    <row r="22810" spans="25:25" hidden="1" x14ac:dyDescent="0.25">
      <c r="Y22810" s="501"/>
    </row>
    <row r="22811" spans="25:25" hidden="1" x14ac:dyDescent="0.25">
      <c r="Y22811" s="501"/>
    </row>
    <row r="22812" spans="25:25" hidden="1" x14ac:dyDescent="0.25">
      <c r="Y22812" s="501"/>
    </row>
    <row r="22813" spans="25:25" hidden="1" x14ac:dyDescent="0.25">
      <c r="Y22813" s="501"/>
    </row>
    <row r="22814" spans="25:25" hidden="1" x14ac:dyDescent="0.25">
      <c r="Y22814" s="501"/>
    </row>
    <row r="22815" spans="25:25" hidden="1" x14ac:dyDescent="0.25">
      <c r="Y22815" s="501"/>
    </row>
    <row r="22816" spans="25:25" hidden="1" x14ac:dyDescent="0.25">
      <c r="Y22816" s="501"/>
    </row>
    <row r="22817" spans="25:25" hidden="1" x14ac:dyDescent="0.25">
      <c r="Y22817" s="501"/>
    </row>
    <row r="22818" spans="25:25" hidden="1" x14ac:dyDescent="0.25">
      <c r="Y22818" s="501"/>
    </row>
    <row r="22819" spans="25:25" hidden="1" x14ac:dyDescent="0.25">
      <c r="Y22819" s="501"/>
    </row>
    <row r="22820" spans="25:25" hidden="1" x14ac:dyDescent="0.25">
      <c r="Y22820" s="501"/>
    </row>
    <row r="22821" spans="25:25" hidden="1" x14ac:dyDescent="0.25">
      <c r="Y22821" s="501"/>
    </row>
    <row r="22822" spans="25:25" hidden="1" x14ac:dyDescent="0.25">
      <c r="Y22822" s="501"/>
    </row>
    <row r="22823" spans="25:25" hidden="1" x14ac:dyDescent="0.25">
      <c r="Y22823" s="501"/>
    </row>
    <row r="22824" spans="25:25" hidden="1" x14ac:dyDescent="0.25">
      <c r="Y22824" s="501"/>
    </row>
    <row r="22825" spans="25:25" hidden="1" x14ac:dyDescent="0.25">
      <c r="Y22825" s="501"/>
    </row>
    <row r="22826" spans="25:25" hidden="1" x14ac:dyDescent="0.25">
      <c r="Y22826" s="501"/>
    </row>
    <row r="22827" spans="25:25" hidden="1" x14ac:dyDescent="0.25">
      <c r="Y22827" s="501"/>
    </row>
    <row r="22828" spans="25:25" hidden="1" x14ac:dyDescent="0.25">
      <c r="Y22828" s="501"/>
    </row>
    <row r="22829" spans="25:25" hidden="1" x14ac:dyDescent="0.25">
      <c r="Y22829" s="501"/>
    </row>
    <row r="22830" spans="25:25" hidden="1" x14ac:dyDescent="0.25">
      <c r="Y22830" s="501"/>
    </row>
    <row r="22831" spans="25:25" hidden="1" x14ac:dyDescent="0.25">
      <c r="Y22831" s="501"/>
    </row>
    <row r="22832" spans="25:25" hidden="1" x14ac:dyDescent="0.25">
      <c r="Y22832" s="501"/>
    </row>
    <row r="22833" spans="25:25" hidden="1" x14ac:dyDescent="0.25">
      <c r="Y22833" s="501"/>
    </row>
    <row r="22834" spans="25:25" hidden="1" x14ac:dyDescent="0.25">
      <c r="Y22834" s="501"/>
    </row>
    <row r="22835" spans="25:25" hidden="1" x14ac:dyDescent="0.25">
      <c r="Y22835" s="501"/>
    </row>
    <row r="22836" spans="25:25" hidden="1" x14ac:dyDescent="0.25">
      <c r="Y22836" s="501"/>
    </row>
    <row r="22837" spans="25:25" hidden="1" x14ac:dyDescent="0.25">
      <c r="Y22837" s="501"/>
    </row>
    <row r="22838" spans="25:25" hidden="1" x14ac:dyDescent="0.25">
      <c r="Y22838" s="501"/>
    </row>
    <row r="22839" spans="25:25" hidden="1" x14ac:dyDescent="0.25">
      <c r="Y22839" s="501"/>
    </row>
    <row r="22840" spans="25:25" hidden="1" x14ac:dyDescent="0.25">
      <c r="Y22840" s="501"/>
    </row>
    <row r="22841" spans="25:25" hidden="1" x14ac:dyDescent="0.25">
      <c r="Y22841" s="501"/>
    </row>
    <row r="22842" spans="25:25" hidden="1" x14ac:dyDescent="0.25">
      <c r="Y22842" s="501"/>
    </row>
    <row r="22843" spans="25:25" hidden="1" x14ac:dyDescent="0.25">
      <c r="Y22843" s="501"/>
    </row>
    <row r="22844" spans="25:25" hidden="1" x14ac:dyDescent="0.25">
      <c r="Y22844" s="501"/>
    </row>
    <row r="22845" spans="25:25" hidden="1" x14ac:dyDescent="0.25">
      <c r="Y22845" s="501"/>
    </row>
    <row r="22846" spans="25:25" hidden="1" x14ac:dyDescent="0.25">
      <c r="Y22846" s="501"/>
    </row>
    <row r="22847" spans="25:25" hidden="1" x14ac:dyDescent="0.25">
      <c r="Y22847" s="501"/>
    </row>
    <row r="22848" spans="25:25" hidden="1" x14ac:dyDescent="0.25">
      <c r="Y22848" s="501"/>
    </row>
    <row r="22849" spans="25:25" hidden="1" x14ac:dyDescent="0.25">
      <c r="Y22849" s="501"/>
    </row>
    <row r="22850" spans="25:25" hidden="1" x14ac:dyDescent="0.25">
      <c r="Y22850" s="501"/>
    </row>
    <row r="22851" spans="25:25" hidden="1" x14ac:dyDescent="0.25">
      <c r="Y22851" s="501"/>
    </row>
    <row r="22852" spans="25:25" hidden="1" x14ac:dyDescent="0.25">
      <c r="Y22852" s="501"/>
    </row>
    <row r="22853" spans="25:25" hidden="1" x14ac:dyDescent="0.25">
      <c r="Y22853" s="501"/>
    </row>
    <row r="22854" spans="25:25" hidden="1" x14ac:dyDescent="0.25">
      <c r="Y22854" s="501"/>
    </row>
    <row r="22855" spans="25:25" hidden="1" x14ac:dyDescent="0.25">
      <c r="Y22855" s="501"/>
    </row>
    <row r="22856" spans="25:25" hidden="1" x14ac:dyDescent="0.25">
      <c r="Y22856" s="501"/>
    </row>
    <row r="22857" spans="25:25" hidden="1" x14ac:dyDescent="0.25">
      <c r="Y22857" s="501"/>
    </row>
    <row r="22858" spans="25:25" hidden="1" x14ac:dyDescent="0.25">
      <c r="Y22858" s="501"/>
    </row>
    <row r="22859" spans="25:25" hidden="1" x14ac:dyDescent="0.25">
      <c r="Y22859" s="501"/>
    </row>
    <row r="22860" spans="25:25" hidden="1" x14ac:dyDescent="0.25">
      <c r="Y22860" s="501"/>
    </row>
    <row r="22861" spans="25:25" hidden="1" x14ac:dyDescent="0.25">
      <c r="Y22861" s="501"/>
    </row>
    <row r="22862" spans="25:25" hidden="1" x14ac:dyDescent="0.25">
      <c r="Y22862" s="501"/>
    </row>
    <row r="22863" spans="25:25" hidden="1" x14ac:dyDescent="0.25">
      <c r="Y22863" s="501"/>
    </row>
    <row r="22864" spans="25:25" hidden="1" x14ac:dyDescent="0.25">
      <c r="Y22864" s="501"/>
    </row>
    <row r="22865" spans="25:25" hidden="1" x14ac:dyDescent="0.25">
      <c r="Y22865" s="501"/>
    </row>
    <row r="22866" spans="25:25" hidden="1" x14ac:dyDescent="0.25">
      <c r="Y22866" s="501"/>
    </row>
    <row r="22867" spans="25:25" hidden="1" x14ac:dyDescent="0.25">
      <c r="Y22867" s="501"/>
    </row>
    <row r="22868" spans="25:25" hidden="1" x14ac:dyDescent="0.25">
      <c r="Y22868" s="501"/>
    </row>
    <row r="22869" spans="25:25" hidden="1" x14ac:dyDescent="0.25">
      <c r="Y22869" s="501"/>
    </row>
    <row r="22870" spans="25:25" hidden="1" x14ac:dyDescent="0.25">
      <c r="Y22870" s="501"/>
    </row>
    <row r="22871" spans="25:25" hidden="1" x14ac:dyDescent="0.25">
      <c r="Y22871" s="501"/>
    </row>
    <row r="22872" spans="25:25" hidden="1" x14ac:dyDescent="0.25">
      <c r="Y22872" s="501"/>
    </row>
    <row r="22873" spans="25:25" hidden="1" x14ac:dyDescent="0.25">
      <c r="Y22873" s="501"/>
    </row>
    <row r="22874" spans="25:25" hidden="1" x14ac:dyDescent="0.25">
      <c r="Y22874" s="501"/>
    </row>
    <row r="22875" spans="25:25" hidden="1" x14ac:dyDescent="0.25">
      <c r="Y22875" s="501"/>
    </row>
    <row r="22876" spans="25:25" hidden="1" x14ac:dyDescent="0.25">
      <c r="Y22876" s="501"/>
    </row>
    <row r="22877" spans="25:25" hidden="1" x14ac:dyDescent="0.25">
      <c r="Y22877" s="501"/>
    </row>
    <row r="22878" spans="25:25" hidden="1" x14ac:dyDescent="0.25">
      <c r="Y22878" s="501"/>
    </row>
    <row r="22879" spans="25:25" hidden="1" x14ac:dyDescent="0.25">
      <c r="Y22879" s="501"/>
    </row>
    <row r="22880" spans="25:25" hidden="1" x14ac:dyDescent="0.25">
      <c r="Y22880" s="501"/>
    </row>
    <row r="22881" spans="25:25" hidden="1" x14ac:dyDescent="0.25">
      <c r="Y22881" s="501"/>
    </row>
    <row r="22882" spans="25:25" hidden="1" x14ac:dyDescent="0.25">
      <c r="Y22882" s="501"/>
    </row>
    <row r="22883" spans="25:25" hidden="1" x14ac:dyDescent="0.25">
      <c r="Y22883" s="501"/>
    </row>
    <row r="22884" spans="25:25" hidden="1" x14ac:dyDescent="0.25">
      <c r="Y22884" s="501"/>
    </row>
    <row r="22885" spans="25:25" hidden="1" x14ac:dyDescent="0.25">
      <c r="Y22885" s="501"/>
    </row>
    <row r="22886" spans="25:25" hidden="1" x14ac:dyDescent="0.25">
      <c r="Y22886" s="501"/>
    </row>
    <row r="22887" spans="25:25" hidden="1" x14ac:dyDescent="0.25">
      <c r="Y22887" s="501"/>
    </row>
    <row r="22888" spans="25:25" hidden="1" x14ac:dyDescent="0.25">
      <c r="Y22888" s="501"/>
    </row>
    <row r="22889" spans="25:25" hidden="1" x14ac:dyDescent="0.25">
      <c r="Y22889" s="501"/>
    </row>
    <row r="22890" spans="25:25" hidden="1" x14ac:dyDescent="0.25">
      <c r="Y22890" s="501"/>
    </row>
    <row r="22891" spans="25:25" hidden="1" x14ac:dyDescent="0.25">
      <c r="Y22891" s="501"/>
    </row>
    <row r="22892" spans="25:25" hidden="1" x14ac:dyDescent="0.25">
      <c r="Y22892" s="501"/>
    </row>
    <row r="22893" spans="25:25" hidden="1" x14ac:dyDescent="0.25">
      <c r="Y22893" s="501"/>
    </row>
    <row r="22894" spans="25:25" hidden="1" x14ac:dyDescent="0.25">
      <c r="Y22894" s="501"/>
    </row>
    <row r="22895" spans="25:25" hidden="1" x14ac:dyDescent="0.25">
      <c r="Y22895" s="501"/>
    </row>
    <row r="22896" spans="25:25" hidden="1" x14ac:dyDescent="0.25">
      <c r="Y22896" s="501"/>
    </row>
    <row r="22897" spans="25:25" hidden="1" x14ac:dyDescent="0.25">
      <c r="Y22897" s="501"/>
    </row>
    <row r="22898" spans="25:25" hidden="1" x14ac:dyDescent="0.25">
      <c r="Y22898" s="501"/>
    </row>
    <row r="22899" spans="25:25" hidden="1" x14ac:dyDescent="0.25">
      <c r="Y22899" s="501"/>
    </row>
    <row r="22900" spans="25:25" hidden="1" x14ac:dyDescent="0.25">
      <c r="Y22900" s="501"/>
    </row>
    <row r="22901" spans="25:25" hidden="1" x14ac:dyDescent="0.25">
      <c r="Y22901" s="501"/>
    </row>
    <row r="22902" spans="25:25" hidden="1" x14ac:dyDescent="0.25">
      <c r="Y22902" s="501"/>
    </row>
    <row r="22903" spans="25:25" hidden="1" x14ac:dyDescent="0.25">
      <c r="Y22903" s="501"/>
    </row>
    <row r="22904" spans="25:25" hidden="1" x14ac:dyDescent="0.25">
      <c r="Y22904" s="501"/>
    </row>
    <row r="22905" spans="25:25" hidden="1" x14ac:dyDescent="0.25">
      <c r="Y22905" s="501"/>
    </row>
    <row r="22906" spans="25:25" hidden="1" x14ac:dyDescent="0.25">
      <c r="Y22906" s="501"/>
    </row>
    <row r="22907" spans="25:25" hidden="1" x14ac:dyDescent="0.25">
      <c r="Y22907" s="501"/>
    </row>
    <row r="22908" spans="25:25" hidden="1" x14ac:dyDescent="0.25">
      <c r="Y22908" s="501"/>
    </row>
    <row r="22909" spans="25:25" hidden="1" x14ac:dyDescent="0.25">
      <c r="Y22909" s="501"/>
    </row>
    <row r="22910" spans="25:25" hidden="1" x14ac:dyDescent="0.25">
      <c r="Y22910" s="501"/>
    </row>
    <row r="22911" spans="25:25" hidden="1" x14ac:dyDescent="0.25">
      <c r="Y22911" s="501"/>
    </row>
    <row r="22912" spans="25:25" hidden="1" x14ac:dyDescent="0.25">
      <c r="Y22912" s="501"/>
    </row>
    <row r="22913" spans="25:25" hidden="1" x14ac:dyDescent="0.25">
      <c r="Y22913" s="501"/>
    </row>
    <row r="22914" spans="25:25" hidden="1" x14ac:dyDescent="0.25">
      <c r="Y22914" s="501"/>
    </row>
    <row r="22915" spans="25:25" hidden="1" x14ac:dyDescent="0.25">
      <c r="Y22915" s="501"/>
    </row>
    <row r="22916" spans="25:25" hidden="1" x14ac:dyDescent="0.25">
      <c r="Y22916" s="501"/>
    </row>
    <row r="22917" spans="25:25" hidden="1" x14ac:dyDescent="0.25">
      <c r="Y22917" s="501"/>
    </row>
    <row r="22918" spans="25:25" hidden="1" x14ac:dyDescent="0.25">
      <c r="Y22918" s="501"/>
    </row>
    <row r="22919" spans="25:25" hidden="1" x14ac:dyDescent="0.25">
      <c r="Y22919" s="501"/>
    </row>
    <row r="22920" spans="25:25" hidden="1" x14ac:dyDescent="0.25">
      <c r="Y22920" s="501"/>
    </row>
    <row r="22921" spans="25:25" hidden="1" x14ac:dyDescent="0.25">
      <c r="Y22921" s="501"/>
    </row>
    <row r="22922" spans="25:25" hidden="1" x14ac:dyDescent="0.25">
      <c r="Y22922" s="501"/>
    </row>
    <row r="22923" spans="25:25" hidden="1" x14ac:dyDescent="0.25">
      <c r="Y22923" s="501"/>
    </row>
    <row r="22924" spans="25:25" hidden="1" x14ac:dyDescent="0.25">
      <c r="Y22924" s="501"/>
    </row>
    <row r="22925" spans="25:25" hidden="1" x14ac:dyDescent="0.25">
      <c r="Y22925" s="501"/>
    </row>
    <row r="22926" spans="25:25" hidden="1" x14ac:dyDescent="0.25">
      <c r="Y22926" s="501"/>
    </row>
    <row r="22927" spans="25:25" hidden="1" x14ac:dyDescent="0.25">
      <c r="Y22927" s="501"/>
    </row>
    <row r="22928" spans="25:25" hidden="1" x14ac:dyDescent="0.25">
      <c r="Y22928" s="501"/>
    </row>
    <row r="22929" spans="25:25" hidden="1" x14ac:dyDescent="0.25">
      <c r="Y22929" s="501"/>
    </row>
    <row r="22930" spans="25:25" hidden="1" x14ac:dyDescent="0.25">
      <c r="Y22930" s="501"/>
    </row>
    <row r="22931" spans="25:25" hidden="1" x14ac:dyDescent="0.25">
      <c r="Y22931" s="501"/>
    </row>
    <row r="22932" spans="25:25" hidden="1" x14ac:dyDescent="0.25">
      <c r="Y22932" s="501"/>
    </row>
    <row r="22933" spans="25:25" hidden="1" x14ac:dyDescent="0.25">
      <c r="Y22933" s="501"/>
    </row>
    <row r="22934" spans="25:25" hidden="1" x14ac:dyDescent="0.25">
      <c r="Y22934" s="501"/>
    </row>
    <row r="22935" spans="25:25" hidden="1" x14ac:dyDescent="0.25">
      <c r="Y22935" s="501"/>
    </row>
    <row r="22936" spans="25:25" hidden="1" x14ac:dyDescent="0.25">
      <c r="Y22936" s="501"/>
    </row>
    <row r="22937" spans="25:25" hidden="1" x14ac:dyDescent="0.25">
      <c r="Y22937" s="501"/>
    </row>
    <row r="22938" spans="25:25" hidden="1" x14ac:dyDescent="0.25">
      <c r="Y22938" s="501"/>
    </row>
    <row r="22939" spans="25:25" hidden="1" x14ac:dyDescent="0.25">
      <c r="Y22939" s="501"/>
    </row>
    <row r="22940" spans="25:25" hidden="1" x14ac:dyDescent="0.25">
      <c r="Y22940" s="501"/>
    </row>
    <row r="22941" spans="25:25" hidden="1" x14ac:dyDescent="0.25">
      <c r="Y22941" s="501"/>
    </row>
    <row r="22942" spans="25:25" hidden="1" x14ac:dyDescent="0.25">
      <c r="Y22942" s="501"/>
    </row>
    <row r="22943" spans="25:25" hidden="1" x14ac:dyDescent="0.25">
      <c r="Y22943" s="501"/>
    </row>
    <row r="22944" spans="25:25" hidden="1" x14ac:dyDescent="0.25">
      <c r="Y22944" s="501"/>
    </row>
    <row r="22945" spans="25:25" hidden="1" x14ac:dyDescent="0.25">
      <c r="Y22945" s="501"/>
    </row>
    <row r="22946" spans="25:25" hidden="1" x14ac:dyDescent="0.25">
      <c r="Y22946" s="501"/>
    </row>
    <row r="22947" spans="25:25" hidden="1" x14ac:dyDescent="0.25">
      <c r="Y22947" s="501"/>
    </row>
    <row r="22948" spans="25:25" hidden="1" x14ac:dyDescent="0.25">
      <c r="Y22948" s="501"/>
    </row>
    <row r="22949" spans="25:25" hidden="1" x14ac:dyDescent="0.25">
      <c r="Y22949" s="501"/>
    </row>
    <row r="22950" spans="25:25" hidden="1" x14ac:dyDescent="0.25">
      <c r="Y22950" s="501"/>
    </row>
    <row r="22951" spans="25:25" hidden="1" x14ac:dyDescent="0.25">
      <c r="Y22951" s="501"/>
    </row>
    <row r="22952" spans="25:25" hidden="1" x14ac:dyDescent="0.25">
      <c r="Y22952" s="501"/>
    </row>
    <row r="22953" spans="25:25" hidden="1" x14ac:dyDescent="0.25">
      <c r="Y22953" s="501"/>
    </row>
    <row r="22954" spans="25:25" hidden="1" x14ac:dyDescent="0.25">
      <c r="Y22954" s="501"/>
    </row>
    <row r="22955" spans="25:25" hidden="1" x14ac:dyDescent="0.25">
      <c r="Y22955" s="501"/>
    </row>
    <row r="22956" spans="25:25" hidden="1" x14ac:dyDescent="0.25">
      <c r="Y22956" s="501"/>
    </row>
    <row r="22957" spans="25:25" hidden="1" x14ac:dyDescent="0.25">
      <c r="Y22957" s="501"/>
    </row>
    <row r="22958" spans="25:25" hidden="1" x14ac:dyDescent="0.25">
      <c r="Y22958" s="501"/>
    </row>
    <row r="22959" spans="25:25" hidden="1" x14ac:dyDescent="0.25">
      <c r="Y22959" s="501"/>
    </row>
    <row r="22960" spans="25:25" hidden="1" x14ac:dyDescent="0.25">
      <c r="Y22960" s="501"/>
    </row>
    <row r="22961" spans="25:25" hidden="1" x14ac:dyDescent="0.25">
      <c r="Y22961" s="501"/>
    </row>
    <row r="22962" spans="25:25" hidden="1" x14ac:dyDescent="0.25">
      <c r="Y22962" s="501"/>
    </row>
    <row r="22963" spans="25:25" hidden="1" x14ac:dyDescent="0.25">
      <c r="Y22963" s="501"/>
    </row>
    <row r="22964" spans="25:25" hidden="1" x14ac:dyDescent="0.25">
      <c r="Y22964" s="501"/>
    </row>
    <row r="22965" spans="25:25" hidden="1" x14ac:dyDescent="0.25">
      <c r="Y22965" s="501"/>
    </row>
    <row r="22966" spans="25:25" hidden="1" x14ac:dyDescent="0.25">
      <c r="Y22966" s="501"/>
    </row>
    <row r="22967" spans="25:25" hidden="1" x14ac:dyDescent="0.25">
      <c r="Y22967" s="501"/>
    </row>
    <row r="22968" spans="25:25" hidden="1" x14ac:dyDescent="0.25">
      <c r="Y22968" s="501"/>
    </row>
    <row r="22969" spans="25:25" hidden="1" x14ac:dyDescent="0.25">
      <c r="Y22969" s="501"/>
    </row>
    <row r="22970" spans="25:25" hidden="1" x14ac:dyDescent="0.25">
      <c r="Y22970" s="501"/>
    </row>
    <row r="22971" spans="25:25" hidden="1" x14ac:dyDescent="0.25">
      <c r="Y22971" s="501"/>
    </row>
    <row r="22972" spans="25:25" hidden="1" x14ac:dyDescent="0.25">
      <c r="Y22972" s="501"/>
    </row>
    <row r="22973" spans="25:25" hidden="1" x14ac:dyDescent="0.25">
      <c r="Y22973" s="501"/>
    </row>
    <row r="22974" spans="25:25" hidden="1" x14ac:dyDescent="0.25">
      <c r="Y22974" s="501"/>
    </row>
    <row r="22975" spans="25:25" hidden="1" x14ac:dyDescent="0.25">
      <c r="Y22975" s="501"/>
    </row>
    <row r="22976" spans="25:25" hidden="1" x14ac:dyDescent="0.25">
      <c r="Y22976" s="501"/>
    </row>
    <row r="22977" spans="25:25" hidden="1" x14ac:dyDescent="0.25">
      <c r="Y22977" s="501"/>
    </row>
    <row r="22978" spans="25:25" hidden="1" x14ac:dyDescent="0.25">
      <c r="Y22978" s="501"/>
    </row>
    <row r="22979" spans="25:25" hidden="1" x14ac:dyDescent="0.25">
      <c r="Y22979" s="501"/>
    </row>
    <row r="22980" spans="25:25" hidden="1" x14ac:dyDescent="0.25">
      <c r="Y22980" s="501"/>
    </row>
    <row r="22981" spans="25:25" hidden="1" x14ac:dyDescent="0.25">
      <c r="Y22981" s="501"/>
    </row>
    <row r="22982" spans="25:25" hidden="1" x14ac:dyDescent="0.25">
      <c r="Y22982" s="501"/>
    </row>
    <row r="22983" spans="25:25" hidden="1" x14ac:dyDescent="0.25">
      <c r="Y22983" s="501"/>
    </row>
    <row r="22984" spans="25:25" hidden="1" x14ac:dyDescent="0.25">
      <c r="Y22984" s="501"/>
    </row>
    <row r="22985" spans="25:25" hidden="1" x14ac:dyDescent="0.25">
      <c r="Y22985" s="501"/>
    </row>
    <row r="22986" spans="25:25" hidden="1" x14ac:dyDescent="0.25">
      <c r="Y22986" s="501"/>
    </row>
    <row r="22987" spans="25:25" hidden="1" x14ac:dyDescent="0.25">
      <c r="Y22987" s="501"/>
    </row>
    <row r="22988" spans="25:25" hidden="1" x14ac:dyDescent="0.25">
      <c r="Y22988" s="501"/>
    </row>
    <row r="22989" spans="25:25" hidden="1" x14ac:dyDescent="0.25">
      <c r="Y22989" s="501"/>
    </row>
    <row r="22990" spans="25:25" hidden="1" x14ac:dyDescent="0.25">
      <c r="Y22990" s="501"/>
    </row>
    <row r="22991" spans="25:25" hidden="1" x14ac:dyDescent="0.25">
      <c r="Y22991" s="501"/>
    </row>
    <row r="22992" spans="25:25" hidden="1" x14ac:dyDescent="0.25">
      <c r="Y22992" s="501"/>
    </row>
    <row r="22993" spans="25:25" hidden="1" x14ac:dyDescent="0.25">
      <c r="Y22993" s="501"/>
    </row>
    <row r="22994" spans="25:25" hidden="1" x14ac:dyDescent="0.25">
      <c r="Y22994" s="501"/>
    </row>
    <row r="22995" spans="25:25" hidden="1" x14ac:dyDescent="0.25">
      <c r="Y22995" s="501"/>
    </row>
    <row r="22996" spans="25:25" hidden="1" x14ac:dyDescent="0.25">
      <c r="Y22996" s="501"/>
    </row>
    <row r="22997" spans="25:25" hidden="1" x14ac:dyDescent="0.25">
      <c r="Y22997" s="501"/>
    </row>
    <row r="22998" spans="25:25" hidden="1" x14ac:dyDescent="0.25">
      <c r="Y22998" s="501"/>
    </row>
    <row r="22999" spans="25:25" hidden="1" x14ac:dyDescent="0.25">
      <c r="Y22999" s="501"/>
    </row>
    <row r="23000" spans="25:25" hidden="1" x14ac:dyDescent="0.25">
      <c r="Y23000" s="501"/>
    </row>
    <row r="23001" spans="25:25" hidden="1" x14ac:dyDescent="0.25">
      <c r="Y23001" s="501"/>
    </row>
    <row r="23002" spans="25:25" hidden="1" x14ac:dyDescent="0.25">
      <c r="Y23002" s="501"/>
    </row>
    <row r="23003" spans="25:25" hidden="1" x14ac:dyDescent="0.25">
      <c r="Y23003" s="501"/>
    </row>
    <row r="23004" spans="25:25" hidden="1" x14ac:dyDescent="0.25">
      <c r="Y23004" s="501"/>
    </row>
    <row r="23005" spans="25:25" hidden="1" x14ac:dyDescent="0.25">
      <c r="Y23005" s="501"/>
    </row>
    <row r="23006" spans="25:25" hidden="1" x14ac:dyDescent="0.25">
      <c r="Y23006" s="501"/>
    </row>
    <row r="23007" spans="25:25" hidden="1" x14ac:dyDescent="0.25">
      <c r="Y23007" s="501"/>
    </row>
    <row r="23008" spans="25:25" hidden="1" x14ac:dyDescent="0.25">
      <c r="Y23008" s="501"/>
    </row>
    <row r="23009" spans="25:25" hidden="1" x14ac:dyDescent="0.25">
      <c r="Y23009" s="501"/>
    </row>
    <row r="23010" spans="25:25" hidden="1" x14ac:dyDescent="0.25">
      <c r="Y23010" s="501"/>
    </row>
    <row r="23011" spans="25:25" hidden="1" x14ac:dyDescent="0.25">
      <c r="Y23011" s="501"/>
    </row>
    <row r="23012" spans="25:25" hidden="1" x14ac:dyDescent="0.25">
      <c r="Y23012" s="501"/>
    </row>
    <row r="23013" spans="25:25" hidden="1" x14ac:dyDescent="0.25">
      <c r="Y23013" s="501"/>
    </row>
    <row r="23014" spans="25:25" hidden="1" x14ac:dyDescent="0.25">
      <c r="Y23014" s="501"/>
    </row>
    <row r="23015" spans="25:25" hidden="1" x14ac:dyDescent="0.25">
      <c r="Y23015" s="501"/>
    </row>
    <row r="23016" spans="25:25" hidden="1" x14ac:dyDescent="0.25">
      <c r="Y23016" s="501"/>
    </row>
    <row r="23017" spans="25:25" hidden="1" x14ac:dyDescent="0.25">
      <c r="Y23017" s="501"/>
    </row>
    <row r="23018" spans="25:25" hidden="1" x14ac:dyDescent="0.25">
      <c r="Y23018" s="501"/>
    </row>
    <row r="23019" spans="25:25" hidden="1" x14ac:dyDescent="0.25">
      <c r="Y23019" s="501"/>
    </row>
    <row r="23020" spans="25:25" hidden="1" x14ac:dyDescent="0.25">
      <c r="Y23020" s="501"/>
    </row>
    <row r="23021" spans="25:25" hidden="1" x14ac:dyDescent="0.25">
      <c r="Y23021" s="501"/>
    </row>
    <row r="23022" spans="25:25" hidden="1" x14ac:dyDescent="0.25">
      <c r="Y23022" s="501"/>
    </row>
    <row r="23023" spans="25:25" hidden="1" x14ac:dyDescent="0.25">
      <c r="Y23023" s="501"/>
    </row>
    <row r="23024" spans="25:25" hidden="1" x14ac:dyDescent="0.25">
      <c r="Y23024" s="501"/>
    </row>
    <row r="23025" spans="25:25" hidden="1" x14ac:dyDescent="0.25">
      <c r="Y23025" s="501"/>
    </row>
    <row r="23026" spans="25:25" hidden="1" x14ac:dyDescent="0.25">
      <c r="Y23026" s="501"/>
    </row>
    <row r="23027" spans="25:25" hidden="1" x14ac:dyDescent="0.25">
      <c r="Y23027" s="501"/>
    </row>
    <row r="23028" spans="25:25" hidden="1" x14ac:dyDescent="0.25">
      <c r="Y23028" s="501"/>
    </row>
    <row r="23029" spans="25:25" hidden="1" x14ac:dyDescent="0.25">
      <c r="Y23029" s="501"/>
    </row>
    <row r="23030" spans="25:25" hidden="1" x14ac:dyDescent="0.25">
      <c r="Y23030" s="501"/>
    </row>
    <row r="23031" spans="25:25" hidden="1" x14ac:dyDescent="0.25">
      <c r="Y23031" s="501"/>
    </row>
    <row r="23032" spans="25:25" hidden="1" x14ac:dyDescent="0.25">
      <c r="Y23032" s="501"/>
    </row>
    <row r="23033" spans="25:25" hidden="1" x14ac:dyDescent="0.25">
      <c r="Y23033" s="501"/>
    </row>
    <row r="23034" spans="25:25" hidden="1" x14ac:dyDescent="0.25">
      <c r="Y23034" s="501"/>
    </row>
    <row r="23035" spans="25:25" hidden="1" x14ac:dyDescent="0.25">
      <c r="Y23035" s="501"/>
    </row>
    <row r="23036" spans="25:25" hidden="1" x14ac:dyDescent="0.25">
      <c r="Y23036" s="501"/>
    </row>
    <row r="23037" spans="25:25" hidden="1" x14ac:dyDescent="0.25">
      <c r="Y23037" s="501"/>
    </row>
    <row r="23038" spans="25:25" hidden="1" x14ac:dyDescent="0.25">
      <c r="Y23038" s="501"/>
    </row>
    <row r="23039" spans="25:25" hidden="1" x14ac:dyDescent="0.25">
      <c r="Y23039" s="501"/>
    </row>
    <row r="23040" spans="25:25" hidden="1" x14ac:dyDescent="0.25">
      <c r="Y23040" s="501"/>
    </row>
    <row r="23041" spans="25:25" hidden="1" x14ac:dyDescent="0.25">
      <c r="Y23041" s="501"/>
    </row>
    <row r="23042" spans="25:25" hidden="1" x14ac:dyDescent="0.25">
      <c r="Y23042" s="501"/>
    </row>
    <row r="23043" spans="25:25" hidden="1" x14ac:dyDescent="0.25">
      <c r="Y23043" s="501"/>
    </row>
    <row r="23044" spans="25:25" hidden="1" x14ac:dyDescent="0.25">
      <c r="Y23044" s="501"/>
    </row>
    <row r="23045" spans="25:25" hidden="1" x14ac:dyDescent="0.25">
      <c r="Y23045" s="501"/>
    </row>
    <row r="23046" spans="25:25" hidden="1" x14ac:dyDescent="0.25">
      <c r="Y23046" s="501"/>
    </row>
    <row r="23047" spans="25:25" hidden="1" x14ac:dyDescent="0.25">
      <c r="Y23047" s="501"/>
    </row>
    <row r="23048" spans="25:25" hidden="1" x14ac:dyDescent="0.25">
      <c r="Y23048" s="501"/>
    </row>
    <row r="23049" spans="25:25" hidden="1" x14ac:dyDescent="0.25">
      <c r="Y23049" s="501"/>
    </row>
    <row r="23050" spans="25:25" hidden="1" x14ac:dyDescent="0.25">
      <c r="Y23050" s="501"/>
    </row>
    <row r="23051" spans="25:25" hidden="1" x14ac:dyDescent="0.25">
      <c r="Y23051" s="501"/>
    </row>
    <row r="23052" spans="25:25" hidden="1" x14ac:dyDescent="0.25">
      <c r="Y23052" s="501"/>
    </row>
    <row r="23053" spans="25:25" hidden="1" x14ac:dyDescent="0.25">
      <c r="Y23053" s="501"/>
    </row>
    <row r="23054" spans="25:25" hidden="1" x14ac:dyDescent="0.25">
      <c r="Y23054" s="501"/>
    </row>
    <row r="23055" spans="25:25" hidden="1" x14ac:dyDescent="0.25">
      <c r="Y23055" s="501"/>
    </row>
    <row r="23056" spans="25:25" hidden="1" x14ac:dyDescent="0.25">
      <c r="Y23056" s="501"/>
    </row>
    <row r="23057" spans="25:25" hidden="1" x14ac:dyDescent="0.25">
      <c r="Y23057" s="501"/>
    </row>
    <row r="23058" spans="25:25" hidden="1" x14ac:dyDescent="0.25">
      <c r="Y23058" s="501"/>
    </row>
    <row r="23059" spans="25:25" hidden="1" x14ac:dyDescent="0.25">
      <c r="Y23059" s="501"/>
    </row>
    <row r="23060" spans="25:25" hidden="1" x14ac:dyDescent="0.25">
      <c r="Y23060" s="501"/>
    </row>
    <row r="23061" spans="25:25" hidden="1" x14ac:dyDescent="0.25">
      <c r="Y23061" s="501"/>
    </row>
    <row r="23062" spans="25:25" hidden="1" x14ac:dyDescent="0.25">
      <c r="Y23062" s="501"/>
    </row>
    <row r="23063" spans="25:25" hidden="1" x14ac:dyDescent="0.25">
      <c r="Y23063" s="501"/>
    </row>
    <row r="23064" spans="25:25" hidden="1" x14ac:dyDescent="0.25">
      <c r="Y23064" s="501"/>
    </row>
    <row r="23065" spans="25:25" hidden="1" x14ac:dyDescent="0.25">
      <c r="Y23065" s="501"/>
    </row>
    <row r="23066" spans="25:25" hidden="1" x14ac:dyDescent="0.25">
      <c r="Y23066" s="501"/>
    </row>
    <row r="23067" spans="25:25" hidden="1" x14ac:dyDescent="0.25">
      <c r="Y23067" s="501"/>
    </row>
    <row r="23068" spans="25:25" hidden="1" x14ac:dyDescent="0.25">
      <c r="Y23068" s="501"/>
    </row>
    <row r="23069" spans="25:25" hidden="1" x14ac:dyDescent="0.25">
      <c r="Y23069" s="501"/>
    </row>
    <row r="23070" spans="25:25" hidden="1" x14ac:dyDescent="0.25">
      <c r="Y23070" s="501"/>
    </row>
    <row r="23071" spans="25:25" hidden="1" x14ac:dyDescent="0.25">
      <c r="Y23071" s="501"/>
    </row>
    <row r="23072" spans="25:25" hidden="1" x14ac:dyDescent="0.25">
      <c r="Y23072" s="501"/>
    </row>
    <row r="23073" spans="25:25" hidden="1" x14ac:dyDescent="0.25">
      <c r="Y23073" s="501"/>
    </row>
    <row r="23074" spans="25:25" hidden="1" x14ac:dyDescent="0.25">
      <c r="Y23074" s="501"/>
    </row>
    <row r="23075" spans="25:25" hidden="1" x14ac:dyDescent="0.25">
      <c r="Y23075" s="501"/>
    </row>
    <row r="23076" spans="25:25" hidden="1" x14ac:dyDescent="0.25">
      <c r="Y23076" s="501"/>
    </row>
    <row r="23077" spans="25:25" hidden="1" x14ac:dyDescent="0.25">
      <c r="Y23077" s="501"/>
    </row>
    <row r="23078" spans="25:25" hidden="1" x14ac:dyDescent="0.25">
      <c r="Y23078" s="501"/>
    </row>
    <row r="23079" spans="25:25" hidden="1" x14ac:dyDescent="0.25">
      <c r="Y23079" s="501"/>
    </row>
    <row r="23080" spans="25:25" hidden="1" x14ac:dyDescent="0.25">
      <c r="Y23080" s="501"/>
    </row>
    <row r="23081" spans="25:25" hidden="1" x14ac:dyDescent="0.25">
      <c r="Y23081" s="501"/>
    </row>
    <row r="23082" spans="25:25" hidden="1" x14ac:dyDescent="0.25">
      <c r="Y23082" s="501"/>
    </row>
    <row r="23083" spans="25:25" hidden="1" x14ac:dyDescent="0.25">
      <c r="Y23083" s="501"/>
    </row>
    <row r="23084" spans="25:25" hidden="1" x14ac:dyDescent="0.25">
      <c r="Y23084" s="501"/>
    </row>
    <row r="23085" spans="25:25" hidden="1" x14ac:dyDescent="0.25">
      <c r="Y23085" s="501"/>
    </row>
    <row r="23086" spans="25:25" hidden="1" x14ac:dyDescent="0.25">
      <c r="Y23086" s="501"/>
    </row>
    <row r="23087" spans="25:25" hidden="1" x14ac:dyDescent="0.25">
      <c r="Y23087" s="501"/>
    </row>
    <row r="23088" spans="25:25" hidden="1" x14ac:dyDescent="0.25">
      <c r="Y23088" s="501"/>
    </row>
    <row r="23089" spans="25:25" hidden="1" x14ac:dyDescent="0.25">
      <c r="Y23089" s="501"/>
    </row>
    <row r="23090" spans="25:25" hidden="1" x14ac:dyDescent="0.25">
      <c r="Y23090" s="501"/>
    </row>
    <row r="23091" spans="25:25" hidden="1" x14ac:dyDescent="0.25">
      <c r="Y23091" s="501"/>
    </row>
    <row r="23092" spans="25:25" hidden="1" x14ac:dyDescent="0.25">
      <c r="Y23092" s="501"/>
    </row>
    <row r="23093" spans="25:25" hidden="1" x14ac:dyDescent="0.25">
      <c r="Y23093" s="501"/>
    </row>
    <row r="23094" spans="25:25" hidden="1" x14ac:dyDescent="0.25">
      <c r="Y23094" s="501"/>
    </row>
    <row r="23095" spans="25:25" hidden="1" x14ac:dyDescent="0.25">
      <c r="Y23095" s="501"/>
    </row>
    <row r="23096" spans="25:25" hidden="1" x14ac:dyDescent="0.25">
      <c r="Y23096" s="501"/>
    </row>
    <row r="23097" spans="25:25" hidden="1" x14ac:dyDescent="0.25">
      <c r="Y23097" s="501"/>
    </row>
    <row r="23098" spans="25:25" hidden="1" x14ac:dyDescent="0.25">
      <c r="Y23098" s="501"/>
    </row>
    <row r="23099" spans="25:25" hidden="1" x14ac:dyDescent="0.25">
      <c r="Y23099" s="501"/>
    </row>
    <row r="23100" spans="25:25" hidden="1" x14ac:dyDescent="0.25">
      <c r="Y23100" s="501"/>
    </row>
    <row r="23101" spans="25:25" hidden="1" x14ac:dyDescent="0.25">
      <c r="Y23101" s="501"/>
    </row>
    <row r="23102" spans="25:25" hidden="1" x14ac:dyDescent="0.25">
      <c r="Y23102" s="501"/>
    </row>
    <row r="23103" spans="25:25" hidden="1" x14ac:dyDescent="0.25">
      <c r="Y23103" s="501"/>
    </row>
    <row r="23104" spans="25:25" hidden="1" x14ac:dyDescent="0.25">
      <c r="Y23104" s="501"/>
    </row>
    <row r="23105" spans="25:25" hidden="1" x14ac:dyDescent="0.25">
      <c r="Y23105" s="501"/>
    </row>
    <row r="23106" spans="25:25" hidden="1" x14ac:dyDescent="0.25">
      <c r="Y23106" s="501"/>
    </row>
    <row r="23107" spans="25:25" hidden="1" x14ac:dyDescent="0.25">
      <c r="Y23107" s="501"/>
    </row>
    <row r="23108" spans="25:25" hidden="1" x14ac:dyDescent="0.25">
      <c r="Y23108" s="501"/>
    </row>
    <row r="23109" spans="25:25" hidden="1" x14ac:dyDescent="0.25">
      <c r="Y23109" s="501"/>
    </row>
    <row r="23110" spans="25:25" hidden="1" x14ac:dyDescent="0.25">
      <c r="Y23110" s="501"/>
    </row>
    <row r="23111" spans="25:25" hidden="1" x14ac:dyDescent="0.25">
      <c r="Y23111" s="501"/>
    </row>
    <row r="23112" spans="25:25" hidden="1" x14ac:dyDescent="0.25">
      <c r="Y23112" s="501"/>
    </row>
    <row r="23113" spans="25:25" hidden="1" x14ac:dyDescent="0.25">
      <c r="Y23113" s="501"/>
    </row>
    <row r="23114" spans="25:25" hidden="1" x14ac:dyDescent="0.25">
      <c r="Y23114" s="501"/>
    </row>
    <row r="23115" spans="25:25" hidden="1" x14ac:dyDescent="0.25">
      <c r="Y23115" s="501"/>
    </row>
    <row r="23116" spans="25:25" hidden="1" x14ac:dyDescent="0.25">
      <c r="Y23116" s="501"/>
    </row>
    <row r="23117" spans="25:25" hidden="1" x14ac:dyDescent="0.25">
      <c r="Y23117" s="501"/>
    </row>
    <row r="23118" spans="25:25" hidden="1" x14ac:dyDescent="0.25">
      <c r="Y23118" s="501"/>
    </row>
    <row r="23119" spans="25:25" hidden="1" x14ac:dyDescent="0.25">
      <c r="Y23119" s="501"/>
    </row>
    <row r="23120" spans="25:25" hidden="1" x14ac:dyDescent="0.25">
      <c r="Y23120" s="501"/>
    </row>
    <row r="23121" spans="25:25" hidden="1" x14ac:dyDescent="0.25">
      <c r="Y23121" s="501"/>
    </row>
    <row r="23122" spans="25:25" hidden="1" x14ac:dyDescent="0.25">
      <c r="Y23122" s="501"/>
    </row>
    <row r="23123" spans="25:25" hidden="1" x14ac:dyDescent="0.25">
      <c r="Y23123" s="501"/>
    </row>
    <row r="23124" spans="25:25" hidden="1" x14ac:dyDescent="0.25">
      <c r="Y23124" s="501"/>
    </row>
    <row r="23125" spans="25:25" hidden="1" x14ac:dyDescent="0.25">
      <c r="Y23125" s="501"/>
    </row>
    <row r="23126" spans="25:25" hidden="1" x14ac:dyDescent="0.25">
      <c r="Y23126" s="501"/>
    </row>
    <row r="23127" spans="25:25" hidden="1" x14ac:dyDescent="0.25">
      <c r="Y23127" s="501"/>
    </row>
    <row r="23128" spans="25:25" hidden="1" x14ac:dyDescent="0.25">
      <c r="Y23128" s="501"/>
    </row>
    <row r="23129" spans="25:25" hidden="1" x14ac:dyDescent="0.25">
      <c r="Y23129" s="501"/>
    </row>
    <row r="23130" spans="25:25" hidden="1" x14ac:dyDescent="0.25">
      <c r="Y23130" s="501"/>
    </row>
    <row r="23131" spans="25:25" hidden="1" x14ac:dyDescent="0.25">
      <c r="Y23131" s="501"/>
    </row>
    <row r="23132" spans="25:25" hidden="1" x14ac:dyDescent="0.25">
      <c r="Y23132" s="501"/>
    </row>
    <row r="23133" spans="25:25" hidden="1" x14ac:dyDescent="0.25">
      <c r="Y23133" s="501"/>
    </row>
    <row r="23134" spans="25:25" hidden="1" x14ac:dyDescent="0.25">
      <c r="Y23134" s="501"/>
    </row>
    <row r="23135" spans="25:25" hidden="1" x14ac:dyDescent="0.25">
      <c r="Y23135" s="501"/>
    </row>
    <row r="23136" spans="25:25" hidden="1" x14ac:dyDescent="0.25">
      <c r="Y23136" s="501"/>
    </row>
    <row r="23137" spans="25:25" hidden="1" x14ac:dyDescent="0.25">
      <c r="Y23137" s="501"/>
    </row>
    <row r="23138" spans="25:25" hidden="1" x14ac:dyDescent="0.25">
      <c r="Y23138" s="501"/>
    </row>
    <row r="23139" spans="25:25" hidden="1" x14ac:dyDescent="0.25">
      <c r="Y23139" s="501"/>
    </row>
    <row r="23140" spans="25:25" hidden="1" x14ac:dyDescent="0.25">
      <c r="Y23140" s="501"/>
    </row>
    <row r="23141" spans="25:25" hidden="1" x14ac:dyDescent="0.25">
      <c r="Y23141" s="501"/>
    </row>
    <row r="23142" spans="25:25" hidden="1" x14ac:dyDescent="0.25">
      <c r="Y23142" s="501"/>
    </row>
    <row r="23143" spans="25:25" hidden="1" x14ac:dyDescent="0.25">
      <c r="Y23143" s="501"/>
    </row>
    <row r="23144" spans="25:25" hidden="1" x14ac:dyDescent="0.25">
      <c r="Y23144" s="501"/>
    </row>
    <row r="23145" spans="25:25" hidden="1" x14ac:dyDescent="0.25">
      <c r="Y23145" s="501"/>
    </row>
    <row r="23146" spans="25:25" hidden="1" x14ac:dyDescent="0.25">
      <c r="Y23146" s="501"/>
    </row>
    <row r="23147" spans="25:25" hidden="1" x14ac:dyDescent="0.25">
      <c r="Y23147" s="501"/>
    </row>
    <row r="23148" spans="25:25" hidden="1" x14ac:dyDescent="0.25">
      <c r="Y23148" s="501"/>
    </row>
    <row r="23149" spans="25:25" hidden="1" x14ac:dyDescent="0.25">
      <c r="Y23149" s="501"/>
    </row>
    <row r="23150" spans="25:25" hidden="1" x14ac:dyDescent="0.25">
      <c r="Y23150" s="501"/>
    </row>
    <row r="23151" spans="25:25" hidden="1" x14ac:dyDescent="0.25">
      <c r="Y23151" s="501"/>
    </row>
    <row r="23152" spans="25:25" hidden="1" x14ac:dyDescent="0.25">
      <c r="Y23152" s="501"/>
    </row>
    <row r="23153" spans="25:25" hidden="1" x14ac:dyDescent="0.25">
      <c r="Y23153" s="501"/>
    </row>
    <row r="23154" spans="25:25" hidden="1" x14ac:dyDescent="0.25">
      <c r="Y23154" s="501"/>
    </row>
    <row r="23155" spans="25:25" hidden="1" x14ac:dyDescent="0.25">
      <c r="Y23155" s="501"/>
    </row>
    <row r="23156" spans="25:25" hidden="1" x14ac:dyDescent="0.25">
      <c r="Y23156" s="501"/>
    </row>
    <row r="23157" spans="25:25" hidden="1" x14ac:dyDescent="0.25">
      <c r="Y23157" s="501"/>
    </row>
    <row r="23158" spans="25:25" hidden="1" x14ac:dyDescent="0.25">
      <c r="Y23158" s="501"/>
    </row>
    <row r="23159" spans="25:25" hidden="1" x14ac:dyDescent="0.25">
      <c r="Y23159" s="501"/>
    </row>
    <row r="23160" spans="25:25" hidden="1" x14ac:dyDescent="0.25">
      <c r="Y23160" s="501"/>
    </row>
    <row r="23161" spans="25:25" hidden="1" x14ac:dyDescent="0.25">
      <c r="Y23161" s="501"/>
    </row>
    <row r="23162" spans="25:25" hidden="1" x14ac:dyDescent="0.25">
      <c r="Y23162" s="501"/>
    </row>
    <row r="23163" spans="25:25" hidden="1" x14ac:dyDescent="0.25">
      <c r="Y23163" s="501"/>
    </row>
    <row r="23164" spans="25:25" hidden="1" x14ac:dyDescent="0.25">
      <c r="Y23164" s="501"/>
    </row>
    <row r="23165" spans="25:25" hidden="1" x14ac:dyDescent="0.25">
      <c r="Y23165" s="501"/>
    </row>
    <row r="23166" spans="25:25" hidden="1" x14ac:dyDescent="0.25">
      <c r="Y23166" s="501"/>
    </row>
    <row r="23167" spans="25:25" hidden="1" x14ac:dyDescent="0.25">
      <c r="Y23167" s="501"/>
    </row>
    <row r="23168" spans="25:25" hidden="1" x14ac:dyDescent="0.25">
      <c r="Y23168" s="501"/>
    </row>
    <row r="23169" spans="25:25" hidden="1" x14ac:dyDescent="0.25">
      <c r="Y23169" s="501"/>
    </row>
    <row r="23170" spans="25:25" hidden="1" x14ac:dyDescent="0.25">
      <c r="Y23170" s="501"/>
    </row>
    <row r="23171" spans="25:25" hidden="1" x14ac:dyDescent="0.25">
      <c r="Y23171" s="501"/>
    </row>
    <row r="23172" spans="25:25" hidden="1" x14ac:dyDescent="0.25">
      <c r="Y23172" s="501"/>
    </row>
    <row r="23173" spans="25:25" hidden="1" x14ac:dyDescent="0.25">
      <c r="Y23173" s="501"/>
    </row>
    <row r="23174" spans="25:25" hidden="1" x14ac:dyDescent="0.25">
      <c r="Y23174" s="501"/>
    </row>
    <row r="23175" spans="25:25" hidden="1" x14ac:dyDescent="0.25">
      <c r="Y23175" s="501"/>
    </row>
    <row r="23176" spans="25:25" hidden="1" x14ac:dyDescent="0.25">
      <c r="Y23176" s="501"/>
    </row>
    <row r="23177" spans="25:25" hidden="1" x14ac:dyDescent="0.25">
      <c r="Y23177" s="501"/>
    </row>
    <row r="23178" spans="25:25" hidden="1" x14ac:dyDescent="0.25">
      <c r="Y23178" s="501"/>
    </row>
    <row r="23179" spans="25:25" hidden="1" x14ac:dyDescent="0.25">
      <c r="Y23179" s="501"/>
    </row>
    <row r="23180" spans="25:25" hidden="1" x14ac:dyDescent="0.25">
      <c r="Y23180" s="501"/>
    </row>
    <row r="23181" spans="25:25" hidden="1" x14ac:dyDescent="0.25">
      <c r="Y23181" s="501"/>
    </row>
    <row r="23182" spans="25:25" hidden="1" x14ac:dyDescent="0.25">
      <c r="Y23182" s="501"/>
    </row>
    <row r="23183" spans="25:25" hidden="1" x14ac:dyDescent="0.25">
      <c r="Y23183" s="501"/>
    </row>
    <row r="23184" spans="25:25" hidden="1" x14ac:dyDescent="0.25">
      <c r="Y23184" s="501"/>
    </row>
    <row r="23185" spans="25:25" hidden="1" x14ac:dyDescent="0.25">
      <c r="Y23185" s="501"/>
    </row>
    <row r="23186" spans="25:25" hidden="1" x14ac:dyDescent="0.25">
      <c r="Y23186" s="501"/>
    </row>
    <row r="23187" spans="25:25" hidden="1" x14ac:dyDescent="0.25">
      <c r="Y23187" s="501"/>
    </row>
    <row r="23188" spans="25:25" hidden="1" x14ac:dyDescent="0.25">
      <c r="Y23188" s="501"/>
    </row>
    <row r="23189" spans="25:25" hidden="1" x14ac:dyDescent="0.25">
      <c r="Y23189" s="501"/>
    </row>
    <row r="23190" spans="25:25" hidden="1" x14ac:dyDescent="0.25">
      <c r="Y23190" s="501"/>
    </row>
    <row r="23191" spans="25:25" hidden="1" x14ac:dyDescent="0.25">
      <c r="Y23191" s="501"/>
    </row>
    <row r="23192" spans="25:25" hidden="1" x14ac:dyDescent="0.25">
      <c r="Y23192" s="501"/>
    </row>
    <row r="23193" spans="25:25" hidden="1" x14ac:dyDescent="0.25">
      <c r="Y23193" s="501"/>
    </row>
    <row r="23194" spans="25:25" hidden="1" x14ac:dyDescent="0.25">
      <c r="Y23194" s="501"/>
    </row>
    <row r="23195" spans="25:25" hidden="1" x14ac:dyDescent="0.25">
      <c r="Y23195" s="501"/>
    </row>
    <row r="23196" spans="25:25" hidden="1" x14ac:dyDescent="0.25">
      <c r="Y23196" s="501"/>
    </row>
    <row r="23197" spans="25:25" hidden="1" x14ac:dyDescent="0.25">
      <c r="Y23197" s="501"/>
    </row>
    <row r="23198" spans="25:25" hidden="1" x14ac:dyDescent="0.25">
      <c r="Y23198" s="501"/>
    </row>
    <row r="23199" spans="25:25" hidden="1" x14ac:dyDescent="0.25">
      <c r="Y23199" s="501"/>
    </row>
    <row r="23200" spans="25:25" hidden="1" x14ac:dyDescent="0.25">
      <c r="Y23200" s="501"/>
    </row>
    <row r="23201" spans="25:25" hidden="1" x14ac:dyDescent="0.25">
      <c r="Y23201" s="501"/>
    </row>
    <row r="23202" spans="25:25" hidden="1" x14ac:dyDescent="0.25">
      <c r="Y23202" s="501"/>
    </row>
    <row r="23203" spans="25:25" hidden="1" x14ac:dyDescent="0.25">
      <c r="Y23203" s="501"/>
    </row>
    <row r="23204" spans="25:25" hidden="1" x14ac:dyDescent="0.25">
      <c r="Y23204" s="501"/>
    </row>
    <row r="23205" spans="25:25" hidden="1" x14ac:dyDescent="0.25">
      <c r="Y23205" s="501"/>
    </row>
    <row r="23206" spans="25:25" hidden="1" x14ac:dyDescent="0.25">
      <c r="Y23206" s="501"/>
    </row>
    <row r="23207" spans="25:25" hidden="1" x14ac:dyDescent="0.25">
      <c r="Y23207" s="501"/>
    </row>
    <row r="23208" spans="25:25" hidden="1" x14ac:dyDescent="0.25">
      <c r="Y23208" s="501"/>
    </row>
    <row r="23209" spans="25:25" hidden="1" x14ac:dyDescent="0.25">
      <c r="Y23209" s="501"/>
    </row>
    <row r="23210" spans="25:25" hidden="1" x14ac:dyDescent="0.25">
      <c r="Y23210" s="501"/>
    </row>
    <row r="23211" spans="25:25" hidden="1" x14ac:dyDescent="0.25">
      <c r="Y23211" s="501"/>
    </row>
    <row r="23212" spans="25:25" hidden="1" x14ac:dyDescent="0.25">
      <c r="Y23212" s="501"/>
    </row>
    <row r="23213" spans="25:25" hidden="1" x14ac:dyDescent="0.25">
      <c r="Y23213" s="501"/>
    </row>
    <row r="23214" spans="25:25" hidden="1" x14ac:dyDescent="0.25">
      <c r="Y23214" s="501"/>
    </row>
    <row r="23215" spans="25:25" hidden="1" x14ac:dyDescent="0.25">
      <c r="Y23215" s="501"/>
    </row>
    <row r="23216" spans="25:25" hidden="1" x14ac:dyDescent="0.25">
      <c r="Y23216" s="501"/>
    </row>
    <row r="23217" spans="25:25" hidden="1" x14ac:dyDescent="0.25">
      <c r="Y23217" s="501"/>
    </row>
    <row r="23218" spans="25:25" hidden="1" x14ac:dyDescent="0.25">
      <c r="Y23218" s="501"/>
    </row>
    <row r="23219" spans="25:25" hidden="1" x14ac:dyDescent="0.25">
      <c r="Y23219" s="501"/>
    </row>
    <row r="23220" spans="25:25" hidden="1" x14ac:dyDescent="0.25">
      <c r="Y23220" s="501"/>
    </row>
    <row r="23221" spans="25:25" hidden="1" x14ac:dyDescent="0.25">
      <c r="Y23221" s="501"/>
    </row>
    <row r="23222" spans="25:25" hidden="1" x14ac:dyDescent="0.25">
      <c r="Y23222" s="501"/>
    </row>
    <row r="23223" spans="25:25" hidden="1" x14ac:dyDescent="0.25">
      <c r="Y23223" s="501"/>
    </row>
    <row r="23224" spans="25:25" hidden="1" x14ac:dyDescent="0.25">
      <c r="Y23224" s="501"/>
    </row>
    <row r="23225" spans="25:25" hidden="1" x14ac:dyDescent="0.25">
      <c r="Y23225" s="501"/>
    </row>
    <row r="23226" spans="25:25" hidden="1" x14ac:dyDescent="0.25">
      <c r="Y23226" s="501"/>
    </row>
    <row r="23227" spans="25:25" hidden="1" x14ac:dyDescent="0.25">
      <c r="Y23227" s="501"/>
    </row>
    <row r="23228" spans="25:25" hidden="1" x14ac:dyDescent="0.25">
      <c r="Y23228" s="501"/>
    </row>
    <row r="23229" spans="25:25" hidden="1" x14ac:dyDescent="0.25">
      <c r="Y23229" s="501"/>
    </row>
    <row r="23230" spans="25:25" hidden="1" x14ac:dyDescent="0.25">
      <c r="Y23230" s="501"/>
    </row>
    <row r="23231" spans="25:25" hidden="1" x14ac:dyDescent="0.25">
      <c r="Y23231" s="501"/>
    </row>
    <row r="23232" spans="25:25" hidden="1" x14ac:dyDescent="0.25">
      <c r="Y23232" s="501"/>
    </row>
    <row r="23233" spans="25:25" hidden="1" x14ac:dyDescent="0.25">
      <c r="Y23233" s="501"/>
    </row>
    <row r="23234" spans="25:25" hidden="1" x14ac:dyDescent="0.25">
      <c r="Y23234" s="501"/>
    </row>
    <row r="23235" spans="25:25" hidden="1" x14ac:dyDescent="0.25">
      <c r="Y23235" s="501"/>
    </row>
    <row r="23236" spans="25:25" hidden="1" x14ac:dyDescent="0.25">
      <c r="Y23236" s="501"/>
    </row>
    <row r="23237" spans="25:25" hidden="1" x14ac:dyDescent="0.25">
      <c r="Y23237" s="501"/>
    </row>
    <row r="23238" spans="25:25" hidden="1" x14ac:dyDescent="0.25">
      <c r="Y23238" s="501"/>
    </row>
    <row r="23239" spans="25:25" hidden="1" x14ac:dyDescent="0.25">
      <c r="Y23239" s="501"/>
    </row>
    <row r="23240" spans="25:25" hidden="1" x14ac:dyDescent="0.25">
      <c r="Y23240" s="501"/>
    </row>
    <row r="23241" spans="25:25" hidden="1" x14ac:dyDescent="0.25">
      <c r="Y23241" s="501"/>
    </row>
    <row r="23242" spans="25:25" hidden="1" x14ac:dyDescent="0.25">
      <c r="Y23242" s="501"/>
    </row>
    <row r="23243" spans="25:25" hidden="1" x14ac:dyDescent="0.25">
      <c r="Y23243" s="501"/>
    </row>
    <row r="23244" spans="25:25" hidden="1" x14ac:dyDescent="0.25">
      <c r="Y23244" s="501"/>
    </row>
    <row r="23245" spans="25:25" hidden="1" x14ac:dyDescent="0.25">
      <c r="Y23245" s="501"/>
    </row>
    <row r="23246" spans="25:25" hidden="1" x14ac:dyDescent="0.25">
      <c r="Y23246" s="501"/>
    </row>
    <row r="23247" spans="25:25" hidden="1" x14ac:dyDescent="0.25">
      <c r="Y23247" s="501"/>
    </row>
    <row r="23248" spans="25:25" hidden="1" x14ac:dyDescent="0.25">
      <c r="Y23248" s="501"/>
    </row>
    <row r="23249" spans="25:25" hidden="1" x14ac:dyDescent="0.25">
      <c r="Y23249" s="501"/>
    </row>
    <row r="23250" spans="25:25" hidden="1" x14ac:dyDescent="0.25">
      <c r="Y23250" s="501"/>
    </row>
    <row r="23251" spans="25:25" hidden="1" x14ac:dyDescent="0.25">
      <c r="Y23251" s="501"/>
    </row>
    <row r="23252" spans="25:25" hidden="1" x14ac:dyDescent="0.25">
      <c r="Y23252" s="501"/>
    </row>
    <row r="23253" spans="25:25" hidden="1" x14ac:dyDescent="0.25">
      <c r="Y23253" s="501"/>
    </row>
    <row r="23254" spans="25:25" hidden="1" x14ac:dyDescent="0.25">
      <c r="Y23254" s="501"/>
    </row>
    <row r="23255" spans="25:25" hidden="1" x14ac:dyDescent="0.25">
      <c r="Y23255" s="501"/>
    </row>
    <row r="23256" spans="25:25" hidden="1" x14ac:dyDescent="0.25">
      <c r="Y23256" s="501"/>
    </row>
    <row r="23257" spans="25:25" hidden="1" x14ac:dyDescent="0.25">
      <c r="Y23257" s="501"/>
    </row>
    <row r="23258" spans="25:25" hidden="1" x14ac:dyDescent="0.25">
      <c r="Y23258" s="501"/>
    </row>
    <row r="23259" spans="25:25" hidden="1" x14ac:dyDescent="0.25">
      <c r="Y23259" s="501"/>
    </row>
    <row r="23260" spans="25:25" hidden="1" x14ac:dyDescent="0.25">
      <c r="Y23260" s="501"/>
    </row>
    <row r="23261" spans="25:25" hidden="1" x14ac:dyDescent="0.25">
      <c r="Y23261" s="501"/>
    </row>
    <row r="23262" spans="25:25" hidden="1" x14ac:dyDescent="0.25">
      <c r="Y23262" s="501"/>
    </row>
    <row r="23263" spans="25:25" hidden="1" x14ac:dyDescent="0.25">
      <c r="Y23263" s="501"/>
    </row>
    <row r="23264" spans="25:25" hidden="1" x14ac:dyDescent="0.25">
      <c r="Y23264" s="501"/>
    </row>
    <row r="23265" spans="25:25" hidden="1" x14ac:dyDescent="0.25">
      <c r="Y23265" s="501"/>
    </row>
    <row r="23266" spans="25:25" hidden="1" x14ac:dyDescent="0.25">
      <c r="Y23266" s="501"/>
    </row>
    <row r="23267" spans="25:25" hidden="1" x14ac:dyDescent="0.25">
      <c r="Y23267" s="501"/>
    </row>
    <row r="23268" spans="25:25" hidden="1" x14ac:dyDescent="0.25">
      <c r="Y23268" s="501"/>
    </row>
    <row r="23269" spans="25:25" hidden="1" x14ac:dyDescent="0.25">
      <c r="Y23269" s="501"/>
    </row>
    <row r="23270" spans="25:25" hidden="1" x14ac:dyDescent="0.25">
      <c r="Y23270" s="501"/>
    </row>
    <row r="23271" spans="25:25" hidden="1" x14ac:dyDescent="0.25">
      <c r="Y23271" s="501"/>
    </row>
    <row r="23272" spans="25:25" hidden="1" x14ac:dyDescent="0.25">
      <c r="Y23272" s="501"/>
    </row>
    <row r="23273" spans="25:25" hidden="1" x14ac:dyDescent="0.25">
      <c r="Y23273" s="501"/>
    </row>
    <row r="23274" spans="25:25" hidden="1" x14ac:dyDescent="0.25">
      <c r="Y23274" s="501"/>
    </row>
    <row r="23275" spans="25:25" hidden="1" x14ac:dyDescent="0.25">
      <c r="Y23275" s="501"/>
    </row>
    <row r="23276" spans="25:25" hidden="1" x14ac:dyDescent="0.25">
      <c r="Y23276" s="501"/>
    </row>
    <row r="23277" spans="25:25" hidden="1" x14ac:dyDescent="0.25">
      <c r="Y23277" s="501"/>
    </row>
    <row r="23278" spans="25:25" hidden="1" x14ac:dyDescent="0.25">
      <c r="Y23278" s="501"/>
    </row>
    <row r="23279" spans="25:25" hidden="1" x14ac:dyDescent="0.25">
      <c r="Y23279" s="501"/>
    </row>
    <row r="23280" spans="25:25" hidden="1" x14ac:dyDescent="0.25">
      <c r="Y23280" s="501"/>
    </row>
    <row r="23281" spans="25:25" hidden="1" x14ac:dyDescent="0.25">
      <c r="Y23281" s="501"/>
    </row>
    <row r="23282" spans="25:25" hidden="1" x14ac:dyDescent="0.25">
      <c r="Y23282" s="501"/>
    </row>
    <row r="23283" spans="25:25" hidden="1" x14ac:dyDescent="0.25">
      <c r="Y23283" s="501"/>
    </row>
    <row r="23284" spans="25:25" hidden="1" x14ac:dyDescent="0.25">
      <c r="Y23284" s="501"/>
    </row>
    <row r="23285" spans="25:25" hidden="1" x14ac:dyDescent="0.25">
      <c r="Y23285" s="501"/>
    </row>
    <row r="23286" spans="25:25" hidden="1" x14ac:dyDescent="0.25">
      <c r="Y23286" s="501"/>
    </row>
    <row r="23287" spans="25:25" hidden="1" x14ac:dyDescent="0.25">
      <c r="Y23287" s="501"/>
    </row>
    <row r="23288" spans="25:25" hidden="1" x14ac:dyDescent="0.25">
      <c r="Y23288" s="501"/>
    </row>
    <row r="23289" spans="25:25" hidden="1" x14ac:dyDescent="0.25">
      <c r="Y23289" s="501"/>
    </row>
    <row r="23290" spans="25:25" hidden="1" x14ac:dyDescent="0.25">
      <c r="Y23290" s="501"/>
    </row>
    <row r="23291" spans="25:25" hidden="1" x14ac:dyDescent="0.25">
      <c r="Y23291" s="501"/>
    </row>
    <row r="23292" spans="25:25" hidden="1" x14ac:dyDescent="0.25">
      <c r="Y23292" s="501"/>
    </row>
    <row r="23293" spans="25:25" hidden="1" x14ac:dyDescent="0.25">
      <c r="Y23293" s="501"/>
    </row>
    <row r="23294" spans="25:25" hidden="1" x14ac:dyDescent="0.25">
      <c r="Y23294" s="501"/>
    </row>
    <row r="23295" spans="25:25" hidden="1" x14ac:dyDescent="0.25">
      <c r="Y23295" s="501"/>
    </row>
    <row r="23296" spans="25:25" hidden="1" x14ac:dyDescent="0.25">
      <c r="Y23296" s="501"/>
    </row>
    <row r="23297" spans="25:25" hidden="1" x14ac:dyDescent="0.25">
      <c r="Y23297" s="501"/>
    </row>
    <row r="23298" spans="25:25" hidden="1" x14ac:dyDescent="0.25">
      <c r="Y23298" s="501"/>
    </row>
    <row r="23299" spans="25:25" hidden="1" x14ac:dyDescent="0.25">
      <c r="Y23299" s="501"/>
    </row>
    <row r="23300" spans="25:25" hidden="1" x14ac:dyDescent="0.25">
      <c r="Y23300" s="501"/>
    </row>
    <row r="23301" spans="25:25" hidden="1" x14ac:dyDescent="0.25">
      <c r="Y23301" s="501"/>
    </row>
    <row r="23302" spans="25:25" hidden="1" x14ac:dyDescent="0.25">
      <c r="Y23302" s="501"/>
    </row>
    <row r="23303" spans="25:25" hidden="1" x14ac:dyDescent="0.25">
      <c r="Y23303" s="501"/>
    </row>
    <row r="23304" spans="25:25" hidden="1" x14ac:dyDescent="0.25">
      <c r="Y23304" s="501"/>
    </row>
    <row r="23305" spans="25:25" hidden="1" x14ac:dyDescent="0.25">
      <c r="Y23305" s="501"/>
    </row>
    <row r="23306" spans="25:25" hidden="1" x14ac:dyDescent="0.25">
      <c r="Y23306" s="501"/>
    </row>
    <row r="23307" spans="25:25" hidden="1" x14ac:dyDescent="0.25">
      <c r="Y23307" s="501"/>
    </row>
    <row r="23308" spans="25:25" hidden="1" x14ac:dyDescent="0.25">
      <c r="Y23308" s="501"/>
    </row>
    <row r="23309" spans="25:25" hidden="1" x14ac:dyDescent="0.25">
      <c r="Y23309" s="501"/>
    </row>
    <row r="23310" spans="25:25" hidden="1" x14ac:dyDescent="0.25">
      <c r="Y23310" s="501"/>
    </row>
    <row r="23311" spans="25:25" hidden="1" x14ac:dyDescent="0.25">
      <c r="Y23311" s="501"/>
    </row>
    <row r="23312" spans="25:25" hidden="1" x14ac:dyDescent="0.25">
      <c r="Y23312" s="501"/>
    </row>
    <row r="23313" spans="25:25" hidden="1" x14ac:dyDescent="0.25">
      <c r="Y23313" s="501"/>
    </row>
    <row r="23314" spans="25:25" hidden="1" x14ac:dyDescent="0.25">
      <c r="Y23314" s="501"/>
    </row>
    <row r="23315" spans="25:25" hidden="1" x14ac:dyDescent="0.25">
      <c r="Y23315" s="501"/>
    </row>
    <row r="23316" spans="25:25" hidden="1" x14ac:dyDescent="0.25">
      <c r="Y23316" s="501"/>
    </row>
    <row r="23317" spans="25:25" hidden="1" x14ac:dyDescent="0.25">
      <c r="Y23317" s="501"/>
    </row>
    <row r="23318" spans="25:25" hidden="1" x14ac:dyDescent="0.25">
      <c r="Y23318" s="501"/>
    </row>
    <row r="23319" spans="25:25" hidden="1" x14ac:dyDescent="0.25">
      <c r="Y23319" s="501"/>
    </row>
    <row r="23320" spans="25:25" hidden="1" x14ac:dyDescent="0.25">
      <c r="Y23320" s="501"/>
    </row>
    <row r="23321" spans="25:25" hidden="1" x14ac:dyDescent="0.25">
      <c r="Y23321" s="501"/>
    </row>
    <row r="23322" spans="25:25" hidden="1" x14ac:dyDescent="0.25">
      <c r="Y23322" s="501"/>
    </row>
    <row r="23323" spans="25:25" hidden="1" x14ac:dyDescent="0.25">
      <c r="Y23323" s="501"/>
    </row>
    <row r="23324" spans="25:25" hidden="1" x14ac:dyDescent="0.25">
      <c r="Y23324" s="501"/>
    </row>
    <row r="23325" spans="25:25" hidden="1" x14ac:dyDescent="0.25">
      <c r="Y23325" s="501"/>
    </row>
    <row r="23326" spans="25:25" hidden="1" x14ac:dyDescent="0.25">
      <c r="Y23326" s="501"/>
    </row>
    <row r="23327" spans="25:25" hidden="1" x14ac:dyDescent="0.25">
      <c r="Y23327" s="501"/>
    </row>
    <row r="23328" spans="25:25" hidden="1" x14ac:dyDescent="0.25">
      <c r="Y23328" s="501"/>
    </row>
    <row r="23329" spans="25:25" hidden="1" x14ac:dyDescent="0.25">
      <c r="Y23329" s="501"/>
    </row>
    <row r="23330" spans="25:25" hidden="1" x14ac:dyDescent="0.25">
      <c r="Y23330" s="501"/>
    </row>
    <row r="23331" spans="25:25" hidden="1" x14ac:dyDescent="0.25">
      <c r="Y23331" s="501"/>
    </row>
    <row r="23332" spans="25:25" hidden="1" x14ac:dyDescent="0.25">
      <c r="Y23332" s="501"/>
    </row>
    <row r="23333" spans="25:25" hidden="1" x14ac:dyDescent="0.25">
      <c r="Y23333" s="501"/>
    </row>
    <row r="23334" spans="25:25" hidden="1" x14ac:dyDescent="0.25">
      <c r="Y23334" s="501"/>
    </row>
    <row r="23335" spans="25:25" hidden="1" x14ac:dyDescent="0.25">
      <c r="Y23335" s="501"/>
    </row>
    <row r="23336" spans="25:25" hidden="1" x14ac:dyDescent="0.25">
      <c r="Y23336" s="501"/>
    </row>
    <row r="23337" spans="25:25" hidden="1" x14ac:dyDescent="0.25">
      <c r="Y23337" s="501"/>
    </row>
    <row r="23338" spans="25:25" hidden="1" x14ac:dyDescent="0.25">
      <c r="Y23338" s="501"/>
    </row>
    <row r="23339" spans="25:25" hidden="1" x14ac:dyDescent="0.25">
      <c r="Y23339" s="501"/>
    </row>
    <row r="23340" spans="25:25" hidden="1" x14ac:dyDescent="0.25">
      <c r="Y23340" s="501"/>
    </row>
    <row r="23341" spans="25:25" hidden="1" x14ac:dyDescent="0.25">
      <c r="Y23341" s="501"/>
    </row>
    <row r="23342" spans="25:25" hidden="1" x14ac:dyDescent="0.25">
      <c r="Y23342" s="501"/>
    </row>
    <row r="23343" spans="25:25" hidden="1" x14ac:dyDescent="0.25">
      <c r="Y23343" s="501"/>
    </row>
    <row r="23344" spans="25:25" hidden="1" x14ac:dyDescent="0.25">
      <c r="Y23344" s="501"/>
    </row>
    <row r="23345" spans="25:25" hidden="1" x14ac:dyDescent="0.25">
      <c r="Y23345" s="501"/>
    </row>
    <row r="23346" spans="25:25" hidden="1" x14ac:dyDescent="0.25">
      <c r="Y23346" s="501"/>
    </row>
    <row r="23347" spans="25:25" hidden="1" x14ac:dyDescent="0.25">
      <c r="Y23347" s="501"/>
    </row>
    <row r="23348" spans="25:25" hidden="1" x14ac:dyDescent="0.25">
      <c r="Y23348" s="501"/>
    </row>
    <row r="23349" spans="25:25" hidden="1" x14ac:dyDescent="0.25">
      <c r="Y23349" s="501"/>
    </row>
    <row r="23350" spans="25:25" hidden="1" x14ac:dyDescent="0.25">
      <c r="Y23350" s="501"/>
    </row>
    <row r="23351" spans="25:25" hidden="1" x14ac:dyDescent="0.25">
      <c r="Y23351" s="501"/>
    </row>
    <row r="23352" spans="25:25" hidden="1" x14ac:dyDescent="0.25">
      <c r="Y23352" s="501"/>
    </row>
    <row r="23353" spans="25:25" hidden="1" x14ac:dyDescent="0.25">
      <c r="Y23353" s="501"/>
    </row>
    <row r="23354" spans="25:25" hidden="1" x14ac:dyDescent="0.25">
      <c r="Y23354" s="501"/>
    </row>
    <row r="23355" spans="25:25" hidden="1" x14ac:dyDescent="0.25">
      <c r="Y23355" s="501"/>
    </row>
    <row r="23356" spans="25:25" hidden="1" x14ac:dyDescent="0.25">
      <c r="Y23356" s="501"/>
    </row>
    <row r="23357" spans="25:25" hidden="1" x14ac:dyDescent="0.25">
      <c r="Y23357" s="501"/>
    </row>
    <row r="23358" spans="25:25" hidden="1" x14ac:dyDescent="0.25">
      <c r="Y23358" s="501"/>
    </row>
    <row r="23359" spans="25:25" hidden="1" x14ac:dyDescent="0.25">
      <c r="Y23359" s="501"/>
    </row>
    <row r="23360" spans="25:25" hidden="1" x14ac:dyDescent="0.25">
      <c r="Y23360" s="501"/>
    </row>
    <row r="23361" spans="25:25" hidden="1" x14ac:dyDescent="0.25">
      <c r="Y23361" s="501"/>
    </row>
    <row r="23362" spans="25:25" hidden="1" x14ac:dyDescent="0.25">
      <c r="Y23362" s="501"/>
    </row>
    <row r="23363" spans="25:25" hidden="1" x14ac:dyDescent="0.25">
      <c r="Y23363" s="501"/>
    </row>
    <row r="23364" spans="25:25" hidden="1" x14ac:dyDescent="0.25">
      <c r="Y23364" s="501"/>
    </row>
    <row r="23365" spans="25:25" hidden="1" x14ac:dyDescent="0.25">
      <c r="Y23365" s="501"/>
    </row>
    <row r="23366" spans="25:25" hidden="1" x14ac:dyDescent="0.25">
      <c r="Y23366" s="501"/>
    </row>
    <row r="23367" spans="25:25" hidden="1" x14ac:dyDescent="0.25">
      <c r="Y23367" s="501"/>
    </row>
    <row r="23368" spans="25:25" hidden="1" x14ac:dyDescent="0.25">
      <c r="Y23368" s="501"/>
    </row>
    <row r="23369" spans="25:25" hidden="1" x14ac:dyDescent="0.25">
      <c r="Y23369" s="501"/>
    </row>
    <row r="23370" spans="25:25" hidden="1" x14ac:dyDescent="0.25">
      <c r="Y23370" s="501"/>
    </row>
    <row r="23371" spans="25:25" hidden="1" x14ac:dyDescent="0.25">
      <c r="Y23371" s="501"/>
    </row>
    <row r="23372" spans="25:25" hidden="1" x14ac:dyDescent="0.25">
      <c r="Y23372" s="501"/>
    </row>
    <row r="23373" spans="25:25" hidden="1" x14ac:dyDescent="0.25">
      <c r="Y23373" s="501"/>
    </row>
    <row r="23374" spans="25:25" hidden="1" x14ac:dyDescent="0.25">
      <c r="Y23374" s="501"/>
    </row>
    <row r="23375" spans="25:25" hidden="1" x14ac:dyDescent="0.25">
      <c r="Y23375" s="501"/>
    </row>
    <row r="23376" spans="25:25" hidden="1" x14ac:dyDescent="0.25">
      <c r="Y23376" s="501"/>
    </row>
    <row r="23377" spans="25:25" hidden="1" x14ac:dyDescent="0.25">
      <c r="Y23377" s="501"/>
    </row>
    <row r="23378" spans="25:25" hidden="1" x14ac:dyDescent="0.25">
      <c r="Y23378" s="501"/>
    </row>
    <row r="23379" spans="25:25" hidden="1" x14ac:dyDescent="0.25">
      <c r="Y23379" s="501"/>
    </row>
    <row r="23380" spans="25:25" hidden="1" x14ac:dyDescent="0.25">
      <c r="Y23380" s="501"/>
    </row>
    <row r="23381" spans="25:25" hidden="1" x14ac:dyDescent="0.25">
      <c r="Y23381" s="501"/>
    </row>
    <row r="23382" spans="25:25" hidden="1" x14ac:dyDescent="0.25">
      <c r="Y23382" s="501"/>
    </row>
    <row r="23383" spans="25:25" hidden="1" x14ac:dyDescent="0.25">
      <c r="Y23383" s="501"/>
    </row>
    <row r="23384" spans="25:25" hidden="1" x14ac:dyDescent="0.25">
      <c r="Y23384" s="501"/>
    </row>
    <row r="23385" spans="25:25" hidden="1" x14ac:dyDescent="0.25">
      <c r="Y23385" s="501"/>
    </row>
    <row r="23386" spans="25:25" hidden="1" x14ac:dyDescent="0.25">
      <c r="Y23386" s="501"/>
    </row>
    <row r="23387" spans="25:25" hidden="1" x14ac:dyDescent="0.25">
      <c r="Y23387" s="501"/>
    </row>
    <row r="23388" spans="25:25" hidden="1" x14ac:dyDescent="0.25">
      <c r="Y23388" s="501"/>
    </row>
    <row r="23389" spans="25:25" hidden="1" x14ac:dyDescent="0.25">
      <c r="Y23389" s="501"/>
    </row>
    <row r="23390" spans="25:25" hidden="1" x14ac:dyDescent="0.25">
      <c r="Y23390" s="501"/>
    </row>
    <row r="23391" spans="25:25" hidden="1" x14ac:dyDescent="0.25">
      <c r="Y23391" s="501"/>
    </row>
    <row r="23392" spans="25:25" hidden="1" x14ac:dyDescent="0.25">
      <c r="Y23392" s="501"/>
    </row>
    <row r="23393" spans="25:25" hidden="1" x14ac:dyDescent="0.25">
      <c r="Y23393" s="501"/>
    </row>
    <row r="23394" spans="25:25" hidden="1" x14ac:dyDescent="0.25">
      <c r="Y23394" s="501"/>
    </row>
    <row r="23395" spans="25:25" hidden="1" x14ac:dyDescent="0.25">
      <c r="Y23395" s="501"/>
    </row>
    <row r="23396" spans="25:25" hidden="1" x14ac:dyDescent="0.25">
      <c r="Y23396" s="501"/>
    </row>
    <row r="23397" spans="25:25" hidden="1" x14ac:dyDescent="0.25">
      <c r="Y23397" s="501"/>
    </row>
    <row r="23398" spans="25:25" hidden="1" x14ac:dyDescent="0.25">
      <c r="Y23398" s="501"/>
    </row>
    <row r="23399" spans="25:25" hidden="1" x14ac:dyDescent="0.25">
      <c r="Y23399" s="501"/>
    </row>
    <row r="23400" spans="25:25" hidden="1" x14ac:dyDescent="0.25">
      <c r="Y23400" s="501"/>
    </row>
    <row r="23401" spans="25:25" hidden="1" x14ac:dyDescent="0.25">
      <c r="Y23401" s="501"/>
    </row>
    <row r="23402" spans="25:25" hidden="1" x14ac:dyDescent="0.25">
      <c r="Y23402" s="501"/>
    </row>
    <row r="23403" spans="25:25" hidden="1" x14ac:dyDescent="0.25">
      <c r="Y23403" s="501"/>
    </row>
    <row r="23404" spans="25:25" hidden="1" x14ac:dyDescent="0.25">
      <c r="Y23404" s="501"/>
    </row>
    <row r="23405" spans="25:25" hidden="1" x14ac:dyDescent="0.25">
      <c r="Y23405" s="501"/>
    </row>
    <row r="23406" spans="25:25" hidden="1" x14ac:dyDescent="0.25">
      <c r="Y23406" s="501"/>
    </row>
    <row r="23407" spans="25:25" hidden="1" x14ac:dyDescent="0.25">
      <c r="Y23407" s="501"/>
    </row>
    <row r="23408" spans="25:25" hidden="1" x14ac:dyDescent="0.25">
      <c r="Y23408" s="501"/>
    </row>
    <row r="23409" spans="25:25" hidden="1" x14ac:dyDescent="0.25">
      <c r="Y23409" s="501"/>
    </row>
    <row r="23410" spans="25:25" hidden="1" x14ac:dyDescent="0.25">
      <c r="Y23410" s="501"/>
    </row>
    <row r="23411" spans="25:25" hidden="1" x14ac:dyDescent="0.25">
      <c r="Y23411" s="501"/>
    </row>
    <row r="23412" spans="25:25" hidden="1" x14ac:dyDescent="0.25">
      <c r="Y23412" s="501"/>
    </row>
    <row r="23413" spans="25:25" hidden="1" x14ac:dyDescent="0.25">
      <c r="Y23413" s="501"/>
    </row>
    <row r="23414" spans="25:25" hidden="1" x14ac:dyDescent="0.25">
      <c r="Y23414" s="501"/>
    </row>
    <row r="23415" spans="25:25" hidden="1" x14ac:dyDescent="0.25">
      <c r="Y23415" s="501"/>
    </row>
    <row r="23416" spans="25:25" hidden="1" x14ac:dyDescent="0.25">
      <c r="Y23416" s="501"/>
    </row>
    <row r="23417" spans="25:25" hidden="1" x14ac:dyDescent="0.25">
      <c r="Y23417" s="501"/>
    </row>
    <row r="23418" spans="25:25" hidden="1" x14ac:dyDescent="0.25">
      <c r="Y23418" s="501"/>
    </row>
    <row r="23419" spans="25:25" hidden="1" x14ac:dyDescent="0.25">
      <c r="Y23419" s="501"/>
    </row>
    <row r="23420" spans="25:25" hidden="1" x14ac:dyDescent="0.25">
      <c r="Y23420" s="501"/>
    </row>
    <row r="23421" spans="25:25" hidden="1" x14ac:dyDescent="0.25">
      <c r="Y23421" s="501"/>
    </row>
    <row r="23422" spans="25:25" hidden="1" x14ac:dyDescent="0.25">
      <c r="Y23422" s="501"/>
    </row>
    <row r="23423" spans="25:25" hidden="1" x14ac:dyDescent="0.25">
      <c r="Y23423" s="501"/>
    </row>
    <row r="23424" spans="25:25" hidden="1" x14ac:dyDescent="0.25">
      <c r="Y23424" s="501"/>
    </row>
    <row r="23425" spans="25:25" hidden="1" x14ac:dyDescent="0.25">
      <c r="Y23425" s="501"/>
    </row>
    <row r="23426" spans="25:25" hidden="1" x14ac:dyDescent="0.25">
      <c r="Y23426" s="501"/>
    </row>
    <row r="23427" spans="25:25" hidden="1" x14ac:dyDescent="0.25">
      <c r="Y23427" s="501"/>
    </row>
    <row r="23428" spans="25:25" hidden="1" x14ac:dyDescent="0.25">
      <c r="Y23428" s="501"/>
    </row>
    <row r="23429" spans="25:25" hidden="1" x14ac:dyDescent="0.25">
      <c r="Y23429" s="501"/>
    </row>
    <row r="23430" spans="25:25" hidden="1" x14ac:dyDescent="0.25">
      <c r="Y23430" s="501"/>
    </row>
    <row r="23431" spans="25:25" hidden="1" x14ac:dyDescent="0.25">
      <c r="Y23431" s="501"/>
    </row>
    <row r="23432" spans="25:25" hidden="1" x14ac:dyDescent="0.25">
      <c r="Y23432" s="501"/>
    </row>
    <row r="23433" spans="25:25" hidden="1" x14ac:dyDescent="0.25">
      <c r="Y23433" s="501"/>
    </row>
    <row r="23434" spans="25:25" hidden="1" x14ac:dyDescent="0.25">
      <c r="Y23434" s="501"/>
    </row>
    <row r="23435" spans="25:25" hidden="1" x14ac:dyDescent="0.25">
      <c r="Y23435" s="501"/>
    </row>
    <row r="23436" spans="25:25" hidden="1" x14ac:dyDescent="0.25">
      <c r="Y23436" s="501"/>
    </row>
    <row r="23437" spans="25:25" hidden="1" x14ac:dyDescent="0.25">
      <c r="Y23437" s="501"/>
    </row>
    <row r="23438" spans="25:25" hidden="1" x14ac:dyDescent="0.25">
      <c r="Y23438" s="501"/>
    </row>
    <row r="23439" spans="25:25" hidden="1" x14ac:dyDescent="0.25">
      <c r="Y23439" s="501"/>
    </row>
    <row r="23440" spans="25:25" hidden="1" x14ac:dyDescent="0.25">
      <c r="Y23440" s="501"/>
    </row>
    <row r="23441" spans="25:25" hidden="1" x14ac:dyDescent="0.25">
      <c r="Y23441" s="501"/>
    </row>
    <row r="23442" spans="25:25" hidden="1" x14ac:dyDescent="0.25">
      <c r="Y23442" s="501"/>
    </row>
    <row r="23443" spans="25:25" hidden="1" x14ac:dyDescent="0.25">
      <c r="Y23443" s="501"/>
    </row>
    <row r="23444" spans="25:25" hidden="1" x14ac:dyDescent="0.25">
      <c r="Y23444" s="501"/>
    </row>
    <row r="23445" spans="25:25" hidden="1" x14ac:dyDescent="0.25">
      <c r="Y23445" s="501"/>
    </row>
    <row r="23446" spans="25:25" hidden="1" x14ac:dyDescent="0.25">
      <c r="Y23446" s="501"/>
    </row>
    <row r="23447" spans="25:25" hidden="1" x14ac:dyDescent="0.25">
      <c r="Y23447" s="501"/>
    </row>
    <row r="23448" spans="25:25" hidden="1" x14ac:dyDescent="0.25">
      <c r="Y23448" s="501"/>
    </row>
    <row r="23449" spans="25:25" hidden="1" x14ac:dyDescent="0.25">
      <c r="Y23449" s="501"/>
    </row>
    <row r="23450" spans="25:25" hidden="1" x14ac:dyDescent="0.25">
      <c r="Y23450" s="501"/>
    </row>
    <row r="23451" spans="25:25" hidden="1" x14ac:dyDescent="0.25">
      <c r="Y23451" s="501"/>
    </row>
    <row r="23452" spans="25:25" hidden="1" x14ac:dyDescent="0.25">
      <c r="Y23452" s="501"/>
    </row>
    <row r="23453" spans="25:25" hidden="1" x14ac:dyDescent="0.25">
      <c r="Y23453" s="501"/>
    </row>
    <row r="23454" spans="25:25" hidden="1" x14ac:dyDescent="0.25">
      <c r="Y23454" s="501"/>
    </row>
    <row r="23455" spans="25:25" hidden="1" x14ac:dyDescent="0.25">
      <c r="Y23455" s="501"/>
    </row>
    <row r="23456" spans="25:25" hidden="1" x14ac:dyDescent="0.25">
      <c r="Y23456" s="501"/>
    </row>
    <row r="23457" spans="25:25" hidden="1" x14ac:dyDescent="0.25">
      <c r="Y23457" s="501"/>
    </row>
    <row r="23458" spans="25:25" hidden="1" x14ac:dyDescent="0.25">
      <c r="Y23458" s="501"/>
    </row>
    <row r="23459" spans="25:25" hidden="1" x14ac:dyDescent="0.25">
      <c r="Y23459" s="501"/>
    </row>
    <row r="23460" spans="25:25" hidden="1" x14ac:dyDescent="0.25">
      <c r="Y23460" s="501"/>
    </row>
    <row r="23461" spans="25:25" hidden="1" x14ac:dyDescent="0.25">
      <c r="Y23461" s="501"/>
    </row>
    <row r="23462" spans="25:25" hidden="1" x14ac:dyDescent="0.25">
      <c r="Y23462" s="501"/>
    </row>
    <row r="23463" spans="25:25" hidden="1" x14ac:dyDescent="0.25">
      <c r="Y23463" s="501"/>
    </row>
    <row r="23464" spans="25:25" hidden="1" x14ac:dyDescent="0.25">
      <c r="Y23464" s="501"/>
    </row>
    <row r="23465" spans="25:25" hidden="1" x14ac:dyDescent="0.25">
      <c r="Y23465" s="501"/>
    </row>
    <row r="23466" spans="25:25" hidden="1" x14ac:dyDescent="0.25">
      <c r="Y23466" s="501"/>
    </row>
    <row r="23467" spans="25:25" hidden="1" x14ac:dyDescent="0.25">
      <c r="Y23467" s="501"/>
    </row>
    <row r="23468" spans="25:25" hidden="1" x14ac:dyDescent="0.25">
      <c r="Y23468" s="501"/>
    </row>
    <row r="23469" spans="25:25" hidden="1" x14ac:dyDescent="0.25">
      <c r="Y23469" s="501"/>
    </row>
    <row r="23470" spans="25:25" hidden="1" x14ac:dyDescent="0.25">
      <c r="Y23470" s="501"/>
    </row>
    <row r="23471" spans="25:25" hidden="1" x14ac:dyDescent="0.25">
      <c r="Y23471" s="501"/>
    </row>
    <row r="23472" spans="25:25" hidden="1" x14ac:dyDescent="0.25">
      <c r="Y23472" s="501"/>
    </row>
    <row r="23473" spans="25:25" hidden="1" x14ac:dyDescent="0.25">
      <c r="Y23473" s="501"/>
    </row>
    <row r="23474" spans="25:25" hidden="1" x14ac:dyDescent="0.25">
      <c r="Y23474" s="501"/>
    </row>
    <row r="23475" spans="25:25" hidden="1" x14ac:dyDescent="0.25">
      <c r="Y23475" s="501"/>
    </row>
    <row r="23476" spans="25:25" hidden="1" x14ac:dyDescent="0.25">
      <c r="Y23476" s="501"/>
    </row>
    <row r="23477" spans="25:25" hidden="1" x14ac:dyDescent="0.25">
      <c r="Y23477" s="501"/>
    </row>
    <row r="23478" spans="25:25" hidden="1" x14ac:dyDescent="0.25">
      <c r="Y23478" s="501"/>
    </row>
    <row r="23479" spans="25:25" hidden="1" x14ac:dyDescent="0.25">
      <c r="Y23479" s="501"/>
    </row>
    <row r="23480" spans="25:25" hidden="1" x14ac:dyDescent="0.25">
      <c r="Y23480" s="501"/>
    </row>
    <row r="23481" spans="25:25" hidden="1" x14ac:dyDescent="0.25">
      <c r="Y23481" s="501"/>
    </row>
    <row r="23482" spans="25:25" hidden="1" x14ac:dyDescent="0.25">
      <c r="Y23482" s="501"/>
    </row>
    <row r="23483" spans="25:25" hidden="1" x14ac:dyDescent="0.25">
      <c r="Y23483" s="501"/>
    </row>
    <row r="23484" spans="25:25" hidden="1" x14ac:dyDescent="0.25">
      <c r="Y23484" s="501"/>
    </row>
    <row r="23485" spans="25:25" hidden="1" x14ac:dyDescent="0.25">
      <c r="Y23485" s="501"/>
    </row>
    <row r="23486" spans="25:25" hidden="1" x14ac:dyDescent="0.25">
      <c r="Y23486" s="501"/>
    </row>
    <row r="23487" spans="25:25" hidden="1" x14ac:dyDescent="0.25">
      <c r="Y23487" s="501"/>
    </row>
    <row r="23488" spans="25:25" hidden="1" x14ac:dyDescent="0.25">
      <c r="Y23488" s="501"/>
    </row>
    <row r="23489" spans="25:25" hidden="1" x14ac:dyDescent="0.25">
      <c r="Y23489" s="501"/>
    </row>
    <row r="23490" spans="25:25" hidden="1" x14ac:dyDescent="0.25">
      <c r="Y23490" s="501"/>
    </row>
    <row r="23491" spans="25:25" hidden="1" x14ac:dyDescent="0.25">
      <c r="Y23491" s="501"/>
    </row>
    <row r="23492" spans="25:25" hidden="1" x14ac:dyDescent="0.25">
      <c r="Y23492" s="501"/>
    </row>
    <row r="23493" spans="25:25" hidden="1" x14ac:dyDescent="0.25">
      <c r="Y23493" s="501"/>
    </row>
    <row r="23494" spans="25:25" hidden="1" x14ac:dyDescent="0.25">
      <c r="Y23494" s="501"/>
    </row>
    <row r="23495" spans="25:25" hidden="1" x14ac:dyDescent="0.25">
      <c r="Y23495" s="501"/>
    </row>
    <row r="23496" spans="25:25" hidden="1" x14ac:dyDescent="0.25">
      <c r="Y23496" s="501"/>
    </row>
    <row r="23497" spans="25:25" hidden="1" x14ac:dyDescent="0.25">
      <c r="Y23497" s="501"/>
    </row>
    <row r="23498" spans="25:25" hidden="1" x14ac:dyDescent="0.25">
      <c r="Y23498" s="501"/>
    </row>
    <row r="23499" spans="25:25" hidden="1" x14ac:dyDescent="0.25">
      <c r="Y23499" s="501"/>
    </row>
    <row r="23500" spans="25:25" hidden="1" x14ac:dyDescent="0.25">
      <c r="Y23500" s="501"/>
    </row>
    <row r="23501" spans="25:25" hidden="1" x14ac:dyDescent="0.25">
      <c r="Y23501" s="501"/>
    </row>
    <row r="23502" spans="25:25" hidden="1" x14ac:dyDescent="0.25">
      <c r="Y23502" s="501"/>
    </row>
    <row r="23503" spans="25:25" hidden="1" x14ac:dyDescent="0.25">
      <c r="Y23503" s="501"/>
    </row>
    <row r="23504" spans="25:25" hidden="1" x14ac:dyDescent="0.25">
      <c r="Y23504" s="501"/>
    </row>
    <row r="23505" spans="25:25" hidden="1" x14ac:dyDescent="0.25">
      <c r="Y23505" s="501"/>
    </row>
    <row r="23506" spans="25:25" hidden="1" x14ac:dyDescent="0.25">
      <c r="Y23506" s="501"/>
    </row>
    <row r="23507" spans="25:25" hidden="1" x14ac:dyDescent="0.25">
      <c r="Y23507" s="501"/>
    </row>
    <row r="23508" spans="25:25" hidden="1" x14ac:dyDescent="0.25">
      <c r="Y23508" s="501"/>
    </row>
    <row r="23509" spans="25:25" hidden="1" x14ac:dyDescent="0.25">
      <c r="Y23509" s="501"/>
    </row>
    <row r="23510" spans="25:25" hidden="1" x14ac:dyDescent="0.25">
      <c r="Y23510" s="501"/>
    </row>
    <row r="23511" spans="25:25" hidden="1" x14ac:dyDescent="0.25">
      <c r="Y23511" s="501"/>
    </row>
    <row r="23512" spans="25:25" hidden="1" x14ac:dyDescent="0.25">
      <c r="Y23512" s="501"/>
    </row>
    <row r="23513" spans="25:25" hidden="1" x14ac:dyDescent="0.25">
      <c r="Y23513" s="501"/>
    </row>
    <row r="23514" spans="25:25" hidden="1" x14ac:dyDescent="0.25">
      <c r="Y23514" s="501"/>
    </row>
    <row r="23515" spans="25:25" hidden="1" x14ac:dyDescent="0.25">
      <c r="Y23515" s="501"/>
    </row>
    <row r="23516" spans="25:25" hidden="1" x14ac:dyDescent="0.25">
      <c r="Y23516" s="501"/>
    </row>
    <row r="23517" spans="25:25" hidden="1" x14ac:dyDescent="0.25">
      <c r="Y23517" s="501"/>
    </row>
    <row r="23518" spans="25:25" hidden="1" x14ac:dyDescent="0.25">
      <c r="Y23518" s="501"/>
    </row>
    <row r="23519" spans="25:25" hidden="1" x14ac:dyDescent="0.25">
      <c r="Y23519" s="501"/>
    </row>
    <row r="23520" spans="25:25" hidden="1" x14ac:dyDescent="0.25">
      <c r="Y23520" s="501"/>
    </row>
    <row r="23521" spans="25:25" hidden="1" x14ac:dyDescent="0.25">
      <c r="Y23521" s="501"/>
    </row>
    <row r="23522" spans="25:25" hidden="1" x14ac:dyDescent="0.25">
      <c r="Y23522" s="501"/>
    </row>
    <row r="23523" spans="25:25" hidden="1" x14ac:dyDescent="0.25">
      <c r="Y23523" s="501"/>
    </row>
    <row r="23524" spans="25:25" hidden="1" x14ac:dyDescent="0.25">
      <c r="Y23524" s="501"/>
    </row>
    <row r="23525" spans="25:25" hidden="1" x14ac:dyDescent="0.25">
      <c r="Y23525" s="501"/>
    </row>
    <row r="23526" spans="25:25" hidden="1" x14ac:dyDescent="0.25">
      <c r="Y23526" s="501"/>
    </row>
    <row r="23527" spans="25:25" hidden="1" x14ac:dyDescent="0.25">
      <c r="Y23527" s="501"/>
    </row>
    <row r="23528" spans="25:25" hidden="1" x14ac:dyDescent="0.25">
      <c r="Y23528" s="501"/>
    </row>
    <row r="23529" spans="25:25" hidden="1" x14ac:dyDescent="0.25">
      <c r="Y23529" s="501"/>
    </row>
    <row r="23530" spans="25:25" hidden="1" x14ac:dyDescent="0.25">
      <c r="Y23530" s="501"/>
    </row>
    <row r="23531" spans="25:25" hidden="1" x14ac:dyDescent="0.25">
      <c r="Y23531" s="501"/>
    </row>
    <row r="23532" spans="25:25" hidden="1" x14ac:dyDescent="0.25">
      <c r="Y23532" s="501"/>
    </row>
    <row r="23533" spans="25:25" hidden="1" x14ac:dyDescent="0.25">
      <c r="Y23533" s="501"/>
    </row>
    <row r="23534" spans="25:25" hidden="1" x14ac:dyDescent="0.25">
      <c r="Y23534" s="501"/>
    </row>
    <row r="23535" spans="25:25" hidden="1" x14ac:dyDescent="0.25">
      <c r="Y23535" s="501"/>
    </row>
    <row r="23536" spans="25:25" hidden="1" x14ac:dyDescent="0.25">
      <c r="Y23536" s="501"/>
    </row>
    <row r="23537" spans="25:25" hidden="1" x14ac:dyDescent="0.25">
      <c r="Y23537" s="501"/>
    </row>
    <row r="23538" spans="25:25" hidden="1" x14ac:dyDescent="0.25">
      <c r="Y23538" s="501"/>
    </row>
    <row r="23539" spans="25:25" hidden="1" x14ac:dyDescent="0.25">
      <c r="Y23539" s="501"/>
    </row>
    <row r="23540" spans="25:25" hidden="1" x14ac:dyDescent="0.25">
      <c r="Y23540" s="501"/>
    </row>
    <row r="23541" spans="25:25" hidden="1" x14ac:dyDescent="0.25">
      <c r="Y23541" s="501"/>
    </row>
    <row r="23542" spans="25:25" hidden="1" x14ac:dyDescent="0.25">
      <c r="Y23542" s="501"/>
    </row>
    <row r="23543" spans="25:25" hidden="1" x14ac:dyDescent="0.25">
      <c r="Y23543" s="501"/>
    </row>
    <row r="23544" spans="25:25" hidden="1" x14ac:dyDescent="0.25">
      <c r="Y23544" s="501"/>
    </row>
    <row r="23545" spans="25:25" hidden="1" x14ac:dyDescent="0.25">
      <c r="Y23545" s="501"/>
    </row>
    <row r="23546" spans="25:25" hidden="1" x14ac:dyDescent="0.25">
      <c r="Y23546" s="501"/>
    </row>
    <row r="23547" spans="25:25" hidden="1" x14ac:dyDescent="0.25">
      <c r="Y23547" s="501"/>
    </row>
    <row r="23548" spans="25:25" hidden="1" x14ac:dyDescent="0.25">
      <c r="Y23548" s="501"/>
    </row>
    <row r="23549" spans="25:25" hidden="1" x14ac:dyDescent="0.25">
      <c r="Y23549" s="501"/>
    </row>
    <row r="23550" spans="25:25" hidden="1" x14ac:dyDescent="0.25">
      <c r="Y23550" s="501"/>
    </row>
    <row r="23551" spans="25:25" hidden="1" x14ac:dyDescent="0.25">
      <c r="Y23551" s="501"/>
    </row>
    <row r="23552" spans="25:25" hidden="1" x14ac:dyDescent="0.25">
      <c r="Y23552" s="501"/>
    </row>
    <row r="23553" spans="25:25" hidden="1" x14ac:dyDescent="0.25">
      <c r="Y23553" s="501"/>
    </row>
    <row r="23554" spans="25:25" hidden="1" x14ac:dyDescent="0.25">
      <c r="Y23554" s="501"/>
    </row>
    <row r="23555" spans="25:25" hidden="1" x14ac:dyDescent="0.25">
      <c r="Y23555" s="501"/>
    </row>
    <row r="23556" spans="25:25" hidden="1" x14ac:dyDescent="0.25">
      <c r="Y23556" s="501"/>
    </row>
    <row r="23557" spans="25:25" hidden="1" x14ac:dyDescent="0.25">
      <c r="Y23557" s="501"/>
    </row>
    <row r="23558" spans="25:25" hidden="1" x14ac:dyDescent="0.25">
      <c r="Y23558" s="501"/>
    </row>
    <row r="23559" spans="25:25" hidden="1" x14ac:dyDescent="0.25">
      <c r="Y23559" s="501"/>
    </row>
    <row r="23560" spans="25:25" hidden="1" x14ac:dyDescent="0.25">
      <c r="Y23560" s="501"/>
    </row>
    <row r="23561" spans="25:25" hidden="1" x14ac:dyDescent="0.25">
      <c r="Y23561" s="501"/>
    </row>
    <row r="23562" spans="25:25" hidden="1" x14ac:dyDescent="0.25">
      <c r="Y23562" s="501"/>
    </row>
    <row r="23563" spans="25:25" hidden="1" x14ac:dyDescent="0.25">
      <c r="Y23563" s="501"/>
    </row>
    <row r="23564" spans="25:25" hidden="1" x14ac:dyDescent="0.25">
      <c r="Y23564" s="501"/>
    </row>
    <row r="23565" spans="25:25" hidden="1" x14ac:dyDescent="0.25">
      <c r="Y23565" s="501"/>
    </row>
    <row r="23566" spans="25:25" hidden="1" x14ac:dyDescent="0.25">
      <c r="Y23566" s="501"/>
    </row>
    <row r="23567" spans="25:25" hidden="1" x14ac:dyDescent="0.25">
      <c r="Y23567" s="501"/>
    </row>
    <row r="23568" spans="25:25" hidden="1" x14ac:dyDescent="0.25">
      <c r="Y23568" s="501"/>
    </row>
    <row r="23569" spans="25:25" hidden="1" x14ac:dyDescent="0.25">
      <c r="Y23569" s="501"/>
    </row>
    <row r="23570" spans="25:25" hidden="1" x14ac:dyDescent="0.25">
      <c r="Y23570" s="501"/>
    </row>
    <row r="23571" spans="25:25" hidden="1" x14ac:dyDescent="0.25">
      <c r="Y23571" s="501"/>
    </row>
    <row r="23572" spans="25:25" hidden="1" x14ac:dyDescent="0.25">
      <c r="Y23572" s="501"/>
    </row>
    <row r="23573" spans="25:25" hidden="1" x14ac:dyDescent="0.25">
      <c r="Y23573" s="501"/>
    </row>
    <row r="23574" spans="25:25" hidden="1" x14ac:dyDescent="0.25">
      <c r="Y23574" s="501"/>
    </row>
    <row r="23575" spans="25:25" hidden="1" x14ac:dyDescent="0.25">
      <c r="Y23575" s="501"/>
    </row>
    <row r="23576" spans="25:25" hidden="1" x14ac:dyDescent="0.25">
      <c r="Y23576" s="501"/>
    </row>
    <row r="23577" spans="25:25" hidden="1" x14ac:dyDescent="0.25">
      <c r="Y23577" s="501"/>
    </row>
    <row r="23578" spans="25:25" hidden="1" x14ac:dyDescent="0.25">
      <c r="Y23578" s="501"/>
    </row>
    <row r="23579" spans="25:25" hidden="1" x14ac:dyDescent="0.25">
      <c r="Y23579" s="501"/>
    </row>
    <row r="23580" spans="25:25" hidden="1" x14ac:dyDescent="0.25">
      <c r="Y23580" s="501"/>
    </row>
    <row r="23581" spans="25:25" hidden="1" x14ac:dyDescent="0.25">
      <c r="Y23581" s="501"/>
    </row>
    <row r="23582" spans="25:25" hidden="1" x14ac:dyDescent="0.25">
      <c r="Y23582" s="501"/>
    </row>
    <row r="23583" spans="25:25" hidden="1" x14ac:dyDescent="0.25">
      <c r="Y23583" s="501"/>
    </row>
    <row r="23584" spans="25:25" hidden="1" x14ac:dyDescent="0.25">
      <c r="Y23584" s="501"/>
    </row>
    <row r="23585" spans="25:25" hidden="1" x14ac:dyDescent="0.25">
      <c r="Y23585" s="501"/>
    </row>
    <row r="23586" spans="25:25" hidden="1" x14ac:dyDescent="0.25">
      <c r="Y23586" s="501"/>
    </row>
    <row r="23587" spans="25:25" hidden="1" x14ac:dyDescent="0.25">
      <c r="Y23587" s="501"/>
    </row>
    <row r="23588" spans="25:25" hidden="1" x14ac:dyDescent="0.25">
      <c r="Y23588" s="501"/>
    </row>
    <row r="23589" spans="25:25" hidden="1" x14ac:dyDescent="0.25">
      <c r="Y23589" s="501"/>
    </row>
    <row r="23590" spans="25:25" hidden="1" x14ac:dyDescent="0.25">
      <c r="Y23590" s="501"/>
    </row>
    <row r="23591" spans="25:25" hidden="1" x14ac:dyDescent="0.25">
      <c r="Y23591" s="501"/>
    </row>
    <row r="23592" spans="25:25" hidden="1" x14ac:dyDescent="0.25">
      <c r="Y23592" s="501"/>
    </row>
    <row r="23593" spans="25:25" hidden="1" x14ac:dyDescent="0.25">
      <c r="Y23593" s="501"/>
    </row>
    <row r="23594" spans="25:25" hidden="1" x14ac:dyDescent="0.25">
      <c r="Y23594" s="501"/>
    </row>
    <row r="23595" spans="25:25" hidden="1" x14ac:dyDescent="0.25">
      <c r="Y23595" s="501"/>
    </row>
    <row r="23596" spans="25:25" hidden="1" x14ac:dyDescent="0.25">
      <c r="Y23596" s="501"/>
    </row>
    <row r="23597" spans="25:25" hidden="1" x14ac:dyDescent="0.25">
      <c r="Y23597" s="501"/>
    </row>
    <row r="23598" spans="25:25" hidden="1" x14ac:dyDescent="0.25">
      <c r="Y23598" s="501"/>
    </row>
    <row r="23599" spans="25:25" hidden="1" x14ac:dyDescent="0.25">
      <c r="Y23599" s="501"/>
    </row>
    <row r="23600" spans="25:25" hidden="1" x14ac:dyDescent="0.25">
      <c r="Y23600" s="501"/>
    </row>
    <row r="23601" spans="25:25" hidden="1" x14ac:dyDescent="0.25">
      <c r="Y23601" s="501"/>
    </row>
    <row r="23602" spans="25:25" hidden="1" x14ac:dyDescent="0.25">
      <c r="Y23602" s="501"/>
    </row>
    <row r="23603" spans="25:25" hidden="1" x14ac:dyDescent="0.25">
      <c r="Y23603" s="501"/>
    </row>
    <row r="23604" spans="25:25" hidden="1" x14ac:dyDescent="0.25">
      <c r="Y23604" s="501"/>
    </row>
    <row r="23605" spans="25:25" hidden="1" x14ac:dyDescent="0.25">
      <c r="Y23605" s="501"/>
    </row>
    <row r="23606" spans="25:25" hidden="1" x14ac:dyDescent="0.25">
      <c r="Y23606" s="501"/>
    </row>
    <row r="23607" spans="25:25" hidden="1" x14ac:dyDescent="0.25">
      <c r="Y23607" s="501"/>
    </row>
    <row r="23608" spans="25:25" hidden="1" x14ac:dyDescent="0.25">
      <c r="Y23608" s="501"/>
    </row>
    <row r="23609" spans="25:25" hidden="1" x14ac:dyDescent="0.25">
      <c r="Y23609" s="501"/>
    </row>
    <row r="23610" spans="25:25" hidden="1" x14ac:dyDescent="0.25">
      <c r="Y23610" s="501"/>
    </row>
    <row r="23611" spans="25:25" hidden="1" x14ac:dyDescent="0.25">
      <c r="Y23611" s="501"/>
    </row>
    <row r="23612" spans="25:25" hidden="1" x14ac:dyDescent="0.25">
      <c r="Y23612" s="501"/>
    </row>
    <row r="23613" spans="25:25" hidden="1" x14ac:dyDescent="0.25">
      <c r="Y23613" s="501"/>
    </row>
    <row r="23614" spans="25:25" hidden="1" x14ac:dyDescent="0.25">
      <c r="Y23614" s="501"/>
    </row>
    <row r="23615" spans="25:25" hidden="1" x14ac:dyDescent="0.25">
      <c r="Y23615" s="501"/>
    </row>
    <row r="23616" spans="25:25" hidden="1" x14ac:dyDescent="0.25">
      <c r="Y23616" s="501"/>
    </row>
    <row r="23617" spans="25:25" hidden="1" x14ac:dyDescent="0.25">
      <c r="Y23617" s="501"/>
    </row>
    <row r="23618" spans="25:25" hidden="1" x14ac:dyDescent="0.25">
      <c r="Y23618" s="501"/>
    </row>
    <row r="23619" spans="25:25" hidden="1" x14ac:dyDescent="0.25">
      <c r="Y23619" s="501"/>
    </row>
    <row r="23620" spans="25:25" hidden="1" x14ac:dyDescent="0.25">
      <c r="Y23620" s="501"/>
    </row>
    <row r="23621" spans="25:25" hidden="1" x14ac:dyDescent="0.25">
      <c r="Y23621" s="501"/>
    </row>
    <row r="23622" spans="25:25" hidden="1" x14ac:dyDescent="0.25">
      <c r="Y23622" s="501"/>
    </row>
    <row r="23623" spans="25:25" hidden="1" x14ac:dyDescent="0.25">
      <c r="Y23623" s="501"/>
    </row>
    <row r="23624" spans="25:25" hidden="1" x14ac:dyDescent="0.25">
      <c r="Y23624" s="501"/>
    </row>
    <row r="23625" spans="25:25" hidden="1" x14ac:dyDescent="0.25">
      <c r="Y23625" s="501"/>
    </row>
    <row r="23626" spans="25:25" hidden="1" x14ac:dyDescent="0.25">
      <c r="Y23626" s="501"/>
    </row>
    <row r="23627" spans="25:25" hidden="1" x14ac:dyDescent="0.25">
      <c r="Y23627" s="501"/>
    </row>
    <row r="23628" spans="25:25" hidden="1" x14ac:dyDescent="0.25">
      <c r="Y23628" s="501"/>
    </row>
    <row r="23629" spans="25:25" hidden="1" x14ac:dyDescent="0.25">
      <c r="Y23629" s="501"/>
    </row>
    <row r="23630" spans="25:25" hidden="1" x14ac:dyDescent="0.25">
      <c r="Y23630" s="501"/>
    </row>
    <row r="23631" spans="25:25" hidden="1" x14ac:dyDescent="0.25">
      <c r="Y23631" s="501"/>
    </row>
    <row r="23632" spans="25:25" hidden="1" x14ac:dyDescent="0.25">
      <c r="Y23632" s="501"/>
    </row>
    <row r="23633" spans="25:25" hidden="1" x14ac:dyDescent="0.25">
      <c r="Y23633" s="501"/>
    </row>
    <row r="23634" spans="25:25" hidden="1" x14ac:dyDescent="0.25">
      <c r="Y23634" s="501"/>
    </row>
    <row r="23635" spans="25:25" hidden="1" x14ac:dyDescent="0.25">
      <c r="Y23635" s="501"/>
    </row>
    <row r="23636" spans="25:25" hidden="1" x14ac:dyDescent="0.25">
      <c r="Y23636" s="501"/>
    </row>
    <row r="23637" spans="25:25" hidden="1" x14ac:dyDescent="0.25">
      <c r="Y23637" s="501"/>
    </row>
    <row r="23638" spans="25:25" hidden="1" x14ac:dyDescent="0.25">
      <c r="Y23638" s="501"/>
    </row>
    <row r="23639" spans="25:25" hidden="1" x14ac:dyDescent="0.25">
      <c r="Y23639" s="501"/>
    </row>
    <row r="23640" spans="25:25" hidden="1" x14ac:dyDescent="0.25">
      <c r="Y23640" s="501"/>
    </row>
    <row r="23641" spans="25:25" hidden="1" x14ac:dyDescent="0.25">
      <c r="Y23641" s="501"/>
    </row>
    <row r="23642" spans="25:25" hidden="1" x14ac:dyDescent="0.25">
      <c r="Y23642" s="501"/>
    </row>
    <row r="23643" spans="25:25" hidden="1" x14ac:dyDescent="0.25">
      <c r="Y23643" s="501"/>
    </row>
    <row r="23644" spans="25:25" hidden="1" x14ac:dyDescent="0.25">
      <c r="Y23644" s="501"/>
    </row>
    <row r="23645" spans="25:25" hidden="1" x14ac:dyDescent="0.25">
      <c r="Y23645" s="501"/>
    </row>
    <row r="23646" spans="25:25" hidden="1" x14ac:dyDescent="0.25">
      <c r="Y23646" s="501"/>
    </row>
    <row r="23647" spans="25:25" hidden="1" x14ac:dyDescent="0.25">
      <c r="Y23647" s="501"/>
    </row>
    <row r="23648" spans="25:25" hidden="1" x14ac:dyDescent="0.25">
      <c r="Y23648" s="501"/>
    </row>
    <row r="23649" spans="25:25" hidden="1" x14ac:dyDescent="0.25">
      <c r="Y23649" s="501"/>
    </row>
    <row r="23650" spans="25:25" hidden="1" x14ac:dyDescent="0.25">
      <c r="Y23650" s="501"/>
    </row>
    <row r="23651" spans="25:25" hidden="1" x14ac:dyDescent="0.25">
      <c r="Y23651" s="501"/>
    </row>
    <row r="23652" spans="25:25" hidden="1" x14ac:dyDescent="0.25">
      <c r="Y23652" s="501"/>
    </row>
    <row r="23653" spans="25:25" hidden="1" x14ac:dyDescent="0.25">
      <c r="Y23653" s="501"/>
    </row>
    <row r="23654" spans="25:25" hidden="1" x14ac:dyDescent="0.25">
      <c r="Y23654" s="501"/>
    </row>
    <row r="23655" spans="25:25" hidden="1" x14ac:dyDescent="0.25">
      <c r="Y23655" s="501"/>
    </row>
    <row r="23656" spans="25:25" hidden="1" x14ac:dyDescent="0.25">
      <c r="Y23656" s="501"/>
    </row>
    <row r="23657" spans="25:25" hidden="1" x14ac:dyDescent="0.25">
      <c r="Y23657" s="501"/>
    </row>
    <row r="23658" spans="25:25" hidden="1" x14ac:dyDescent="0.25">
      <c r="Y23658" s="501"/>
    </row>
    <row r="23659" spans="25:25" hidden="1" x14ac:dyDescent="0.25">
      <c r="Y23659" s="501"/>
    </row>
    <row r="23660" spans="25:25" hidden="1" x14ac:dyDescent="0.25">
      <c r="Y23660" s="501"/>
    </row>
    <row r="23661" spans="25:25" hidden="1" x14ac:dyDescent="0.25">
      <c r="Y23661" s="501"/>
    </row>
    <row r="23662" spans="25:25" hidden="1" x14ac:dyDescent="0.25">
      <c r="Y23662" s="501"/>
    </row>
    <row r="23663" spans="25:25" hidden="1" x14ac:dyDescent="0.25">
      <c r="Y23663" s="501"/>
    </row>
    <row r="23664" spans="25:25" hidden="1" x14ac:dyDescent="0.25">
      <c r="Y23664" s="501"/>
    </row>
    <row r="23665" spans="25:25" hidden="1" x14ac:dyDescent="0.25">
      <c r="Y23665" s="501"/>
    </row>
    <row r="23666" spans="25:25" hidden="1" x14ac:dyDescent="0.25">
      <c r="Y23666" s="501"/>
    </row>
    <row r="23667" spans="25:25" hidden="1" x14ac:dyDescent="0.25">
      <c r="Y23667" s="501"/>
    </row>
    <row r="23668" spans="25:25" hidden="1" x14ac:dyDescent="0.25">
      <c r="Y23668" s="501"/>
    </row>
    <row r="23669" spans="25:25" hidden="1" x14ac:dyDescent="0.25">
      <c r="Y23669" s="501"/>
    </row>
    <row r="23670" spans="25:25" hidden="1" x14ac:dyDescent="0.25">
      <c r="Y23670" s="501"/>
    </row>
    <row r="23671" spans="25:25" hidden="1" x14ac:dyDescent="0.25">
      <c r="Y23671" s="501"/>
    </row>
    <row r="23672" spans="25:25" hidden="1" x14ac:dyDescent="0.25">
      <c r="Y23672" s="501"/>
    </row>
    <row r="23673" spans="25:25" hidden="1" x14ac:dyDescent="0.25">
      <c r="Y23673" s="501"/>
    </row>
    <row r="23674" spans="25:25" hidden="1" x14ac:dyDescent="0.25">
      <c r="Y23674" s="501"/>
    </row>
    <row r="23675" spans="25:25" hidden="1" x14ac:dyDescent="0.25">
      <c r="Y23675" s="501"/>
    </row>
    <row r="23676" spans="25:25" hidden="1" x14ac:dyDescent="0.25">
      <c r="Y23676" s="501"/>
    </row>
    <row r="23677" spans="25:25" hidden="1" x14ac:dyDescent="0.25">
      <c r="Y23677" s="501"/>
    </row>
    <row r="23678" spans="25:25" hidden="1" x14ac:dyDescent="0.25">
      <c r="Y23678" s="501"/>
    </row>
    <row r="23679" spans="25:25" hidden="1" x14ac:dyDescent="0.25">
      <c r="Y23679" s="501"/>
    </row>
    <row r="23680" spans="25:25" hidden="1" x14ac:dyDescent="0.25">
      <c r="Y23680" s="501"/>
    </row>
    <row r="23681" spans="25:25" hidden="1" x14ac:dyDescent="0.25">
      <c r="Y23681" s="501"/>
    </row>
    <row r="23682" spans="25:25" hidden="1" x14ac:dyDescent="0.25">
      <c r="Y23682" s="501"/>
    </row>
    <row r="23683" spans="25:25" hidden="1" x14ac:dyDescent="0.25">
      <c r="Y23683" s="501"/>
    </row>
    <row r="23684" spans="25:25" hidden="1" x14ac:dyDescent="0.25">
      <c r="Y23684" s="501"/>
    </row>
    <row r="23685" spans="25:25" hidden="1" x14ac:dyDescent="0.25">
      <c r="Y23685" s="501"/>
    </row>
    <row r="23686" spans="25:25" hidden="1" x14ac:dyDescent="0.25">
      <c r="Y23686" s="501"/>
    </row>
    <row r="23687" spans="25:25" hidden="1" x14ac:dyDescent="0.25">
      <c r="Y23687" s="501"/>
    </row>
    <row r="23688" spans="25:25" hidden="1" x14ac:dyDescent="0.25">
      <c r="Y23688" s="501"/>
    </row>
    <row r="23689" spans="25:25" hidden="1" x14ac:dyDescent="0.25">
      <c r="Y23689" s="501"/>
    </row>
    <row r="23690" spans="25:25" hidden="1" x14ac:dyDescent="0.25">
      <c r="Y23690" s="501"/>
    </row>
    <row r="23691" spans="25:25" hidden="1" x14ac:dyDescent="0.25">
      <c r="Y23691" s="501"/>
    </row>
    <row r="23692" spans="25:25" hidden="1" x14ac:dyDescent="0.25">
      <c r="Y23692" s="501"/>
    </row>
    <row r="23693" spans="25:25" hidden="1" x14ac:dyDescent="0.25">
      <c r="Y23693" s="501"/>
    </row>
    <row r="23694" spans="25:25" hidden="1" x14ac:dyDescent="0.25">
      <c r="Y23694" s="501"/>
    </row>
    <row r="23695" spans="25:25" hidden="1" x14ac:dyDescent="0.25">
      <c r="Y23695" s="501"/>
    </row>
    <row r="23696" spans="25:25" hidden="1" x14ac:dyDescent="0.25">
      <c r="Y23696" s="501"/>
    </row>
    <row r="23697" spans="25:25" hidden="1" x14ac:dyDescent="0.25">
      <c r="Y23697" s="501"/>
    </row>
    <row r="23698" spans="25:25" hidden="1" x14ac:dyDescent="0.25">
      <c r="Y23698" s="501"/>
    </row>
    <row r="23699" spans="25:25" hidden="1" x14ac:dyDescent="0.25">
      <c r="Y23699" s="501"/>
    </row>
    <row r="23700" spans="25:25" hidden="1" x14ac:dyDescent="0.25">
      <c r="Y23700" s="501"/>
    </row>
    <row r="23701" spans="25:25" hidden="1" x14ac:dyDescent="0.25">
      <c r="Y23701" s="501"/>
    </row>
    <row r="23702" spans="25:25" hidden="1" x14ac:dyDescent="0.25">
      <c r="Y23702" s="501"/>
    </row>
    <row r="23703" spans="25:25" hidden="1" x14ac:dyDescent="0.25">
      <c r="Y23703" s="501"/>
    </row>
    <row r="23704" spans="25:25" hidden="1" x14ac:dyDescent="0.25">
      <c r="Y23704" s="501"/>
    </row>
    <row r="23705" spans="25:25" hidden="1" x14ac:dyDescent="0.25">
      <c r="Y23705" s="501"/>
    </row>
    <row r="23706" spans="25:25" hidden="1" x14ac:dyDescent="0.25">
      <c r="Y23706" s="501"/>
    </row>
    <row r="23707" spans="25:25" hidden="1" x14ac:dyDescent="0.25">
      <c r="Y23707" s="501"/>
    </row>
    <row r="23708" spans="25:25" hidden="1" x14ac:dyDescent="0.25">
      <c r="Y23708" s="501"/>
    </row>
    <row r="23709" spans="25:25" hidden="1" x14ac:dyDescent="0.25">
      <c r="Y23709" s="501"/>
    </row>
    <row r="23710" spans="25:25" hidden="1" x14ac:dyDescent="0.25">
      <c r="Y23710" s="501"/>
    </row>
    <row r="23711" spans="25:25" hidden="1" x14ac:dyDescent="0.25">
      <c r="Y23711" s="501"/>
    </row>
    <row r="23712" spans="25:25" hidden="1" x14ac:dyDescent="0.25">
      <c r="Y23712" s="501"/>
    </row>
    <row r="23713" spans="25:25" hidden="1" x14ac:dyDescent="0.25">
      <c r="Y23713" s="501"/>
    </row>
    <row r="23714" spans="25:25" hidden="1" x14ac:dyDescent="0.25">
      <c r="Y23714" s="501"/>
    </row>
    <row r="23715" spans="25:25" hidden="1" x14ac:dyDescent="0.25">
      <c r="Y23715" s="501"/>
    </row>
    <row r="23716" spans="25:25" hidden="1" x14ac:dyDescent="0.25">
      <c r="Y23716" s="501"/>
    </row>
    <row r="23717" spans="25:25" hidden="1" x14ac:dyDescent="0.25">
      <c r="Y23717" s="501"/>
    </row>
    <row r="23718" spans="25:25" hidden="1" x14ac:dyDescent="0.25">
      <c r="Y23718" s="501"/>
    </row>
    <row r="23719" spans="25:25" hidden="1" x14ac:dyDescent="0.25">
      <c r="Y23719" s="501"/>
    </row>
    <row r="23720" spans="25:25" hidden="1" x14ac:dyDescent="0.25">
      <c r="Y23720" s="501"/>
    </row>
    <row r="23721" spans="25:25" hidden="1" x14ac:dyDescent="0.25">
      <c r="Y23721" s="501"/>
    </row>
    <row r="23722" spans="25:25" hidden="1" x14ac:dyDescent="0.25">
      <c r="Y23722" s="501"/>
    </row>
    <row r="23723" spans="25:25" hidden="1" x14ac:dyDescent="0.25">
      <c r="Y23723" s="501"/>
    </row>
    <row r="23724" spans="25:25" hidden="1" x14ac:dyDescent="0.25">
      <c r="Y23724" s="501"/>
    </row>
    <row r="23725" spans="25:25" hidden="1" x14ac:dyDescent="0.25">
      <c r="Y23725" s="501"/>
    </row>
    <row r="23726" spans="25:25" hidden="1" x14ac:dyDescent="0.25">
      <c r="Y23726" s="501"/>
    </row>
    <row r="23727" spans="25:25" hidden="1" x14ac:dyDescent="0.25">
      <c r="Y23727" s="501"/>
    </row>
    <row r="23728" spans="25:25" hidden="1" x14ac:dyDescent="0.25">
      <c r="Y23728" s="501"/>
    </row>
    <row r="23729" spans="25:25" hidden="1" x14ac:dyDescent="0.25">
      <c r="Y23729" s="501"/>
    </row>
    <row r="23730" spans="25:25" hidden="1" x14ac:dyDescent="0.25">
      <c r="Y23730" s="501"/>
    </row>
    <row r="23731" spans="25:25" hidden="1" x14ac:dyDescent="0.25">
      <c r="Y23731" s="501"/>
    </row>
    <row r="23732" spans="25:25" hidden="1" x14ac:dyDescent="0.25">
      <c r="Y23732" s="501"/>
    </row>
    <row r="23733" spans="25:25" hidden="1" x14ac:dyDescent="0.25">
      <c r="Y23733" s="501"/>
    </row>
    <row r="23734" spans="25:25" hidden="1" x14ac:dyDescent="0.25">
      <c r="Y23734" s="501"/>
    </row>
    <row r="23735" spans="25:25" hidden="1" x14ac:dyDescent="0.25">
      <c r="Y23735" s="501"/>
    </row>
    <row r="23736" spans="25:25" hidden="1" x14ac:dyDescent="0.25">
      <c r="Y23736" s="501"/>
    </row>
    <row r="23737" spans="25:25" hidden="1" x14ac:dyDescent="0.25">
      <c r="Y23737" s="501"/>
    </row>
    <row r="23738" spans="25:25" hidden="1" x14ac:dyDescent="0.25">
      <c r="Y23738" s="501"/>
    </row>
    <row r="23739" spans="25:25" hidden="1" x14ac:dyDescent="0.25">
      <c r="Y23739" s="501"/>
    </row>
    <row r="23740" spans="25:25" hidden="1" x14ac:dyDescent="0.25">
      <c r="Y23740" s="501"/>
    </row>
    <row r="23741" spans="25:25" hidden="1" x14ac:dyDescent="0.25">
      <c r="Y23741" s="501"/>
    </row>
    <row r="23742" spans="25:25" hidden="1" x14ac:dyDescent="0.25">
      <c r="Y23742" s="501"/>
    </row>
    <row r="23743" spans="25:25" hidden="1" x14ac:dyDescent="0.25">
      <c r="Y23743" s="501"/>
    </row>
    <row r="23744" spans="25:25" hidden="1" x14ac:dyDescent="0.25">
      <c r="Y23744" s="501"/>
    </row>
    <row r="23745" spans="25:25" hidden="1" x14ac:dyDescent="0.25">
      <c r="Y23745" s="501"/>
    </row>
    <row r="23746" spans="25:25" hidden="1" x14ac:dyDescent="0.25">
      <c r="Y23746" s="501"/>
    </row>
    <row r="23747" spans="25:25" hidden="1" x14ac:dyDescent="0.25">
      <c r="Y23747" s="501"/>
    </row>
    <row r="23748" spans="25:25" hidden="1" x14ac:dyDescent="0.25">
      <c r="Y23748" s="501"/>
    </row>
    <row r="23749" spans="25:25" hidden="1" x14ac:dyDescent="0.25">
      <c r="Y23749" s="501"/>
    </row>
    <row r="23750" spans="25:25" hidden="1" x14ac:dyDescent="0.25">
      <c r="Y23750" s="501"/>
    </row>
    <row r="23751" spans="25:25" hidden="1" x14ac:dyDescent="0.25">
      <c r="Y23751" s="501"/>
    </row>
    <row r="23752" spans="25:25" hidden="1" x14ac:dyDescent="0.25">
      <c r="Y23752" s="501"/>
    </row>
    <row r="23753" spans="25:25" hidden="1" x14ac:dyDescent="0.25">
      <c r="Y23753" s="501"/>
    </row>
    <row r="23754" spans="25:25" hidden="1" x14ac:dyDescent="0.25">
      <c r="Y23754" s="501"/>
    </row>
    <row r="23755" spans="25:25" hidden="1" x14ac:dyDescent="0.25">
      <c r="Y23755" s="501"/>
    </row>
    <row r="23756" spans="25:25" hidden="1" x14ac:dyDescent="0.25">
      <c r="Y23756" s="501"/>
    </row>
    <row r="23757" spans="25:25" hidden="1" x14ac:dyDescent="0.25">
      <c r="Y23757" s="501"/>
    </row>
    <row r="23758" spans="25:25" hidden="1" x14ac:dyDescent="0.25">
      <c r="Y23758" s="501"/>
    </row>
    <row r="23759" spans="25:25" hidden="1" x14ac:dyDescent="0.25">
      <c r="Y23759" s="501"/>
    </row>
    <row r="23760" spans="25:25" hidden="1" x14ac:dyDescent="0.25">
      <c r="Y23760" s="501"/>
    </row>
    <row r="23761" spans="25:25" hidden="1" x14ac:dyDescent="0.25">
      <c r="Y23761" s="501"/>
    </row>
    <row r="23762" spans="25:25" hidden="1" x14ac:dyDescent="0.25">
      <c r="Y23762" s="501"/>
    </row>
    <row r="23763" spans="25:25" hidden="1" x14ac:dyDescent="0.25">
      <c r="Y23763" s="501"/>
    </row>
    <row r="23764" spans="25:25" hidden="1" x14ac:dyDescent="0.25">
      <c r="Y23764" s="501"/>
    </row>
    <row r="23765" spans="25:25" hidden="1" x14ac:dyDescent="0.25">
      <c r="Y23765" s="501"/>
    </row>
    <row r="23766" spans="25:25" hidden="1" x14ac:dyDescent="0.25">
      <c r="Y23766" s="501"/>
    </row>
    <row r="23767" spans="25:25" hidden="1" x14ac:dyDescent="0.25">
      <c r="Y23767" s="501"/>
    </row>
    <row r="23768" spans="25:25" hidden="1" x14ac:dyDescent="0.25">
      <c r="Y23768" s="501"/>
    </row>
    <row r="23769" spans="25:25" hidden="1" x14ac:dyDescent="0.25">
      <c r="Y23769" s="501"/>
    </row>
    <row r="23770" spans="25:25" hidden="1" x14ac:dyDescent="0.25">
      <c r="Y23770" s="501"/>
    </row>
    <row r="23771" spans="25:25" hidden="1" x14ac:dyDescent="0.25">
      <c r="Y23771" s="501"/>
    </row>
    <row r="23772" spans="25:25" hidden="1" x14ac:dyDescent="0.25">
      <c r="Y23772" s="501"/>
    </row>
    <row r="23773" spans="25:25" hidden="1" x14ac:dyDescent="0.25">
      <c r="Y23773" s="501"/>
    </row>
    <row r="23774" spans="25:25" hidden="1" x14ac:dyDescent="0.25">
      <c r="Y23774" s="501"/>
    </row>
    <row r="23775" spans="25:25" hidden="1" x14ac:dyDescent="0.25">
      <c r="Y23775" s="501"/>
    </row>
    <row r="23776" spans="25:25" hidden="1" x14ac:dyDescent="0.25">
      <c r="Y23776" s="501"/>
    </row>
    <row r="23777" spans="25:25" hidden="1" x14ac:dyDescent="0.25">
      <c r="Y23777" s="501"/>
    </row>
    <row r="23778" spans="25:25" hidden="1" x14ac:dyDescent="0.25">
      <c r="Y23778" s="501"/>
    </row>
    <row r="23779" spans="25:25" hidden="1" x14ac:dyDescent="0.25">
      <c r="Y23779" s="501"/>
    </row>
    <row r="23780" spans="25:25" hidden="1" x14ac:dyDescent="0.25">
      <c r="Y23780" s="501"/>
    </row>
    <row r="23781" spans="25:25" hidden="1" x14ac:dyDescent="0.25">
      <c r="Y23781" s="501"/>
    </row>
    <row r="23782" spans="25:25" hidden="1" x14ac:dyDescent="0.25">
      <c r="Y23782" s="501"/>
    </row>
    <row r="23783" spans="25:25" hidden="1" x14ac:dyDescent="0.25">
      <c r="Y23783" s="501"/>
    </row>
    <row r="23784" spans="25:25" hidden="1" x14ac:dyDescent="0.25">
      <c r="Y23784" s="501"/>
    </row>
    <row r="23785" spans="25:25" hidden="1" x14ac:dyDescent="0.25">
      <c r="Y23785" s="501"/>
    </row>
    <row r="23786" spans="25:25" hidden="1" x14ac:dyDescent="0.25">
      <c r="Y23786" s="501"/>
    </row>
    <row r="23787" spans="25:25" hidden="1" x14ac:dyDescent="0.25">
      <c r="Y23787" s="501"/>
    </row>
    <row r="23788" spans="25:25" hidden="1" x14ac:dyDescent="0.25">
      <c r="Y23788" s="501"/>
    </row>
    <row r="23789" spans="25:25" hidden="1" x14ac:dyDescent="0.25">
      <c r="Y23789" s="501"/>
    </row>
    <row r="23790" spans="25:25" hidden="1" x14ac:dyDescent="0.25">
      <c r="Y23790" s="501"/>
    </row>
    <row r="23791" spans="25:25" hidden="1" x14ac:dyDescent="0.25">
      <c r="Y23791" s="501"/>
    </row>
    <row r="23792" spans="25:25" hidden="1" x14ac:dyDescent="0.25">
      <c r="Y23792" s="501"/>
    </row>
    <row r="23793" spans="25:25" hidden="1" x14ac:dyDescent="0.25">
      <c r="Y23793" s="501"/>
    </row>
    <row r="23794" spans="25:25" hidden="1" x14ac:dyDescent="0.25">
      <c r="Y23794" s="501"/>
    </row>
    <row r="23795" spans="25:25" hidden="1" x14ac:dyDescent="0.25">
      <c r="Y23795" s="501"/>
    </row>
    <row r="23796" spans="25:25" hidden="1" x14ac:dyDescent="0.25">
      <c r="Y23796" s="501"/>
    </row>
    <row r="23797" spans="25:25" hidden="1" x14ac:dyDescent="0.25">
      <c r="Y23797" s="501"/>
    </row>
    <row r="23798" spans="25:25" hidden="1" x14ac:dyDescent="0.25">
      <c r="Y23798" s="501"/>
    </row>
    <row r="23799" spans="25:25" hidden="1" x14ac:dyDescent="0.25">
      <c r="Y23799" s="501"/>
    </row>
    <row r="23800" spans="25:25" hidden="1" x14ac:dyDescent="0.25">
      <c r="Y23800" s="501"/>
    </row>
    <row r="23801" spans="25:25" hidden="1" x14ac:dyDescent="0.25">
      <c r="Y23801" s="501"/>
    </row>
    <row r="23802" spans="25:25" hidden="1" x14ac:dyDescent="0.25">
      <c r="Y23802" s="501"/>
    </row>
    <row r="23803" spans="25:25" hidden="1" x14ac:dyDescent="0.25">
      <c r="Y23803" s="501"/>
    </row>
    <row r="23804" spans="25:25" hidden="1" x14ac:dyDescent="0.25">
      <c r="Y23804" s="501"/>
    </row>
    <row r="23805" spans="25:25" hidden="1" x14ac:dyDescent="0.25">
      <c r="Y23805" s="501"/>
    </row>
    <row r="23806" spans="25:25" hidden="1" x14ac:dyDescent="0.25">
      <c r="Y23806" s="501"/>
    </row>
    <row r="23807" spans="25:25" hidden="1" x14ac:dyDescent="0.25">
      <c r="Y23807" s="501"/>
    </row>
    <row r="23808" spans="25:25" hidden="1" x14ac:dyDescent="0.25">
      <c r="Y23808" s="501"/>
    </row>
    <row r="23809" spans="25:25" hidden="1" x14ac:dyDescent="0.25">
      <c r="Y23809" s="501"/>
    </row>
    <row r="23810" spans="25:25" hidden="1" x14ac:dyDescent="0.25">
      <c r="Y23810" s="501"/>
    </row>
    <row r="23811" spans="25:25" hidden="1" x14ac:dyDescent="0.25">
      <c r="Y23811" s="501"/>
    </row>
    <row r="23812" spans="25:25" hidden="1" x14ac:dyDescent="0.25">
      <c r="Y23812" s="501"/>
    </row>
    <row r="23813" spans="25:25" hidden="1" x14ac:dyDescent="0.25">
      <c r="Y23813" s="501"/>
    </row>
    <row r="23814" spans="25:25" hidden="1" x14ac:dyDescent="0.25">
      <c r="Y23814" s="501"/>
    </row>
    <row r="23815" spans="25:25" hidden="1" x14ac:dyDescent="0.25">
      <c r="Y23815" s="501"/>
    </row>
    <row r="23816" spans="25:25" hidden="1" x14ac:dyDescent="0.25">
      <c r="Y23816" s="501"/>
    </row>
    <row r="23817" spans="25:25" hidden="1" x14ac:dyDescent="0.25">
      <c r="Y23817" s="501"/>
    </row>
    <row r="23818" spans="25:25" hidden="1" x14ac:dyDescent="0.25">
      <c r="Y23818" s="501"/>
    </row>
    <row r="23819" spans="25:25" hidden="1" x14ac:dyDescent="0.25">
      <c r="Y23819" s="501"/>
    </row>
    <row r="23820" spans="25:25" hidden="1" x14ac:dyDescent="0.25">
      <c r="Y23820" s="501"/>
    </row>
    <row r="23821" spans="25:25" hidden="1" x14ac:dyDescent="0.25">
      <c r="Y23821" s="501"/>
    </row>
    <row r="23822" spans="25:25" hidden="1" x14ac:dyDescent="0.25">
      <c r="Y23822" s="501"/>
    </row>
    <row r="23823" spans="25:25" hidden="1" x14ac:dyDescent="0.25">
      <c r="Y23823" s="501"/>
    </row>
    <row r="23824" spans="25:25" hidden="1" x14ac:dyDescent="0.25">
      <c r="Y23824" s="501"/>
    </row>
    <row r="23825" spans="25:25" hidden="1" x14ac:dyDescent="0.25">
      <c r="Y23825" s="501"/>
    </row>
    <row r="23826" spans="25:25" hidden="1" x14ac:dyDescent="0.25">
      <c r="Y23826" s="501"/>
    </row>
    <row r="23827" spans="25:25" hidden="1" x14ac:dyDescent="0.25">
      <c r="Y23827" s="501"/>
    </row>
    <row r="23828" spans="25:25" hidden="1" x14ac:dyDescent="0.25">
      <c r="Y23828" s="501"/>
    </row>
    <row r="23829" spans="25:25" hidden="1" x14ac:dyDescent="0.25">
      <c r="Y23829" s="501"/>
    </row>
    <row r="23830" spans="25:25" hidden="1" x14ac:dyDescent="0.25">
      <c r="Y23830" s="501"/>
    </row>
    <row r="23831" spans="25:25" hidden="1" x14ac:dyDescent="0.25">
      <c r="Y23831" s="501"/>
    </row>
    <row r="23832" spans="25:25" hidden="1" x14ac:dyDescent="0.25">
      <c r="Y23832" s="501"/>
    </row>
    <row r="23833" spans="25:25" hidden="1" x14ac:dyDescent="0.25">
      <c r="Y23833" s="501"/>
    </row>
    <row r="23834" spans="25:25" hidden="1" x14ac:dyDescent="0.25">
      <c r="Y23834" s="501"/>
    </row>
    <row r="23835" spans="25:25" hidden="1" x14ac:dyDescent="0.25">
      <c r="Y23835" s="501"/>
    </row>
    <row r="23836" spans="25:25" hidden="1" x14ac:dyDescent="0.25">
      <c r="Y23836" s="501"/>
    </row>
    <row r="23837" spans="25:25" hidden="1" x14ac:dyDescent="0.25">
      <c r="Y23837" s="501"/>
    </row>
    <row r="23838" spans="25:25" hidden="1" x14ac:dyDescent="0.25">
      <c r="Y23838" s="501"/>
    </row>
    <row r="23839" spans="25:25" hidden="1" x14ac:dyDescent="0.25">
      <c r="Y23839" s="501"/>
    </row>
    <row r="23840" spans="25:25" hidden="1" x14ac:dyDescent="0.25">
      <c r="Y23840" s="501"/>
    </row>
    <row r="23841" spans="25:25" hidden="1" x14ac:dyDescent="0.25">
      <c r="Y23841" s="501"/>
    </row>
    <row r="23842" spans="25:25" hidden="1" x14ac:dyDescent="0.25">
      <c r="Y23842" s="501"/>
    </row>
    <row r="23843" spans="25:25" hidden="1" x14ac:dyDescent="0.25">
      <c r="Y23843" s="501"/>
    </row>
    <row r="23844" spans="25:25" hidden="1" x14ac:dyDescent="0.25">
      <c r="Y23844" s="501"/>
    </row>
    <row r="23845" spans="25:25" hidden="1" x14ac:dyDescent="0.25">
      <c r="Y23845" s="501"/>
    </row>
    <row r="23846" spans="25:25" hidden="1" x14ac:dyDescent="0.25">
      <c r="Y23846" s="501"/>
    </row>
    <row r="23847" spans="25:25" hidden="1" x14ac:dyDescent="0.25">
      <c r="Y23847" s="501"/>
    </row>
    <row r="23848" spans="25:25" hidden="1" x14ac:dyDescent="0.25">
      <c r="Y23848" s="501"/>
    </row>
    <row r="23849" spans="25:25" hidden="1" x14ac:dyDescent="0.25">
      <c r="Y23849" s="501"/>
    </row>
    <row r="23850" spans="25:25" hidden="1" x14ac:dyDescent="0.25">
      <c r="Y23850" s="501"/>
    </row>
    <row r="23851" spans="25:25" hidden="1" x14ac:dyDescent="0.25">
      <c r="Y23851" s="501"/>
    </row>
    <row r="23852" spans="25:25" hidden="1" x14ac:dyDescent="0.25">
      <c r="Y23852" s="501"/>
    </row>
    <row r="23853" spans="25:25" hidden="1" x14ac:dyDescent="0.25">
      <c r="Y23853" s="501"/>
    </row>
    <row r="23854" spans="25:25" hidden="1" x14ac:dyDescent="0.25">
      <c r="Y23854" s="501"/>
    </row>
    <row r="23855" spans="25:25" hidden="1" x14ac:dyDescent="0.25">
      <c r="Y23855" s="501"/>
    </row>
    <row r="23856" spans="25:25" hidden="1" x14ac:dyDescent="0.25">
      <c r="Y23856" s="501"/>
    </row>
    <row r="23857" spans="25:25" hidden="1" x14ac:dyDescent="0.25">
      <c r="Y23857" s="501"/>
    </row>
    <row r="23858" spans="25:25" hidden="1" x14ac:dyDescent="0.25">
      <c r="Y23858" s="501"/>
    </row>
    <row r="23859" spans="25:25" hidden="1" x14ac:dyDescent="0.25">
      <c r="Y23859" s="501"/>
    </row>
    <row r="23860" spans="25:25" hidden="1" x14ac:dyDescent="0.25">
      <c r="Y23860" s="501"/>
    </row>
    <row r="23861" spans="25:25" hidden="1" x14ac:dyDescent="0.25">
      <c r="Y23861" s="501"/>
    </row>
    <row r="23862" spans="25:25" hidden="1" x14ac:dyDescent="0.25">
      <c r="Y23862" s="501"/>
    </row>
    <row r="23863" spans="25:25" hidden="1" x14ac:dyDescent="0.25">
      <c r="Y23863" s="501"/>
    </row>
    <row r="23864" spans="25:25" hidden="1" x14ac:dyDescent="0.25">
      <c r="Y23864" s="501"/>
    </row>
    <row r="23865" spans="25:25" hidden="1" x14ac:dyDescent="0.25">
      <c r="Y23865" s="501"/>
    </row>
    <row r="23866" spans="25:25" hidden="1" x14ac:dyDescent="0.25">
      <c r="Y23866" s="501"/>
    </row>
    <row r="23867" spans="25:25" hidden="1" x14ac:dyDescent="0.25">
      <c r="Y23867" s="501"/>
    </row>
    <row r="23868" spans="25:25" hidden="1" x14ac:dyDescent="0.25">
      <c r="Y23868" s="501"/>
    </row>
    <row r="23869" spans="25:25" hidden="1" x14ac:dyDescent="0.25">
      <c r="Y23869" s="501"/>
    </row>
    <row r="23870" spans="25:25" hidden="1" x14ac:dyDescent="0.25">
      <c r="Y23870" s="501"/>
    </row>
    <row r="23871" spans="25:25" hidden="1" x14ac:dyDescent="0.25">
      <c r="Y23871" s="501"/>
    </row>
    <row r="23872" spans="25:25" hidden="1" x14ac:dyDescent="0.25">
      <c r="Y23872" s="501"/>
    </row>
    <row r="23873" spans="25:25" hidden="1" x14ac:dyDescent="0.25">
      <c r="Y23873" s="501"/>
    </row>
    <row r="23874" spans="25:25" hidden="1" x14ac:dyDescent="0.25">
      <c r="Y23874" s="501"/>
    </row>
    <row r="23875" spans="25:25" hidden="1" x14ac:dyDescent="0.25">
      <c r="Y23875" s="501"/>
    </row>
    <row r="23876" spans="25:25" hidden="1" x14ac:dyDescent="0.25">
      <c r="Y23876" s="501"/>
    </row>
    <row r="23877" spans="25:25" hidden="1" x14ac:dyDescent="0.25">
      <c r="Y23877" s="501"/>
    </row>
    <row r="23878" spans="25:25" hidden="1" x14ac:dyDescent="0.25">
      <c r="Y23878" s="501"/>
    </row>
    <row r="23879" spans="25:25" hidden="1" x14ac:dyDescent="0.25">
      <c r="Y23879" s="501"/>
    </row>
    <row r="23880" spans="25:25" hidden="1" x14ac:dyDescent="0.25">
      <c r="Y23880" s="501"/>
    </row>
    <row r="23881" spans="25:25" hidden="1" x14ac:dyDescent="0.25">
      <c r="Y23881" s="501"/>
    </row>
    <row r="23882" spans="25:25" hidden="1" x14ac:dyDescent="0.25">
      <c r="Y23882" s="501"/>
    </row>
    <row r="23883" spans="25:25" hidden="1" x14ac:dyDescent="0.25">
      <c r="Y23883" s="501"/>
    </row>
    <row r="23884" spans="25:25" hidden="1" x14ac:dyDescent="0.25">
      <c r="Y23884" s="501"/>
    </row>
    <row r="23885" spans="25:25" hidden="1" x14ac:dyDescent="0.25">
      <c r="Y23885" s="501"/>
    </row>
    <row r="23886" spans="25:25" hidden="1" x14ac:dyDescent="0.25">
      <c r="Y23886" s="501"/>
    </row>
    <row r="23887" spans="25:25" hidden="1" x14ac:dyDescent="0.25">
      <c r="Y23887" s="501"/>
    </row>
    <row r="23888" spans="25:25" hidden="1" x14ac:dyDescent="0.25">
      <c r="Y23888" s="501"/>
    </row>
    <row r="23889" spans="25:25" hidden="1" x14ac:dyDescent="0.25">
      <c r="Y23889" s="501"/>
    </row>
    <row r="23890" spans="25:25" hidden="1" x14ac:dyDescent="0.25">
      <c r="Y23890" s="501"/>
    </row>
    <row r="23891" spans="25:25" hidden="1" x14ac:dyDescent="0.25">
      <c r="Y23891" s="501"/>
    </row>
    <row r="23892" spans="25:25" hidden="1" x14ac:dyDescent="0.25">
      <c r="Y23892" s="501"/>
    </row>
    <row r="23893" spans="25:25" hidden="1" x14ac:dyDescent="0.25">
      <c r="Y23893" s="501"/>
    </row>
    <row r="23894" spans="25:25" hidden="1" x14ac:dyDescent="0.25">
      <c r="Y23894" s="501"/>
    </row>
    <row r="23895" spans="25:25" hidden="1" x14ac:dyDescent="0.25">
      <c r="Y23895" s="501"/>
    </row>
    <row r="23896" spans="25:25" hidden="1" x14ac:dyDescent="0.25">
      <c r="Y23896" s="501"/>
    </row>
    <row r="23897" spans="25:25" hidden="1" x14ac:dyDescent="0.25">
      <c r="Y23897" s="501"/>
    </row>
    <row r="23898" spans="25:25" hidden="1" x14ac:dyDescent="0.25">
      <c r="Y23898" s="501"/>
    </row>
    <row r="23899" spans="25:25" hidden="1" x14ac:dyDescent="0.25">
      <c r="Y23899" s="501"/>
    </row>
    <row r="23900" spans="25:25" hidden="1" x14ac:dyDescent="0.25">
      <c r="Y23900" s="501"/>
    </row>
    <row r="23901" spans="25:25" hidden="1" x14ac:dyDescent="0.25">
      <c r="Y23901" s="501"/>
    </row>
    <row r="23902" spans="25:25" hidden="1" x14ac:dyDescent="0.25">
      <c r="Y23902" s="501"/>
    </row>
    <row r="23903" spans="25:25" hidden="1" x14ac:dyDescent="0.25">
      <c r="Y23903" s="501"/>
    </row>
    <row r="23904" spans="25:25" hidden="1" x14ac:dyDescent="0.25">
      <c r="Y23904" s="501"/>
    </row>
    <row r="23905" spans="25:25" hidden="1" x14ac:dyDescent="0.25">
      <c r="Y23905" s="501"/>
    </row>
    <row r="23906" spans="25:25" hidden="1" x14ac:dyDescent="0.25">
      <c r="Y23906" s="501"/>
    </row>
    <row r="23907" spans="25:25" hidden="1" x14ac:dyDescent="0.25">
      <c r="Y23907" s="501"/>
    </row>
    <row r="23908" spans="25:25" hidden="1" x14ac:dyDescent="0.25">
      <c r="Y23908" s="501"/>
    </row>
    <row r="23909" spans="25:25" hidden="1" x14ac:dyDescent="0.25">
      <c r="Y23909" s="501"/>
    </row>
    <row r="23910" spans="25:25" hidden="1" x14ac:dyDescent="0.25">
      <c r="Y23910" s="501"/>
    </row>
    <row r="23911" spans="25:25" hidden="1" x14ac:dyDescent="0.25">
      <c r="Y23911" s="501"/>
    </row>
    <row r="23912" spans="25:25" hidden="1" x14ac:dyDescent="0.25">
      <c r="Y23912" s="501"/>
    </row>
    <row r="23913" spans="25:25" hidden="1" x14ac:dyDescent="0.25">
      <c r="Y23913" s="501"/>
    </row>
    <row r="23914" spans="25:25" hidden="1" x14ac:dyDescent="0.25">
      <c r="Y23914" s="501"/>
    </row>
    <row r="23915" spans="25:25" hidden="1" x14ac:dyDescent="0.25">
      <c r="Y23915" s="501"/>
    </row>
    <row r="23916" spans="25:25" hidden="1" x14ac:dyDescent="0.25">
      <c r="Y23916" s="501"/>
    </row>
    <row r="23917" spans="25:25" hidden="1" x14ac:dyDescent="0.25">
      <c r="Y23917" s="501"/>
    </row>
    <row r="23918" spans="25:25" hidden="1" x14ac:dyDescent="0.25">
      <c r="Y23918" s="501"/>
    </row>
    <row r="23919" spans="25:25" hidden="1" x14ac:dyDescent="0.25">
      <c r="Y23919" s="501"/>
    </row>
    <row r="23920" spans="25:25" hidden="1" x14ac:dyDescent="0.25">
      <c r="Y23920" s="501"/>
    </row>
    <row r="23921" spans="25:25" hidden="1" x14ac:dyDescent="0.25">
      <c r="Y23921" s="501"/>
    </row>
    <row r="23922" spans="25:25" hidden="1" x14ac:dyDescent="0.25">
      <c r="Y23922" s="501"/>
    </row>
    <row r="23923" spans="25:25" hidden="1" x14ac:dyDescent="0.25">
      <c r="Y23923" s="501"/>
    </row>
    <row r="23924" spans="25:25" hidden="1" x14ac:dyDescent="0.25">
      <c r="Y23924" s="501"/>
    </row>
    <row r="23925" spans="25:25" hidden="1" x14ac:dyDescent="0.25">
      <c r="Y23925" s="501"/>
    </row>
    <row r="23926" spans="25:25" hidden="1" x14ac:dyDescent="0.25">
      <c r="Y23926" s="501"/>
    </row>
    <row r="23927" spans="25:25" hidden="1" x14ac:dyDescent="0.25">
      <c r="Y23927" s="501"/>
    </row>
    <row r="23928" spans="25:25" hidden="1" x14ac:dyDescent="0.25">
      <c r="Y23928" s="501"/>
    </row>
    <row r="23929" spans="25:25" hidden="1" x14ac:dyDescent="0.25">
      <c r="Y23929" s="501"/>
    </row>
    <row r="23930" spans="25:25" hidden="1" x14ac:dyDescent="0.25">
      <c r="Y23930" s="501"/>
    </row>
    <row r="23931" spans="25:25" hidden="1" x14ac:dyDescent="0.25">
      <c r="Y23931" s="501"/>
    </row>
    <row r="23932" spans="25:25" hidden="1" x14ac:dyDescent="0.25">
      <c r="Y23932" s="501"/>
    </row>
    <row r="23933" spans="25:25" hidden="1" x14ac:dyDescent="0.25">
      <c r="Y23933" s="501"/>
    </row>
    <row r="23934" spans="25:25" hidden="1" x14ac:dyDescent="0.25">
      <c r="Y23934" s="501"/>
    </row>
    <row r="23935" spans="25:25" hidden="1" x14ac:dyDescent="0.25">
      <c r="Y23935" s="501"/>
    </row>
    <row r="23936" spans="25:25" hidden="1" x14ac:dyDescent="0.25">
      <c r="Y23936" s="501"/>
    </row>
    <row r="23937" spans="25:25" hidden="1" x14ac:dyDescent="0.25">
      <c r="Y23937" s="501"/>
    </row>
    <row r="23938" spans="25:25" hidden="1" x14ac:dyDescent="0.25">
      <c r="Y23938" s="501"/>
    </row>
    <row r="23939" spans="25:25" hidden="1" x14ac:dyDescent="0.25">
      <c r="Y23939" s="501"/>
    </row>
    <row r="23940" spans="25:25" hidden="1" x14ac:dyDescent="0.25">
      <c r="Y23940" s="501"/>
    </row>
    <row r="23941" spans="25:25" hidden="1" x14ac:dyDescent="0.25">
      <c r="Y23941" s="501"/>
    </row>
    <row r="23942" spans="25:25" hidden="1" x14ac:dyDescent="0.25">
      <c r="Y23942" s="501"/>
    </row>
    <row r="23943" spans="25:25" hidden="1" x14ac:dyDescent="0.25">
      <c r="Y23943" s="501"/>
    </row>
    <row r="23944" spans="25:25" hidden="1" x14ac:dyDescent="0.25">
      <c r="Y23944" s="501"/>
    </row>
    <row r="23945" spans="25:25" hidden="1" x14ac:dyDescent="0.25">
      <c r="Y23945" s="501"/>
    </row>
    <row r="23946" spans="25:25" hidden="1" x14ac:dyDescent="0.25">
      <c r="Y23946" s="501"/>
    </row>
    <row r="23947" spans="25:25" hidden="1" x14ac:dyDescent="0.25">
      <c r="Y23947" s="501"/>
    </row>
    <row r="23948" spans="25:25" hidden="1" x14ac:dyDescent="0.25">
      <c r="Y23948" s="501"/>
    </row>
    <row r="23949" spans="25:25" hidden="1" x14ac:dyDescent="0.25">
      <c r="Y23949" s="501"/>
    </row>
    <row r="23950" spans="25:25" hidden="1" x14ac:dyDescent="0.25">
      <c r="Y23950" s="501"/>
    </row>
    <row r="23951" spans="25:25" hidden="1" x14ac:dyDescent="0.25">
      <c r="Y23951" s="501"/>
    </row>
    <row r="23952" spans="25:25" hidden="1" x14ac:dyDescent="0.25">
      <c r="Y23952" s="501"/>
    </row>
    <row r="23953" spans="25:25" hidden="1" x14ac:dyDescent="0.25">
      <c r="Y23953" s="501"/>
    </row>
    <row r="23954" spans="25:25" hidden="1" x14ac:dyDescent="0.25">
      <c r="Y23954" s="501"/>
    </row>
    <row r="23955" spans="25:25" hidden="1" x14ac:dyDescent="0.25">
      <c r="Y23955" s="501"/>
    </row>
    <row r="23956" spans="25:25" hidden="1" x14ac:dyDescent="0.25">
      <c r="Y23956" s="501"/>
    </row>
    <row r="23957" spans="25:25" hidden="1" x14ac:dyDescent="0.25">
      <c r="Y23957" s="501"/>
    </row>
    <row r="23958" spans="25:25" hidden="1" x14ac:dyDescent="0.25">
      <c r="Y23958" s="501"/>
    </row>
    <row r="23959" spans="25:25" hidden="1" x14ac:dyDescent="0.25">
      <c r="Y23959" s="501"/>
    </row>
    <row r="23960" spans="25:25" hidden="1" x14ac:dyDescent="0.25">
      <c r="Y23960" s="501"/>
    </row>
    <row r="23961" spans="25:25" hidden="1" x14ac:dyDescent="0.25">
      <c r="Y23961" s="501"/>
    </row>
    <row r="23962" spans="25:25" hidden="1" x14ac:dyDescent="0.25">
      <c r="Y23962" s="501"/>
    </row>
    <row r="23963" spans="25:25" hidden="1" x14ac:dyDescent="0.25">
      <c r="Y23963" s="501"/>
    </row>
    <row r="23964" spans="25:25" hidden="1" x14ac:dyDescent="0.25">
      <c r="Y23964" s="501"/>
    </row>
    <row r="23965" spans="25:25" hidden="1" x14ac:dyDescent="0.25">
      <c r="Y23965" s="501"/>
    </row>
    <row r="23966" spans="25:25" hidden="1" x14ac:dyDescent="0.25">
      <c r="Y23966" s="501"/>
    </row>
    <row r="23967" spans="25:25" hidden="1" x14ac:dyDescent="0.25">
      <c r="Y23967" s="501"/>
    </row>
    <row r="23968" spans="25:25" hidden="1" x14ac:dyDescent="0.25">
      <c r="Y23968" s="501"/>
    </row>
    <row r="23969" spans="25:25" hidden="1" x14ac:dyDescent="0.25">
      <c r="Y23969" s="501"/>
    </row>
    <row r="23970" spans="25:25" hidden="1" x14ac:dyDescent="0.25">
      <c r="Y23970" s="501"/>
    </row>
    <row r="23971" spans="25:25" hidden="1" x14ac:dyDescent="0.25">
      <c r="Y23971" s="501"/>
    </row>
    <row r="23972" spans="25:25" hidden="1" x14ac:dyDescent="0.25">
      <c r="Y23972" s="501"/>
    </row>
    <row r="23973" spans="25:25" hidden="1" x14ac:dyDescent="0.25">
      <c r="Y23973" s="501"/>
    </row>
    <row r="23974" spans="25:25" hidden="1" x14ac:dyDescent="0.25">
      <c r="Y23974" s="501"/>
    </row>
    <row r="23975" spans="25:25" hidden="1" x14ac:dyDescent="0.25">
      <c r="Y23975" s="501"/>
    </row>
    <row r="23976" spans="25:25" hidden="1" x14ac:dyDescent="0.25">
      <c r="Y23976" s="501"/>
    </row>
    <row r="23977" spans="25:25" hidden="1" x14ac:dyDescent="0.25">
      <c r="Y23977" s="501"/>
    </row>
    <row r="23978" spans="25:25" hidden="1" x14ac:dyDescent="0.25">
      <c r="Y23978" s="501"/>
    </row>
    <row r="23979" spans="25:25" hidden="1" x14ac:dyDescent="0.25">
      <c r="Y23979" s="501"/>
    </row>
    <row r="23980" spans="25:25" hidden="1" x14ac:dyDescent="0.25">
      <c r="Y23980" s="501"/>
    </row>
    <row r="23981" spans="25:25" hidden="1" x14ac:dyDescent="0.25">
      <c r="Y23981" s="501"/>
    </row>
    <row r="23982" spans="25:25" hidden="1" x14ac:dyDescent="0.25">
      <c r="Y23982" s="501"/>
    </row>
    <row r="23983" spans="25:25" hidden="1" x14ac:dyDescent="0.25">
      <c r="Y23983" s="501"/>
    </row>
    <row r="23984" spans="25:25" hidden="1" x14ac:dyDescent="0.25">
      <c r="Y23984" s="501"/>
    </row>
    <row r="23985" spans="25:25" hidden="1" x14ac:dyDescent="0.25">
      <c r="Y23985" s="501"/>
    </row>
    <row r="23986" spans="25:25" hidden="1" x14ac:dyDescent="0.25">
      <c r="Y23986" s="501"/>
    </row>
    <row r="23987" spans="25:25" hidden="1" x14ac:dyDescent="0.25">
      <c r="Y23987" s="501"/>
    </row>
    <row r="23988" spans="25:25" hidden="1" x14ac:dyDescent="0.25">
      <c r="Y23988" s="501"/>
    </row>
    <row r="23989" spans="25:25" hidden="1" x14ac:dyDescent="0.25">
      <c r="Y23989" s="501"/>
    </row>
    <row r="23990" spans="25:25" hidden="1" x14ac:dyDescent="0.25">
      <c r="Y23990" s="501"/>
    </row>
    <row r="23991" spans="25:25" hidden="1" x14ac:dyDescent="0.25">
      <c r="Y23991" s="501"/>
    </row>
    <row r="23992" spans="25:25" hidden="1" x14ac:dyDescent="0.25">
      <c r="Y23992" s="501"/>
    </row>
    <row r="23993" spans="25:25" hidden="1" x14ac:dyDescent="0.25">
      <c r="Y23993" s="501"/>
    </row>
    <row r="23994" spans="25:25" hidden="1" x14ac:dyDescent="0.25">
      <c r="Y23994" s="501"/>
    </row>
    <row r="23995" spans="25:25" hidden="1" x14ac:dyDescent="0.25">
      <c r="Y23995" s="501"/>
    </row>
    <row r="23996" spans="25:25" hidden="1" x14ac:dyDescent="0.25">
      <c r="Y23996" s="501"/>
    </row>
    <row r="23997" spans="25:25" hidden="1" x14ac:dyDescent="0.25">
      <c r="Y23997" s="501"/>
    </row>
    <row r="23998" spans="25:25" hidden="1" x14ac:dyDescent="0.25">
      <c r="Y23998" s="501"/>
    </row>
    <row r="23999" spans="25:25" hidden="1" x14ac:dyDescent="0.25">
      <c r="Y23999" s="501"/>
    </row>
    <row r="24000" spans="25:25" hidden="1" x14ac:dyDescent="0.25">
      <c r="Y24000" s="501"/>
    </row>
    <row r="24001" spans="25:25" hidden="1" x14ac:dyDescent="0.25">
      <c r="Y24001" s="501"/>
    </row>
    <row r="24002" spans="25:25" hidden="1" x14ac:dyDescent="0.25">
      <c r="Y24002" s="501"/>
    </row>
    <row r="24003" spans="25:25" hidden="1" x14ac:dyDescent="0.25">
      <c r="Y24003" s="501"/>
    </row>
    <row r="24004" spans="25:25" hidden="1" x14ac:dyDescent="0.25">
      <c r="Y24004" s="501"/>
    </row>
    <row r="24005" spans="25:25" hidden="1" x14ac:dyDescent="0.25">
      <c r="Y24005" s="501"/>
    </row>
    <row r="24006" spans="25:25" hidden="1" x14ac:dyDescent="0.25">
      <c r="Y24006" s="501"/>
    </row>
    <row r="24007" spans="25:25" hidden="1" x14ac:dyDescent="0.25">
      <c r="Y24007" s="501"/>
    </row>
    <row r="24008" spans="25:25" hidden="1" x14ac:dyDescent="0.25">
      <c r="Y24008" s="501"/>
    </row>
    <row r="24009" spans="25:25" hidden="1" x14ac:dyDescent="0.25">
      <c r="Y24009" s="501"/>
    </row>
    <row r="24010" spans="25:25" hidden="1" x14ac:dyDescent="0.25">
      <c r="Y24010" s="501"/>
    </row>
    <row r="24011" spans="25:25" hidden="1" x14ac:dyDescent="0.25">
      <c r="Y24011" s="501"/>
    </row>
    <row r="24012" spans="25:25" hidden="1" x14ac:dyDescent="0.25">
      <c r="Y24012" s="501"/>
    </row>
    <row r="24013" spans="25:25" hidden="1" x14ac:dyDescent="0.25">
      <c r="Y24013" s="501"/>
    </row>
    <row r="24014" spans="25:25" hidden="1" x14ac:dyDescent="0.25">
      <c r="Y24014" s="501"/>
    </row>
    <row r="24015" spans="25:25" hidden="1" x14ac:dyDescent="0.25">
      <c r="Y24015" s="501"/>
    </row>
    <row r="24016" spans="25:25" hidden="1" x14ac:dyDescent="0.25">
      <c r="Y24016" s="501"/>
    </row>
    <row r="24017" spans="25:25" hidden="1" x14ac:dyDescent="0.25">
      <c r="Y24017" s="501"/>
    </row>
    <row r="24018" spans="25:25" hidden="1" x14ac:dyDescent="0.25">
      <c r="Y24018" s="501"/>
    </row>
    <row r="24019" spans="25:25" hidden="1" x14ac:dyDescent="0.25">
      <c r="Y24019" s="501"/>
    </row>
    <row r="24020" spans="25:25" hidden="1" x14ac:dyDescent="0.25">
      <c r="Y24020" s="501"/>
    </row>
    <row r="24021" spans="25:25" hidden="1" x14ac:dyDescent="0.25">
      <c r="Y24021" s="501"/>
    </row>
    <row r="24022" spans="25:25" hidden="1" x14ac:dyDescent="0.25">
      <c r="Y24022" s="501"/>
    </row>
    <row r="24023" spans="25:25" hidden="1" x14ac:dyDescent="0.25">
      <c r="Y24023" s="501"/>
    </row>
    <row r="24024" spans="25:25" hidden="1" x14ac:dyDescent="0.25">
      <c r="Y24024" s="501"/>
    </row>
    <row r="24025" spans="25:25" hidden="1" x14ac:dyDescent="0.25">
      <c r="Y24025" s="501"/>
    </row>
    <row r="24026" spans="25:25" hidden="1" x14ac:dyDescent="0.25">
      <c r="Y24026" s="501"/>
    </row>
    <row r="24027" spans="25:25" hidden="1" x14ac:dyDescent="0.25">
      <c r="Y24027" s="501"/>
    </row>
    <row r="24028" spans="25:25" hidden="1" x14ac:dyDescent="0.25">
      <c r="Y24028" s="501"/>
    </row>
    <row r="24029" spans="25:25" hidden="1" x14ac:dyDescent="0.25">
      <c r="Y24029" s="501"/>
    </row>
    <row r="24030" spans="25:25" hidden="1" x14ac:dyDescent="0.25">
      <c r="Y24030" s="501"/>
    </row>
    <row r="24031" spans="25:25" hidden="1" x14ac:dyDescent="0.25">
      <c r="Y24031" s="501"/>
    </row>
    <row r="24032" spans="25:25" hidden="1" x14ac:dyDescent="0.25">
      <c r="Y24032" s="501"/>
    </row>
    <row r="24033" spans="25:25" hidden="1" x14ac:dyDescent="0.25">
      <c r="Y24033" s="501"/>
    </row>
    <row r="24034" spans="25:25" hidden="1" x14ac:dyDescent="0.25">
      <c r="Y24034" s="501"/>
    </row>
    <row r="24035" spans="25:25" hidden="1" x14ac:dyDescent="0.25">
      <c r="Y24035" s="501"/>
    </row>
    <row r="24036" spans="25:25" hidden="1" x14ac:dyDescent="0.25">
      <c r="Y24036" s="501"/>
    </row>
    <row r="24037" spans="25:25" hidden="1" x14ac:dyDescent="0.25">
      <c r="Y24037" s="501"/>
    </row>
    <row r="24038" spans="25:25" hidden="1" x14ac:dyDescent="0.25">
      <c r="Y24038" s="501"/>
    </row>
    <row r="24039" spans="25:25" hidden="1" x14ac:dyDescent="0.25">
      <c r="Y24039" s="501"/>
    </row>
    <row r="24040" spans="25:25" hidden="1" x14ac:dyDescent="0.25">
      <c r="Y24040" s="501"/>
    </row>
    <row r="24041" spans="25:25" hidden="1" x14ac:dyDescent="0.25">
      <c r="Y24041" s="501"/>
    </row>
    <row r="24042" spans="25:25" hidden="1" x14ac:dyDescent="0.25">
      <c r="Y24042" s="501"/>
    </row>
    <row r="24043" spans="25:25" hidden="1" x14ac:dyDescent="0.25">
      <c r="Y24043" s="501"/>
    </row>
    <row r="24044" spans="25:25" hidden="1" x14ac:dyDescent="0.25">
      <c r="Y24044" s="501"/>
    </row>
    <row r="24045" spans="25:25" hidden="1" x14ac:dyDescent="0.25">
      <c r="Y24045" s="501"/>
    </row>
    <row r="24046" spans="25:25" hidden="1" x14ac:dyDescent="0.25">
      <c r="Y24046" s="501"/>
    </row>
    <row r="24047" spans="25:25" hidden="1" x14ac:dyDescent="0.25">
      <c r="Y24047" s="501"/>
    </row>
    <row r="24048" spans="25:25" hidden="1" x14ac:dyDescent="0.25">
      <c r="Y24048" s="501"/>
    </row>
    <row r="24049" spans="25:25" hidden="1" x14ac:dyDescent="0.25">
      <c r="Y24049" s="501"/>
    </row>
    <row r="24050" spans="25:25" hidden="1" x14ac:dyDescent="0.25">
      <c r="Y24050" s="501"/>
    </row>
    <row r="24051" spans="25:25" hidden="1" x14ac:dyDescent="0.25">
      <c r="Y24051" s="501"/>
    </row>
    <row r="24052" spans="25:25" hidden="1" x14ac:dyDescent="0.25">
      <c r="Y24052" s="501"/>
    </row>
    <row r="24053" spans="25:25" hidden="1" x14ac:dyDescent="0.25">
      <c r="Y24053" s="501"/>
    </row>
    <row r="24054" spans="25:25" hidden="1" x14ac:dyDescent="0.25">
      <c r="Y24054" s="501"/>
    </row>
    <row r="24055" spans="25:25" hidden="1" x14ac:dyDescent="0.25">
      <c r="Y24055" s="501"/>
    </row>
    <row r="24056" spans="25:25" hidden="1" x14ac:dyDescent="0.25">
      <c r="Y24056" s="501"/>
    </row>
    <row r="24057" spans="25:25" hidden="1" x14ac:dyDescent="0.25">
      <c r="Y24057" s="501"/>
    </row>
    <row r="24058" spans="25:25" hidden="1" x14ac:dyDescent="0.25">
      <c r="Y24058" s="501"/>
    </row>
    <row r="24059" spans="25:25" hidden="1" x14ac:dyDescent="0.25">
      <c r="Y24059" s="501"/>
    </row>
    <row r="24060" spans="25:25" hidden="1" x14ac:dyDescent="0.25">
      <c r="Y24060" s="501"/>
    </row>
    <row r="24061" spans="25:25" hidden="1" x14ac:dyDescent="0.25">
      <c r="Y24061" s="501"/>
    </row>
    <row r="24062" spans="25:25" hidden="1" x14ac:dyDescent="0.25">
      <c r="Y24062" s="501"/>
    </row>
    <row r="24063" spans="25:25" hidden="1" x14ac:dyDescent="0.25">
      <c r="Y24063" s="501"/>
    </row>
    <row r="24064" spans="25:25" hidden="1" x14ac:dyDescent="0.25">
      <c r="Y24064" s="501"/>
    </row>
    <row r="24065" spans="25:25" hidden="1" x14ac:dyDescent="0.25">
      <c r="Y24065" s="501"/>
    </row>
    <row r="24066" spans="25:25" hidden="1" x14ac:dyDescent="0.25">
      <c r="Y24066" s="501"/>
    </row>
    <row r="24067" spans="25:25" hidden="1" x14ac:dyDescent="0.25">
      <c r="Y24067" s="501"/>
    </row>
    <row r="24068" spans="25:25" hidden="1" x14ac:dyDescent="0.25">
      <c r="Y24068" s="501"/>
    </row>
    <row r="24069" spans="25:25" hidden="1" x14ac:dyDescent="0.25">
      <c r="Y24069" s="501"/>
    </row>
    <row r="24070" spans="25:25" hidden="1" x14ac:dyDescent="0.25">
      <c r="Y24070" s="501"/>
    </row>
    <row r="24071" spans="25:25" hidden="1" x14ac:dyDescent="0.25">
      <c r="Y24071" s="501"/>
    </row>
    <row r="24072" spans="25:25" hidden="1" x14ac:dyDescent="0.25">
      <c r="Y24072" s="501"/>
    </row>
    <row r="24073" spans="25:25" hidden="1" x14ac:dyDescent="0.25">
      <c r="Y24073" s="501"/>
    </row>
    <row r="24074" spans="25:25" hidden="1" x14ac:dyDescent="0.25">
      <c r="Y24074" s="501"/>
    </row>
    <row r="24075" spans="25:25" hidden="1" x14ac:dyDescent="0.25">
      <c r="Y24075" s="501"/>
    </row>
    <row r="24076" spans="25:25" hidden="1" x14ac:dyDescent="0.25">
      <c r="Y24076" s="501"/>
    </row>
    <row r="24077" spans="25:25" hidden="1" x14ac:dyDescent="0.25">
      <c r="Y24077" s="501"/>
    </row>
    <row r="24078" spans="25:25" hidden="1" x14ac:dyDescent="0.25">
      <c r="Y24078" s="501"/>
    </row>
    <row r="24079" spans="25:25" hidden="1" x14ac:dyDescent="0.25">
      <c r="Y24079" s="501"/>
    </row>
    <row r="24080" spans="25:25" hidden="1" x14ac:dyDescent="0.25">
      <c r="Y24080" s="501"/>
    </row>
    <row r="24081" spans="25:25" hidden="1" x14ac:dyDescent="0.25">
      <c r="Y24081" s="501"/>
    </row>
    <row r="24082" spans="25:25" hidden="1" x14ac:dyDescent="0.25">
      <c r="Y24082" s="501"/>
    </row>
    <row r="24083" spans="25:25" hidden="1" x14ac:dyDescent="0.25">
      <c r="Y24083" s="501"/>
    </row>
    <row r="24084" spans="25:25" hidden="1" x14ac:dyDescent="0.25">
      <c r="Y24084" s="501"/>
    </row>
    <row r="24085" spans="25:25" hidden="1" x14ac:dyDescent="0.25">
      <c r="Y24085" s="501"/>
    </row>
    <row r="24086" spans="25:25" hidden="1" x14ac:dyDescent="0.25">
      <c r="Y24086" s="501"/>
    </row>
    <row r="24087" spans="25:25" hidden="1" x14ac:dyDescent="0.25">
      <c r="Y24087" s="501"/>
    </row>
    <row r="24088" spans="25:25" hidden="1" x14ac:dyDescent="0.25">
      <c r="Y24088" s="501"/>
    </row>
    <row r="24089" spans="25:25" hidden="1" x14ac:dyDescent="0.25">
      <c r="Y24089" s="501"/>
    </row>
    <row r="24090" spans="25:25" hidden="1" x14ac:dyDescent="0.25">
      <c r="Y24090" s="501"/>
    </row>
    <row r="24091" spans="25:25" hidden="1" x14ac:dyDescent="0.25">
      <c r="Y24091" s="501"/>
    </row>
    <row r="24092" spans="25:25" hidden="1" x14ac:dyDescent="0.25">
      <c r="Y24092" s="501"/>
    </row>
    <row r="24093" spans="25:25" hidden="1" x14ac:dyDescent="0.25">
      <c r="Y24093" s="501"/>
    </row>
    <row r="24094" spans="25:25" hidden="1" x14ac:dyDescent="0.25">
      <c r="Y24094" s="501"/>
    </row>
    <row r="24095" spans="25:25" hidden="1" x14ac:dyDescent="0.25">
      <c r="Y24095" s="501"/>
    </row>
    <row r="24096" spans="25:25" hidden="1" x14ac:dyDescent="0.25">
      <c r="Y24096" s="501"/>
    </row>
    <row r="24097" spans="25:25" hidden="1" x14ac:dyDescent="0.25">
      <c r="Y24097" s="501"/>
    </row>
    <row r="24098" spans="25:25" hidden="1" x14ac:dyDescent="0.25">
      <c r="Y24098" s="501"/>
    </row>
    <row r="24099" spans="25:25" hidden="1" x14ac:dyDescent="0.25">
      <c r="Y24099" s="501"/>
    </row>
    <row r="24100" spans="25:25" hidden="1" x14ac:dyDescent="0.25">
      <c r="Y24100" s="501"/>
    </row>
    <row r="24101" spans="25:25" hidden="1" x14ac:dyDescent="0.25">
      <c r="Y24101" s="501"/>
    </row>
    <row r="24102" spans="25:25" hidden="1" x14ac:dyDescent="0.25">
      <c r="Y24102" s="501"/>
    </row>
    <row r="24103" spans="25:25" hidden="1" x14ac:dyDescent="0.25">
      <c r="Y24103" s="501"/>
    </row>
    <row r="24104" spans="25:25" hidden="1" x14ac:dyDescent="0.25">
      <c r="Y24104" s="501"/>
    </row>
    <row r="24105" spans="25:25" hidden="1" x14ac:dyDescent="0.25">
      <c r="Y24105" s="501"/>
    </row>
    <row r="24106" spans="25:25" hidden="1" x14ac:dyDescent="0.25">
      <c r="Y24106" s="501"/>
    </row>
    <row r="24107" spans="25:25" hidden="1" x14ac:dyDescent="0.25">
      <c r="Y24107" s="501"/>
    </row>
    <row r="24108" spans="25:25" hidden="1" x14ac:dyDescent="0.25">
      <c r="Y24108" s="501"/>
    </row>
    <row r="24109" spans="25:25" hidden="1" x14ac:dyDescent="0.25">
      <c r="Y24109" s="501"/>
    </row>
    <row r="24110" spans="25:25" hidden="1" x14ac:dyDescent="0.25">
      <c r="Y24110" s="501"/>
    </row>
    <row r="24111" spans="25:25" hidden="1" x14ac:dyDescent="0.25">
      <c r="Y24111" s="501"/>
    </row>
    <row r="24112" spans="25:25" hidden="1" x14ac:dyDescent="0.25">
      <c r="Y24112" s="501"/>
    </row>
    <row r="24113" spans="25:25" hidden="1" x14ac:dyDescent="0.25">
      <c r="Y24113" s="501"/>
    </row>
    <row r="24114" spans="25:25" hidden="1" x14ac:dyDescent="0.25">
      <c r="Y24114" s="501"/>
    </row>
    <row r="24115" spans="25:25" hidden="1" x14ac:dyDescent="0.25">
      <c r="Y24115" s="501"/>
    </row>
    <row r="24116" spans="25:25" hidden="1" x14ac:dyDescent="0.25">
      <c r="Y24116" s="501"/>
    </row>
    <row r="24117" spans="25:25" hidden="1" x14ac:dyDescent="0.25">
      <c r="Y24117" s="501"/>
    </row>
    <row r="24118" spans="25:25" hidden="1" x14ac:dyDescent="0.25">
      <c r="Y24118" s="501"/>
    </row>
    <row r="24119" spans="25:25" hidden="1" x14ac:dyDescent="0.25">
      <c r="Y24119" s="501"/>
    </row>
    <row r="24120" spans="25:25" hidden="1" x14ac:dyDescent="0.25">
      <c r="Y24120" s="501"/>
    </row>
    <row r="24121" spans="25:25" hidden="1" x14ac:dyDescent="0.25">
      <c r="Y24121" s="501"/>
    </row>
    <row r="24122" spans="25:25" hidden="1" x14ac:dyDescent="0.25">
      <c r="Y24122" s="501"/>
    </row>
    <row r="24123" spans="25:25" hidden="1" x14ac:dyDescent="0.25">
      <c r="Y24123" s="501"/>
    </row>
    <row r="24124" spans="25:25" hidden="1" x14ac:dyDescent="0.25">
      <c r="Y24124" s="501"/>
    </row>
    <row r="24125" spans="25:25" hidden="1" x14ac:dyDescent="0.25">
      <c r="Y24125" s="501"/>
    </row>
    <row r="24126" spans="25:25" hidden="1" x14ac:dyDescent="0.25">
      <c r="Y24126" s="501"/>
    </row>
    <row r="24127" spans="25:25" hidden="1" x14ac:dyDescent="0.25">
      <c r="Y24127" s="501"/>
    </row>
    <row r="24128" spans="25:25" hidden="1" x14ac:dyDescent="0.25">
      <c r="Y24128" s="501"/>
    </row>
    <row r="24129" spans="25:25" hidden="1" x14ac:dyDescent="0.25">
      <c r="Y24129" s="501"/>
    </row>
    <row r="24130" spans="25:25" hidden="1" x14ac:dyDescent="0.25">
      <c r="Y24130" s="501"/>
    </row>
    <row r="24131" spans="25:25" hidden="1" x14ac:dyDescent="0.25">
      <c r="Y24131" s="501"/>
    </row>
    <row r="24132" spans="25:25" hidden="1" x14ac:dyDescent="0.25">
      <c r="Y24132" s="501"/>
    </row>
    <row r="24133" spans="25:25" hidden="1" x14ac:dyDescent="0.25">
      <c r="Y24133" s="501"/>
    </row>
    <row r="24134" spans="25:25" hidden="1" x14ac:dyDescent="0.25">
      <c r="Y24134" s="501"/>
    </row>
    <row r="24135" spans="25:25" hidden="1" x14ac:dyDescent="0.25">
      <c r="Y24135" s="501"/>
    </row>
    <row r="24136" spans="25:25" hidden="1" x14ac:dyDescent="0.25">
      <c r="Y24136" s="501"/>
    </row>
    <row r="24137" spans="25:25" hidden="1" x14ac:dyDescent="0.25">
      <c r="Y24137" s="501"/>
    </row>
    <row r="24138" spans="25:25" hidden="1" x14ac:dyDescent="0.25">
      <c r="Y24138" s="501"/>
    </row>
    <row r="24139" spans="25:25" hidden="1" x14ac:dyDescent="0.25">
      <c r="Y24139" s="501"/>
    </row>
    <row r="24140" spans="25:25" hidden="1" x14ac:dyDescent="0.25">
      <c r="Y24140" s="501"/>
    </row>
    <row r="24141" spans="25:25" hidden="1" x14ac:dyDescent="0.25">
      <c r="Y24141" s="501"/>
    </row>
    <row r="24142" spans="25:25" hidden="1" x14ac:dyDescent="0.25">
      <c r="Y24142" s="501"/>
    </row>
    <row r="24143" spans="25:25" hidden="1" x14ac:dyDescent="0.25">
      <c r="Y24143" s="501"/>
    </row>
    <row r="24144" spans="25:25" hidden="1" x14ac:dyDescent="0.25">
      <c r="Y24144" s="501"/>
    </row>
    <row r="24145" spans="25:25" hidden="1" x14ac:dyDescent="0.25">
      <c r="Y24145" s="501"/>
    </row>
    <row r="24146" spans="25:25" hidden="1" x14ac:dyDescent="0.25">
      <c r="Y24146" s="501"/>
    </row>
    <row r="24147" spans="25:25" hidden="1" x14ac:dyDescent="0.25">
      <c r="Y24147" s="501"/>
    </row>
    <row r="24148" spans="25:25" hidden="1" x14ac:dyDescent="0.25">
      <c r="Y24148" s="501"/>
    </row>
    <row r="24149" spans="25:25" hidden="1" x14ac:dyDescent="0.25">
      <c r="Y24149" s="501"/>
    </row>
    <row r="24150" spans="25:25" hidden="1" x14ac:dyDescent="0.25">
      <c r="Y24150" s="501"/>
    </row>
    <row r="24151" spans="25:25" hidden="1" x14ac:dyDescent="0.25">
      <c r="Y24151" s="501"/>
    </row>
    <row r="24152" spans="25:25" hidden="1" x14ac:dyDescent="0.25">
      <c r="Y24152" s="501"/>
    </row>
    <row r="24153" spans="25:25" hidden="1" x14ac:dyDescent="0.25">
      <c r="Y24153" s="501"/>
    </row>
    <row r="24154" spans="25:25" hidden="1" x14ac:dyDescent="0.25">
      <c r="Y24154" s="501"/>
    </row>
    <row r="24155" spans="25:25" hidden="1" x14ac:dyDescent="0.25">
      <c r="Y24155" s="501"/>
    </row>
    <row r="24156" spans="25:25" hidden="1" x14ac:dyDescent="0.25">
      <c r="Y24156" s="501"/>
    </row>
    <row r="24157" spans="25:25" hidden="1" x14ac:dyDescent="0.25">
      <c r="Y24157" s="501"/>
    </row>
    <row r="24158" spans="25:25" hidden="1" x14ac:dyDescent="0.25">
      <c r="Y24158" s="501"/>
    </row>
    <row r="24159" spans="25:25" hidden="1" x14ac:dyDescent="0.25">
      <c r="Y24159" s="501"/>
    </row>
    <row r="24160" spans="25:25" hidden="1" x14ac:dyDescent="0.25">
      <c r="Y24160" s="501"/>
    </row>
    <row r="24161" spans="25:25" hidden="1" x14ac:dyDescent="0.25">
      <c r="Y24161" s="501"/>
    </row>
    <row r="24162" spans="25:25" hidden="1" x14ac:dyDescent="0.25">
      <c r="Y24162" s="501"/>
    </row>
    <row r="24163" spans="25:25" hidden="1" x14ac:dyDescent="0.25">
      <c r="Y24163" s="501"/>
    </row>
    <row r="24164" spans="25:25" hidden="1" x14ac:dyDescent="0.25">
      <c r="Y24164" s="501"/>
    </row>
    <row r="24165" spans="25:25" hidden="1" x14ac:dyDescent="0.25">
      <c r="Y24165" s="501"/>
    </row>
    <row r="24166" spans="25:25" hidden="1" x14ac:dyDescent="0.25">
      <c r="Y24166" s="501"/>
    </row>
    <row r="24167" spans="25:25" hidden="1" x14ac:dyDescent="0.25">
      <c r="Y24167" s="501"/>
    </row>
    <row r="24168" spans="25:25" hidden="1" x14ac:dyDescent="0.25">
      <c r="Y24168" s="501"/>
    </row>
    <row r="24169" spans="25:25" hidden="1" x14ac:dyDescent="0.25">
      <c r="Y24169" s="501"/>
    </row>
    <row r="24170" spans="25:25" hidden="1" x14ac:dyDescent="0.25">
      <c r="Y24170" s="501"/>
    </row>
    <row r="24171" spans="25:25" hidden="1" x14ac:dyDescent="0.25">
      <c r="Y24171" s="501"/>
    </row>
    <row r="24172" spans="25:25" hidden="1" x14ac:dyDescent="0.25">
      <c r="Y24172" s="501"/>
    </row>
    <row r="24173" spans="25:25" hidden="1" x14ac:dyDescent="0.25">
      <c r="Y24173" s="501"/>
    </row>
    <row r="24174" spans="25:25" hidden="1" x14ac:dyDescent="0.25">
      <c r="Y24174" s="501"/>
    </row>
    <row r="24175" spans="25:25" hidden="1" x14ac:dyDescent="0.25">
      <c r="Y24175" s="501"/>
    </row>
    <row r="24176" spans="25:25" hidden="1" x14ac:dyDescent="0.25">
      <c r="Y24176" s="501"/>
    </row>
    <row r="24177" spans="25:25" hidden="1" x14ac:dyDescent="0.25">
      <c r="Y24177" s="501"/>
    </row>
    <row r="24178" spans="25:25" hidden="1" x14ac:dyDescent="0.25">
      <c r="Y24178" s="501"/>
    </row>
    <row r="24179" spans="25:25" hidden="1" x14ac:dyDescent="0.25">
      <c r="Y24179" s="501"/>
    </row>
    <row r="24180" spans="25:25" hidden="1" x14ac:dyDescent="0.25">
      <c r="Y24180" s="501"/>
    </row>
    <row r="24181" spans="25:25" hidden="1" x14ac:dyDescent="0.25">
      <c r="Y24181" s="501"/>
    </row>
    <row r="24182" spans="25:25" hidden="1" x14ac:dyDescent="0.25">
      <c r="Y24182" s="501"/>
    </row>
    <row r="24183" spans="25:25" hidden="1" x14ac:dyDescent="0.25">
      <c r="Y24183" s="501"/>
    </row>
    <row r="24184" spans="25:25" hidden="1" x14ac:dyDescent="0.25">
      <c r="Y24184" s="501"/>
    </row>
    <row r="24185" spans="25:25" hidden="1" x14ac:dyDescent="0.25">
      <c r="Y24185" s="501"/>
    </row>
    <row r="24186" spans="25:25" hidden="1" x14ac:dyDescent="0.25">
      <c r="Y24186" s="501"/>
    </row>
    <row r="24187" spans="25:25" hidden="1" x14ac:dyDescent="0.25">
      <c r="Y24187" s="501"/>
    </row>
    <row r="24188" spans="25:25" hidden="1" x14ac:dyDescent="0.25">
      <c r="Y24188" s="501"/>
    </row>
    <row r="24189" spans="25:25" hidden="1" x14ac:dyDescent="0.25">
      <c r="Y24189" s="501"/>
    </row>
    <row r="24190" spans="25:25" hidden="1" x14ac:dyDescent="0.25">
      <c r="Y24190" s="501"/>
    </row>
    <row r="24191" spans="25:25" hidden="1" x14ac:dyDescent="0.25">
      <c r="Y24191" s="501"/>
    </row>
    <row r="24192" spans="25:25" hidden="1" x14ac:dyDescent="0.25">
      <c r="Y24192" s="501"/>
    </row>
    <row r="24193" spans="25:25" hidden="1" x14ac:dyDescent="0.25">
      <c r="Y24193" s="501"/>
    </row>
    <row r="24194" spans="25:25" hidden="1" x14ac:dyDescent="0.25">
      <c r="Y24194" s="501"/>
    </row>
    <row r="24195" spans="25:25" hidden="1" x14ac:dyDescent="0.25">
      <c r="Y24195" s="501"/>
    </row>
    <row r="24196" spans="25:25" hidden="1" x14ac:dyDescent="0.25">
      <c r="Y24196" s="501"/>
    </row>
    <row r="24197" spans="25:25" hidden="1" x14ac:dyDescent="0.25">
      <c r="Y24197" s="501"/>
    </row>
    <row r="24198" spans="25:25" hidden="1" x14ac:dyDescent="0.25">
      <c r="Y24198" s="501"/>
    </row>
    <row r="24199" spans="25:25" hidden="1" x14ac:dyDescent="0.25">
      <c r="Y24199" s="501"/>
    </row>
    <row r="24200" spans="25:25" hidden="1" x14ac:dyDescent="0.25">
      <c r="Y24200" s="501"/>
    </row>
    <row r="24201" spans="25:25" hidden="1" x14ac:dyDescent="0.25">
      <c r="Y24201" s="501"/>
    </row>
    <row r="24202" spans="25:25" hidden="1" x14ac:dyDescent="0.25">
      <c r="Y24202" s="501"/>
    </row>
    <row r="24203" spans="25:25" hidden="1" x14ac:dyDescent="0.25">
      <c r="Y24203" s="501"/>
    </row>
    <row r="24204" spans="25:25" hidden="1" x14ac:dyDescent="0.25">
      <c r="Y24204" s="501"/>
    </row>
    <row r="24205" spans="25:25" hidden="1" x14ac:dyDescent="0.25">
      <c r="Y24205" s="501"/>
    </row>
    <row r="24206" spans="25:25" hidden="1" x14ac:dyDescent="0.25">
      <c r="Y24206" s="501"/>
    </row>
    <row r="24207" spans="25:25" hidden="1" x14ac:dyDescent="0.25">
      <c r="Y24207" s="501"/>
    </row>
    <row r="24208" spans="25:25" hidden="1" x14ac:dyDescent="0.25">
      <c r="Y24208" s="501"/>
    </row>
    <row r="24209" spans="25:25" hidden="1" x14ac:dyDescent="0.25">
      <c r="Y24209" s="501"/>
    </row>
    <row r="24210" spans="25:25" hidden="1" x14ac:dyDescent="0.25">
      <c r="Y24210" s="501"/>
    </row>
    <row r="24211" spans="25:25" hidden="1" x14ac:dyDescent="0.25">
      <c r="Y24211" s="501"/>
    </row>
    <row r="24212" spans="25:25" hidden="1" x14ac:dyDescent="0.25">
      <c r="Y24212" s="501"/>
    </row>
    <row r="24213" spans="25:25" hidden="1" x14ac:dyDescent="0.25">
      <c r="Y24213" s="501"/>
    </row>
    <row r="24214" spans="25:25" hidden="1" x14ac:dyDescent="0.25">
      <c r="Y24214" s="501"/>
    </row>
    <row r="24215" spans="25:25" hidden="1" x14ac:dyDescent="0.25">
      <c r="Y24215" s="501"/>
    </row>
    <row r="24216" spans="25:25" hidden="1" x14ac:dyDescent="0.25">
      <c r="Y24216" s="501"/>
    </row>
    <row r="24217" spans="25:25" hidden="1" x14ac:dyDescent="0.25">
      <c r="Y24217" s="501"/>
    </row>
    <row r="24218" spans="25:25" hidden="1" x14ac:dyDescent="0.25">
      <c r="Y24218" s="501"/>
    </row>
    <row r="24219" spans="25:25" hidden="1" x14ac:dyDescent="0.25">
      <c r="Y24219" s="501"/>
    </row>
    <row r="24220" spans="25:25" hidden="1" x14ac:dyDescent="0.25">
      <c r="Y24220" s="501"/>
    </row>
    <row r="24221" spans="25:25" hidden="1" x14ac:dyDescent="0.25">
      <c r="Y24221" s="501"/>
    </row>
    <row r="24222" spans="25:25" hidden="1" x14ac:dyDescent="0.25">
      <c r="Y24222" s="501"/>
    </row>
    <row r="24223" spans="25:25" hidden="1" x14ac:dyDescent="0.25">
      <c r="Y24223" s="501"/>
    </row>
    <row r="24224" spans="25:25" hidden="1" x14ac:dyDescent="0.25">
      <c r="Y24224" s="501"/>
    </row>
    <row r="24225" spans="25:25" hidden="1" x14ac:dyDescent="0.25">
      <c r="Y24225" s="501"/>
    </row>
    <row r="24226" spans="25:25" hidden="1" x14ac:dyDescent="0.25">
      <c r="Y24226" s="501"/>
    </row>
    <row r="24227" spans="25:25" hidden="1" x14ac:dyDescent="0.25">
      <c r="Y24227" s="501"/>
    </row>
    <row r="24228" spans="25:25" hidden="1" x14ac:dyDescent="0.25">
      <c r="Y24228" s="501"/>
    </row>
    <row r="24229" spans="25:25" hidden="1" x14ac:dyDescent="0.25">
      <c r="Y24229" s="501"/>
    </row>
    <row r="24230" spans="25:25" hidden="1" x14ac:dyDescent="0.25">
      <c r="Y24230" s="501"/>
    </row>
    <row r="24231" spans="25:25" hidden="1" x14ac:dyDescent="0.25">
      <c r="Y24231" s="501"/>
    </row>
    <row r="24232" spans="25:25" hidden="1" x14ac:dyDescent="0.25">
      <c r="Y24232" s="501"/>
    </row>
    <row r="24233" spans="25:25" hidden="1" x14ac:dyDescent="0.25">
      <c r="Y24233" s="501"/>
    </row>
    <row r="24234" spans="25:25" hidden="1" x14ac:dyDescent="0.25">
      <c r="Y24234" s="501"/>
    </row>
    <row r="24235" spans="25:25" hidden="1" x14ac:dyDescent="0.25">
      <c r="Y24235" s="501"/>
    </row>
    <row r="24236" spans="25:25" hidden="1" x14ac:dyDescent="0.25">
      <c r="Y24236" s="501"/>
    </row>
    <row r="24237" spans="25:25" hidden="1" x14ac:dyDescent="0.25">
      <c r="Y24237" s="501"/>
    </row>
    <row r="24238" spans="25:25" hidden="1" x14ac:dyDescent="0.25">
      <c r="Y24238" s="501"/>
    </row>
    <row r="24239" spans="25:25" hidden="1" x14ac:dyDescent="0.25">
      <c r="Y24239" s="501"/>
    </row>
    <row r="24240" spans="25:25" hidden="1" x14ac:dyDescent="0.25">
      <c r="Y24240" s="501"/>
    </row>
    <row r="24241" spans="25:25" hidden="1" x14ac:dyDescent="0.25">
      <c r="Y24241" s="501"/>
    </row>
    <row r="24242" spans="25:25" hidden="1" x14ac:dyDescent="0.25">
      <c r="Y24242" s="501"/>
    </row>
    <row r="24243" spans="25:25" hidden="1" x14ac:dyDescent="0.25">
      <c r="Y24243" s="501"/>
    </row>
    <row r="24244" spans="25:25" hidden="1" x14ac:dyDescent="0.25">
      <c r="Y24244" s="501"/>
    </row>
    <row r="24245" spans="25:25" hidden="1" x14ac:dyDescent="0.25">
      <c r="Y24245" s="501"/>
    </row>
    <row r="24246" spans="25:25" hidden="1" x14ac:dyDescent="0.25">
      <c r="Y24246" s="501"/>
    </row>
    <row r="24247" spans="25:25" hidden="1" x14ac:dyDescent="0.25">
      <c r="Y24247" s="501"/>
    </row>
    <row r="24248" spans="25:25" hidden="1" x14ac:dyDescent="0.25">
      <c r="Y24248" s="501"/>
    </row>
    <row r="24249" spans="25:25" hidden="1" x14ac:dyDescent="0.25">
      <c r="Y24249" s="501"/>
    </row>
    <row r="24250" spans="25:25" hidden="1" x14ac:dyDescent="0.25">
      <c r="Y24250" s="501"/>
    </row>
    <row r="24251" spans="25:25" hidden="1" x14ac:dyDescent="0.25">
      <c r="Y24251" s="501"/>
    </row>
    <row r="24252" spans="25:25" hidden="1" x14ac:dyDescent="0.25">
      <c r="Y24252" s="501"/>
    </row>
    <row r="24253" spans="25:25" hidden="1" x14ac:dyDescent="0.25">
      <c r="Y24253" s="501"/>
    </row>
    <row r="24254" spans="25:25" hidden="1" x14ac:dyDescent="0.25">
      <c r="Y24254" s="501"/>
    </row>
    <row r="24255" spans="25:25" hidden="1" x14ac:dyDescent="0.25">
      <c r="Y24255" s="501"/>
    </row>
    <row r="24256" spans="25:25" hidden="1" x14ac:dyDescent="0.25">
      <c r="Y24256" s="501"/>
    </row>
    <row r="24257" spans="25:25" hidden="1" x14ac:dyDescent="0.25">
      <c r="Y24257" s="501"/>
    </row>
    <row r="24258" spans="25:25" hidden="1" x14ac:dyDescent="0.25">
      <c r="Y24258" s="501"/>
    </row>
    <row r="24259" spans="25:25" hidden="1" x14ac:dyDescent="0.25">
      <c r="Y24259" s="501"/>
    </row>
    <row r="24260" spans="25:25" hidden="1" x14ac:dyDescent="0.25">
      <c r="Y24260" s="501"/>
    </row>
    <row r="24261" spans="25:25" hidden="1" x14ac:dyDescent="0.25">
      <c r="Y24261" s="501"/>
    </row>
    <row r="24262" spans="25:25" hidden="1" x14ac:dyDescent="0.25">
      <c r="Y24262" s="501"/>
    </row>
    <row r="24263" spans="25:25" hidden="1" x14ac:dyDescent="0.25">
      <c r="Y24263" s="501"/>
    </row>
    <row r="24264" spans="25:25" hidden="1" x14ac:dyDescent="0.25">
      <c r="Y24264" s="501"/>
    </row>
    <row r="24265" spans="25:25" hidden="1" x14ac:dyDescent="0.25">
      <c r="Y24265" s="501"/>
    </row>
    <row r="24266" spans="25:25" hidden="1" x14ac:dyDescent="0.25">
      <c r="Y24266" s="501"/>
    </row>
    <row r="24267" spans="25:25" hidden="1" x14ac:dyDescent="0.25">
      <c r="Y24267" s="501"/>
    </row>
    <row r="24268" spans="25:25" hidden="1" x14ac:dyDescent="0.25">
      <c r="Y24268" s="501"/>
    </row>
    <row r="24269" spans="25:25" hidden="1" x14ac:dyDescent="0.25">
      <c r="Y24269" s="501"/>
    </row>
    <row r="24270" spans="25:25" hidden="1" x14ac:dyDescent="0.25">
      <c r="Y24270" s="501"/>
    </row>
    <row r="24271" spans="25:25" hidden="1" x14ac:dyDescent="0.25">
      <c r="Y24271" s="501"/>
    </row>
    <row r="24272" spans="25:25" hidden="1" x14ac:dyDescent="0.25">
      <c r="Y24272" s="501"/>
    </row>
    <row r="24273" spans="25:25" hidden="1" x14ac:dyDescent="0.25">
      <c r="Y24273" s="501"/>
    </row>
    <row r="24274" spans="25:25" hidden="1" x14ac:dyDescent="0.25">
      <c r="Y24274" s="501"/>
    </row>
    <row r="24275" spans="25:25" hidden="1" x14ac:dyDescent="0.25">
      <c r="Y24275" s="501"/>
    </row>
    <row r="24276" spans="25:25" hidden="1" x14ac:dyDescent="0.25">
      <c r="Y24276" s="501"/>
    </row>
    <row r="24277" spans="25:25" hidden="1" x14ac:dyDescent="0.25">
      <c r="Y24277" s="501"/>
    </row>
    <row r="24278" spans="25:25" hidden="1" x14ac:dyDescent="0.25">
      <c r="Y24278" s="501"/>
    </row>
    <row r="24279" spans="25:25" hidden="1" x14ac:dyDescent="0.25">
      <c r="Y24279" s="501"/>
    </row>
    <row r="24280" spans="25:25" hidden="1" x14ac:dyDescent="0.25">
      <c r="Y24280" s="501"/>
    </row>
    <row r="24281" spans="25:25" hidden="1" x14ac:dyDescent="0.25">
      <c r="Y24281" s="501"/>
    </row>
    <row r="24282" spans="25:25" hidden="1" x14ac:dyDescent="0.25">
      <c r="Y24282" s="501"/>
    </row>
    <row r="24283" spans="25:25" hidden="1" x14ac:dyDescent="0.25">
      <c r="Y24283" s="501"/>
    </row>
    <row r="24284" spans="25:25" hidden="1" x14ac:dyDescent="0.25">
      <c r="Y24284" s="501"/>
    </row>
    <row r="24285" spans="25:25" hidden="1" x14ac:dyDescent="0.25">
      <c r="Y24285" s="501"/>
    </row>
    <row r="24286" spans="25:25" hidden="1" x14ac:dyDescent="0.25">
      <c r="Y24286" s="501"/>
    </row>
    <row r="24287" spans="25:25" hidden="1" x14ac:dyDescent="0.25">
      <c r="Y24287" s="501"/>
    </row>
    <row r="24288" spans="25:25" hidden="1" x14ac:dyDescent="0.25">
      <c r="Y24288" s="501"/>
    </row>
    <row r="24289" spans="25:25" hidden="1" x14ac:dyDescent="0.25">
      <c r="Y24289" s="501"/>
    </row>
    <row r="24290" spans="25:25" hidden="1" x14ac:dyDescent="0.25">
      <c r="Y24290" s="501"/>
    </row>
    <row r="24291" spans="25:25" hidden="1" x14ac:dyDescent="0.25">
      <c r="Y24291" s="501"/>
    </row>
    <row r="24292" spans="25:25" hidden="1" x14ac:dyDescent="0.25">
      <c r="Y24292" s="501"/>
    </row>
    <row r="24293" spans="25:25" hidden="1" x14ac:dyDescent="0.25">
      <c r="Y24293" s="501"/>
    </row>
    <row r="24294" spans="25:25" hidden="1" x14ac:dyDescent="0.25">
      <c r="Y24294" s="501"/>
    </row>
    <row r="24295" spans="25:25" hidden="1" x14ac:dyDescent="0.25">
      <c r="Y24295" s="501"/>
    </row>
    <row r="24296" spans="25:25" hidden="1" x14ac:dyDescent="0.25">
      <c r="Y24296" s="501"/>
    </row>
    <row r="24297" spans="25:25" hidden="1" x14ac:dyDescent="0.25">
      <c r="Y24297" s="501"/>
    </row>
    <row r="24298" spans="25:25" hidden="1" x14ac:dyDescent="0.25">
      <c r="Y24298" s="501"/>
    </row>
    <row r="24299" spans="25:25" hidden="1" x14ac:dyDescent="0.25">
      <c r="Y24299" s="501"/>
    </row>
    <row r="24300" spans="25:25" hidden="1" x14ac:dyDescent="0.25">
      <c r="Y24300" s="501"/>
    </row>
    <row r="24301" spans="25:25" hidden="1" x14ac:dyDescent="0.25">
      <c r="Y24301" s="501"/>
    </row>
    <row r="24302" spans="25:25" hidden="1" x14ac:dyDescent="0.25">
      <c r="Y24302" s="501"/>
    </row>
    <row r="24303" spans="25:25" hidden="1" x14ac:dyDescent="0.25">
      <c r="Y24303" s="501"/>
    </row>
    <row r="24304" spans="25:25" hidden="1" x14ac:dyDescent="0.25">
      <c r="Y24304" s="501"/>
    </row>
    <row r="24305" spans="25:25" hidden="1" x14ac:dyDescent="0.25">
      <c r="Y24305" s="501"/>
    </row>
    <row r="24306" spans="25:25" hidden="1" x14ac:dyDescent="0.25">
      <c r="Y24306" s="501"/>
    </row>
    <row r="24307" spans="25:25" hidden="1" x14ac:dyDescent="0.25">
      <c r="Y24307" s="501"/>
    </row>
    <row r="24308" spans="25:25" hidden="1" x14ac:dyDescent="0.25">
      <c r="Y24308" s="501"/>
    </row>
    <row r="24309" spans="25:25" hidden="1" x14ac:dyDescent="0.25">
      <c r="Y24309" s="501"/>
    </row>
    <row r="24310" spans="25:25" hidden="1" x14ac:dyDescent="0.25">
      <c r="Y24310" s="501"/>
    </row>
    <row r="24311" spans="25:25" hidden="1" x14ac:dyDescent="0.25">
      <c r="Y24311" s="501"/>
    </row>
    <row r="24312" spans="25:25" hidden="1" x14ac:dyDescent="0.25">
      <c r="Y24312" s="501"/>
    </row>
    <row r="24313" spans="25:25" hidden="1" x14ac:dyDescent="0.25">
      <c r="Y24313" s="501"/>
    </row>
    <row r="24314" spans="25:25" hidden="1" x14ac:dyDescent="0.25">
      <c r="Y24314" s="501"/>
    </row>
    <row r="24315" spans="25:25" hidden="1" x14ac:dyDescent="0.25">
      <c r="Y24315" s="501"/>
    </row>
    <row r="24316" spans="25:25" hidden="1" x14ac:dyDescent="0.25">
      <c r="Y24316" s="501"/>
    </row>
    <row r="24317" spans="25:25" hidden="1" x14ac:dyDescent="0.25">
      <c r="Y24317" s="501"/>
    </row>
    <row r="24318" spans="25:25" hidden="1" x14ac:dyDescent="0.25">
      <c r="Y24318" s="501"/>
    </row>
    <row r="24319" spans="25:25" hidden="1" x14ac:dyDescent="0.25">
      <c r="Y24319" s="501"/>
    </row>
    <row r="24320" spans="25:25" hidden="1" x14ac:dyDescent="0.25">
      <c r="Y24320" s="501"/>
    </row>
    <row r="24321" spans="25:25" hidden="1" x14ac:dyDescent="0.25">
      <c r="Y24321" s="501"/>
    </row>
    <row r="24322" spans="25:25" hidden="1" x14ac:dyDescent="0.25">
      <c r="Y24322" s="501"/>
    </row>
    <row r="24323" spans="25:25" hidden="1" x14ac:dyDescent="0.25">
      <c r="Y24323" s="501"/>
    </row>
    <row r="24324" spans="25:25" hidden="1" x14ac:dyDescent="0.25">
      <c r="Y24324" s="501"/>
    </row>
    <row r="24325" spans="25:25" hidden="1" x14ac:dyDescent="0.25">
      <c r="Y24325" s="501"/>
    </row>
    <row r="24326" spans="25:25" hidden="1" x14ac:dyDescent="0.25">
      <c r="Y24326" s="501"/>
    </row>
    <row r="24327" spans="25:25" hidden="1" x14ac:dyDescent="0.25">
      <c r="Y24327" s="501"/>
    </row>
    <row r="24328" spans="25:25" hidden="1" x14ac:dyDescent="0.25">
      <c r="Y24328" s="501"/>
    </row>
    <row r="24329" spans="25:25" hidden="1" x14ac:dyDescent="0.25">
      <c r="Y24329" s="501"/>
    </row>
    <row r="24330" spans="25:25" hidden="1" x14ac:dyDescent="0.25">
      <c r="Y24330" s="501"/>
    </row>
    <row r="24331" spans="25:25" hidden="1" x14ac:dyDescent="0.25">
      <c r="Y24331" s="501"/>
    </row>
    <row r="24332" spans="25:25" hidden="1" x14ac:dyDescent="0.25">
      <c r="Y24332" s="501"/>
    </row>
    <row r="24333" spans="25:25" hidden="1" x14ac:dyDescent="0.25">
      <c r="Y24333" s="501"/>
    </row>
    <row r="24334" spans="25:25" hidden="1" x14ac:dyDescent="0.25">
      <c r="Y24334" s="501"/>
    </row>
    <row r="24335" spans="25:25" hidden="1" x14ac:dyDescent="0.25">
      <c r="Y24335" s="501"/>
    </row>
    <row r="24336" spans="25:25" hidden="1" x14ac:dyDescent="0.25">
      <c r="Y24336" s="501"/>
    </row>
    <row r="24337" spans="25:25" hidden="1" x14ac:dyDescent="0.25">
      <c r="Y24337" s="501"/>
    </row>
    <row r="24338" spans="25:25" hidden="1" x14ac:dyDescent="0.25">
      <c r="Y24338" s="501"/>
    </row>
    <row r="24339" spans="25:25" hidden="1" x14ac:dyDescent="0.25">
      <c r="Y24339" s="501"/>
    </row>
    <row r="24340" spans="25:25" hidden="1" x14ac:dyDescent="0.25">
      <c r="Y24340" s="501"/>
    </row>
    <row r="24341" spans="25:25" hidden="1" x14ac:dyDescent="0.25">
      <c r="Y24341" s="501"/>
    </row>
    <row r="24342" spans="25:25" hidden="1" x14ac:dyDescent="0.25">
      <c r="Y24342" s="501"/>
    </row>
    <row r="24343" spans="25:25" hidden="1" x14ac:dyDescent="0.25">
      <c r="Y24343" s="501"/>
    </row>
    <row r="24344" spans="25:25" hidden="1" x14ac:dyDescent="0.25">
      <c r="Y24344" s="501"/>
    </row>
    <row r="24345" spans="25:25" hidden="1" x14ac:dyDescent="0.25">
      <c r="Y24345" s="501"/>
    </row>
    <row r="24346" spans="25:25" hidden="1" x14ac:dyDescent="0.25">
      <c r="Y24346" s="501"/>
    </row>
    <row r="24347" spans="25:25" hidden="1" x14ac:dyDescent="0.25">
      <c r="Y24347" s="501"/>
    </row>
    <row r="24348" spans="25:25" hidden="1" x14ac:dyDescent="0.25">
      <c r="Y24348" s="501"/>
    </row>
    <row r="24349" spans="25:25" hidden="1" x14ac:dyDescent="0.25">
      <c r="Y24349" s="501"/>
    </row>
    <row r="24350" spans="25:25" hidden="1" x14ac:dyDescent="0.25">
      <c r="Y24350" s="501"/>
    </row>
    <row r="24351" spans="25:25" hidden="1" x14ac:dyDescent="0.25">
      <c r="Y24351" s="501"/>
    </row>
    <row r="24352" spans="25:25" hidden="1" x14ac:dyDescent="0.25">
      <c r="Y24352" s="501"/>
    </row>
    <row r="24353" spans="25:25" hidden="1" x14ac:dyDescent="0.25">
      <c r="Y24353" s="501"/>
    </row>
    <row r="24354" spans="25:25" hidden="1" x14ac:dyDescent="0.25">
      <c r="Y24354" s="501"/>
    </row>
    <row r="24355" spans="25:25" hidden="1" x14ac:dyDescent="0.25">
      <c r="Y24355" s="501"/>
    </row>
    <row r="24356" spans="25:25" hidden="1" x14ac:dyDescent="0.25">
      <c r="Y24356" s="501"/>
    </row>
    <row r="24357" spans="25:25" hidden="1" x14ac:dyDescent="0.25">
      <c r="Y24357" s="501"/>
    </row>
    <row r="24358" spans="25:25" hidden="1" x14ac:dyDescent="0.25">
      <c r="Y24358" s="501"/>
    </row>
    <row r="24359" spans="25:25" hidden="1" x14ac:dyDescent="0.25">
      <c r="Y24359" s="501"/>
    </row>
    <row r="24360" spans="25:25" hidden="1" x14ac:dyDescent="0.25">
      <c r="Y24360" s="501"/>
    </row>
    <row r="24361" spans="25:25" hidden="1" x14ac:dyDescent="0.25">
      <c r="Y24361" s="501"/>
    </row>
    <row r="24362" spans="25:25" hidden="1" x14ac:dyDescent="0.25">
      <c r="Y24362" s="501"/>
    </row>
    <row r="24363" spans="25:25" hidden="1" x14ac:dyDescent="0.25">
      <c r="Y24363" s="501"/>
    </row>
    <row r="24364" spans="25:25" hidden="1" x14ac:dyDescent="0.25">
      <c r="Y24364" s="501"/>
    </row>
    <row r="24365" spans="25:25" hidden="1" x14ac:dyDescent="0.25">
      <c r="Y24365" s="501"/>
    </row>
    <row r="24366" spans="25:25" hidden="1" x14ac:dyDescent="0.25">
      <c r="Y24366" s="501"/>
    </row>
    <row r="24367" spans="25:25" hidden="1" x14ac:dyDescent="0.25">
      <c r="Y24367" s="501"/>
    </row>
    <row r="24368" spans="25:25" hidden="1" x14ac:dyDescent="0.25">
      <c r="Y24368" s="501"/>
    </row>
    <row r="24369" spans="25:25" hidden="1" x14ac:dyDescent="0.25">
      <c r="Y24369" s="501"/>
    </row>
    <row r="24370" spans="25:25" hidden="1" x14ac:dyDescent="0.25">
      <c r="Y24370" s="501"/>
    </row>
    <row r="24371" spans="25:25" hidden="1" x14ac:dyDescent="0.25">
      <c r="Y24371" s="501"/>
    </row>
    <row r="24372" spans="25:25" hidden="1" x14ac:dyDescent="0.25">
      <c r="Y24372" s="501"/>
    </row>
    <row r="24373" spans="25:25" hidden="1" x14ac:dyDescent="0.25">
      <c r="Y24373" s="501"/>
    </row>
    <row r="24374" spans="25:25" hidden="1" x14ac:dyDescent="0.25">
      <c r="Y24374" s="501"/>
    </row>
    <row r="24375" spans="25:25" hidden="1" x14ac:dyDescent="0.25">
      <c r="Y24375" s="501"/>
    </row>
    <row r="24376" spans="25:25" hidden="1" x14ac:dyDescent="0.25">
      <c r="Y24376" s="501"/>
    </row>
    <row r="24377" spans="25:25" hidden="1" x14ac:dyDescent="0.25">
      <c r="Y24377" s="501"/>
    </row>
    <row r="24378" spans="25:25" hidden="1" x14ac:dyDescent="0.25">
      <c r="Y24378" s="501"/>
    </row>
    <row r="24379" spans="25:25" hidden="1" x14ac:dyDescent="0.25">
      <c r="Y24379" s="501"/>
    </row>
    <row r="24380" spans="25:25" hidden="1" x14ac:dyDescent="0.25">
      <c r="Y24380" s="501"/>
    </row>
    <row r="24381" spans="25:25" hidden="1" x14ac:dyDescent="0.25">
      <c r="Y24381" s="501"/>
    </row>
    <row r="24382" spans="25:25" hidden="1" x14ac:dyDescent="0.25">
      <c r="Y24382" s="501"/>
    </row>
    <row r="24383" spans="25:25" hidden="1" x14ac:dyDescent="0.25">
      <c r="Y24383" s="501"/>
    </row>
    <row r="24384" spans="25:25" hidden="1" x14ac:dyDescent="0.25">
      <c r="Y24384" s="501"/>
    </row>
    <row r="24385" spans="25:25" hidden="1" x14ac:dyDescent="0.25">
      <c r="Y24385" s="501"/>
    </row>
    <row r="24386" spans="25:25" hidden="1" x14ac:dyDescent="0.25">
      <c r="Y24386" s="501"/>
    </row>
    <row r="24387" spans="25:25" hidden="1" x14ac:dyDescent="0.25">
      <c r="Y24387" s="501"/>
    </row>
    <row r="24388" spans="25:25" hidden="1" x14ac:dyDescent="0.25">
      <c r="Y24388" s="501"/>
    </row>
    <row r="24389" spans="25:25" hidden="1" x14ac:dyDescent="0.25">
      <c r="Y24389" s="501"/>
    </row>
    <row r="24390" spans="25:25" hidden="1" x14ac:dyDescent="0.25">
      <c r="Y24390" s="501"/>
    </row>
    <row r="24391" spans="25:25" hidden="1" x14ac:dyDescent="0.25">
      <c r="Y24391" s="501"/>
    </row>
    <row r="24392" spans="25:25" hidden="1" x14ac:dyDescent="0.25">
      <c r="Y24392" s="501"/>
    </row>
    <row r="24393" spans="25:25" hidden="1" x14ac:dyDescent="0.25">
      <c r="Y24393" s="501"/>
    </row>
    <row r="24394" spans="25:25" hidden="1" x14ac:dyDescent="0.25">
      <c r="Y24394" s="501"/>
    </row>
    <row r="24395" spans="25:25" hidden="1" x14ac:dyDescent="0.25">
      <c r="Y24395" s="501"/>
    </row>
    <row r="24396" spans="25:25" hidden="1" x14ac:dyDescent="0.25">
      <c r="Y24396" s="501"/>
    </row>
    <row r="24397" spans="25:25" hidden="1" x14ac:dyDescent="0.25">
      <c r="Y24397" s="501"/>
    </row>
    <row r="24398" spans="25:25" hidden="1" x14ac:dyDescent="0.25">
      <c r="Y24398" s="501"/>
    </row>
    <row r="24399" spans="25:25" hidden="1" x14ac:dyDescent="0.25">
      <c r="Y24399" s="501"/>
    </row>
    <row r="24400" spans="25:25" hidden="1" x14ac:dyDescent="0.25">
      <c r="Y24400" s="501"/>
    </row>
    <row r="24401" spans="25:25" hidden="1" x14ac:dyDescent="0.25">
      <c r="Y24401" s="501"/>
    </row>
    <row r="24402" spans="25:25" hidden="1" x14ac:dyDescent="0.25">
      <c r="Y24402" s="501"/>
    </row>
    <row r="24403" spans="25:25" hidden="1" x14ac:dyDescent="0.25">
      <c r="Y24403" s="501"/>
    </row>
    <row r="24404" spans="25:25" hidden="1" x14ac:dyDescent="0.25">
      <c r="Y24404" s="501"/>
    </row>
    <row r="24405" spans="25:25" hidden="1" x14ac:dyDescent="0.25">
      <c r="Y24405" s="501"/>
    </row>
    <row r="24406" spans="25:25" hidden="1" x14ac:dyDescent="0.25">
      <c r="Y24406" s="501"/>
    </row>
    <row r="24407" spans="25:25" hidden="1" x14ac:dyDescent="0.25">
      <c r="Y24407" s="501"/>
    </row>
    <row r="24408" spans="25:25" hidden="1" x14ac:dyDescent="0.25">
      <c r="Y24408" s="501"/>
    </row>
    <row r="24409" spans="25:25" hidden="1" x14ac:dyDescent="0.25">
      <c r="Y24409" s="501"/>
    </row>
    <row r="24410" spans="25:25" hidden="1" x14ac:dyDescent="0.25">
      <c r="Y24410" s="501"/>
    </row>
    <row r="24411" spans="25:25" hidden="1" x14ac:dyDescent="0.25">
      <c r="Y24411" s="501"/>
    </row>
    <row r="24412" spans="25:25" hidden="1" x14ac:dyDescent="0.25">
      <c r="Y24412" s="501"/>
    </row>
    <row r="24413" spans="25:25" hidden="1" x14ac:dyDescent="0.25">
      <c r="Y24413" s="501"/>
    </row>
    <row r="24414" spans="25:25" hidden="1" x14ac:dyDescent="0.25">
      <c r="Y24414" s="501"/>
    </row>
    <row r="24415" spans="25:25" hidden="1" x14ac:dyDescent="0.25">
      <c r="Y24415" s="501"/>
    </row>
    <row r="24416" spans="25:25" hidden="1" x14ac:dyDescent="0.25">
      <c r="Y24416" s="501"/>
    </row>
    <row r="24417" spans="25:25" hidden="1" x14ac:dyDescent="0.25">
      <c r="Y24417" s="501"/>
    </row>
    <row r="24418" spans="25:25" hidden="1" x14ac:dyDescent="0.25">
      <c r="Y24418" s="501"/>
    </row>
    <row r="24419" spans="25:25" hidden="1" x14ac:dyDescent="0.25">
      <c r="Y24419" s="501"/>
    </row>
    <row r="24420" spans="25:25" hidden="1" x14ac:dyDescent="0.25">
      <c r="Y24420" s="501"/>
    </row>
    <row r="24421" spans="25:25" hidden="1" x14ac:dyDescent="0.25">
      <c r="Y24421" s="501"/>
    </row>
    <row r="24422" spans="25:25" hidden="1" x14ac:dyDescent="0.25">
      <c r="Y24422" s="501"/>
    </row>
    <row r="24423" spans="25:25" hidden="1" x14ac:dyDescent="0.25">
      <c r="Y24423" s="501"/>
    </row>
    <row r="24424" spans="25:25" hidden="1" x14ac:dyDescent="0.25">
      <c r="Y24424" s="501"/>
    </row>
    <row r="24425" spans="25:25" hidden="1" x14ac:dyDescent="0.25">
      <c r="Y24425" s="501"/>
    </row>
    <row r="24426" spans="25:25" hidden="1" x14ac:dyDescent="0.25">
      <c r="Y24426" s="501"/>
    </row>
    <row r="24427" spans="25:25" hidden="1" x14ac:dyDescent="0.25">
      <c r="Y24427" s="501"/>
    </row>
    <row r="24428" spans="25:25" hidden="1" x14ac:dyDescent="0.25">
      <c r="Y24428" s="501"/>
    </row>
    <row r="24429" spans="25:25" hidden="1" x14ac:dyDescent="0.25">
      <c r="Y24429" s="501"/>
    </row>
    <row r="24430" spans="25:25" hidden="1" x14ac:dyDescent="0.25">
      <c r="Y24430" s="501"/>
    </row>
    <row r="24431" spans="25:25" hidden="1" x14ac:dyDescent="0.25">
      <c r="Y24431" s="501"/>
    </row>
    <row r="24432" spans="25:25" hidden="1" x14ac:dyDescent="0.25">
      <c r="Y24432" s="501"/>
    </row>
    <row r="24433" spans="25:25" hidden="1" x14ac:dyDescent="0.25">
      <c r="Y24433" s="501"/>
    </row>
    <row r="24434" spans="25:25" hidden="1" x14ac:dyDescent="0.25">
      <c r="Y24434" s="501"/>
    </row>
    <row r="24435" spans="25:25" hidden="1" x14ac:dyDescent="0.25">
      <c r="Y24435" s="501"/>
    </row>
    <row r="24436" spans="25:25" hidden="1" x14ac:dyDescent="0.25">
      <c r="Y24436" s="501"/>
    </row>
    <row r="24437" spans="25:25" hidden="1" x14ac:dyDescent="0.25">
      <c r="Y24437" s="501"/>
    </row>
    <row r="24438" spans="25:25" hidden="1" x14ac:dyDescent="0.25">
      <c r="Y24438" s="501"/>
    </row>
    <row r="24439" spans="25:25" hidden="1" x14ac:dyDescent="0.25">
      <c r="Y24439" s="501"/>
    </row>
    <row r="24440" spans="25:25" hidden="1" x14ac:dyDescent="0.25">
      <c r="Y24440" s="501"/>
    </row>
    <row r="24441" spans="25:25" hidden="1" x14ac:dyDescent="0.25">
      <c r="Y24441" s="501"/>
    </row>
    <row r="24442" spans="25:25" hidden="1" x14ac:dyDescent="0.25">
      <c r="Y24442" s="501"/>
    </row>
    <row r="24443" spans="25:25" hidden="1" x14ac:dyDescent="0.25">
      <c r="Y24443" s="501"/>
    </row>
    <row r="24444" spans="25:25" hidden="1" x14ac:dyDescent="0.25">
      <c r="Y24444" s="501"/>
    </row>
    <row r="24445" spans="25:25" hidden="1" x14ac:dyDescent="0.25">
      <c r="Y24445" s="501"/>
    </row>
    <row r="24446" spans="25:25" hidden="1" x14ac:dyDescent="0.25">
      <c r="Y24446" s="501"/>
    </row>
    <row r="24447" spans="25:25" hidden="1" x14ac:dyDescent="0.25">
      <c r="Y24447" s="501"/>
    </row>
    <row r="24448" spans="25:25" hidden="1" x14ac:dyDescent="0.25">
      <c r="Y24448" s="501"/>
    </row>
    <row r="24449" spans="25:25" hidden="1" x14ac:dyDescent="0.25">
      <c r="Y24449" s="501"/>
    </row>
    <row r="24450" spans="25:25" hidden="1" x14ac:dyDescent="0.25">
      <c r="Y24450" s="501"/>
    </row>
    <row r="24451" spans="25:25" hidden="1" x14ac:dyDescent="0.25">
      <c r="Y24451" s="501"/>
    </row>
    <row r="24452" spans="25:25" hidden="1" x14ac:dyDescent="0.25">
      <c r="Y24452" s="501"/>
    </row>
    <row r="24453" spans="25:25" hidden="1" x14ac:dyDescent="0.25">
      <c r="Y24453" s="501"/>
    </row>
    <row r="24454" spans="25:25" hidden="1" x14ac:dyDescent="0.25">
      <c r="Y24454" s="501"/>
    </row>
    <row r="24455" spans="25:25" hidden="1" x14ac:dyDescent="0.25">
      <c r="Y24455" s="501"/>
    </row>
    <row r="24456" spans="25:25" hidden="1" x14ac:dyDescent="0.25">
      <c r="Y24456" s="501"/>
    </row>
    <row r="24457" spans="25:25" hidden="1" x14ac:dyDescent="0.25">
      <c r="Y24457" s="501"/>
    </row>
    <row r="24458" spans="25:25" hidden="1" x14ac:dyDescent="0.25">
      <c r="Y24458" s="501"/>
    </row>
    <row r="24459" spans="25:25" hidden="1" x14ac:dyDescent="0.25">
      <c r="Y24459" s="501"/>
    </row>
    <row r="24460" spans="25:25" hidden="1" x14ac:dyDescent="0.25">
      <c r="Y24460" s="501"/>
    </row>
    <row r="24461" spans="25:25" hidden="1" x14ac:dyDescent="0.25">
      <c r="Y24461" s="501"/>
    </row>
    <row r="24462" spans="25:25" hidden="1" x14ac:dyDescent="0.25">
      <c r="Y24462" s="501"/>
    </row>
    <row r="24463" spans="25:25" hidden="1" x14ac:dyDescent="0.25">
      <c r="Y24463" s="501"/>
    </row>
    <row r="24464" spans="25:25" hidden="1" x14ac:dyDescent="0.25">
      <c r="Y24464" s="501"/>
    </row>
    <row r="24465" spans="25:25" hidden="1" x14ac:dyDescent="0.25">
      <c r="Y24465" s="501"/>
    </row>
    <row r="24466" spans="25:25" hidden="1" x14ac:dyDescent="0.25">
      <c r="Y24466" s="501"/>
    </row>
    <row r="24467" spans="25:25" hidden="1" x14ac:dyDescent="0.25">
      <c r="Y24467" s="501"/>
    </row>
    <row r="24468" spans="25:25" hidden="1" x14ac:dyDescent="0.25">
      <c r="Y24468" s="501"/>
    </row>
    <row r="24469" spans="25:25" hidden="1" x14ac:dyDescent="0.25">
      <c r="Y24469" s="501"/>
    </row>
    <row r="24470" spans="25:25" hidden="1" x14ac:dyDescent="0.25">
      <c r="Y24470" s="501"/>
    </row>
    <row r="24471" spans="25:25" hidden="1" x14ac:dyDescent="0.25">
      <c r="Y24471" s="501"/>
    </row>
    <row r="24472" spans="25:25" hidden="1" x14ac:dyDescent="0.25">
      <c r="Y24472" s="501"/>
    </row>
    <row r="24473" spans="25:25" hidden="1" x14ac:dyDescent="0.25">
      <c r="Y24473" s="501"/>
    </row>
    <row r="24474" spans="25:25" hidden="1" x14ac:dyDescent="0.25">
      <c r="Y24474" s="501"/>
    </row>
    <row r="24475" spans="25:25" hidden="1" x14ac:dyDescent="0.25">
      <c r="Y24475" s="501"/>
    </row>
    <row r="24476" spans="25:25" hidden="1" x14ac:dyDescent="0.25">
      <c r="Y24476" s="501"/>
    </row>
    <row r="24477" spans="25:25" hidden="1" x14ac:dyDescent="0.25">
      <c r="Y24477" s="501"/>
    </row>
    <row r="24478" spans="25:25" hidden="1" x14ac:dyDescent="0.25">
      <c r="Y24478" s="501"/>
    </row>
    <row r="24479" spans="25:25" hidden="1" x14ac:dyDescent="0.25">
      <c r="Y24479" s="501"/>
    </row>
    <row r="24480" spans="25:25" hidden="1" x14ac:dyDescent="0.25">
      <c r="Y24480" s="501"/>
    </row>
    <row r="24481" spans="25:25" hidden="1" x14ac:dyDescent="0.25">
      <c r="Y24481" s="501"/>
    </row>
    <row r="24482" spans="25:25" hidden="1" x14ac:dyDescent="0.25">
      <c r="Y24482" s="501"/>
    </row>
    <row r="24483" spans="25:25" hidden="1" x14ac:dyDescent="0.25">
      <c r="Y24483" s="501"/>
    </row>
    <row r="24484" spans="25:25" hidden="1" x14ac:dyDescent="0.25">
      <c r="Y24484" s="501"/>
    </row>
    <row r="24485" spans="25:25" hidden="1" x14ac:dyDescent="0.25">
      <c r="Y24485" s="501"/>
    </row>
    <row r="24486" spans="25:25" hidden="1" x14ac:dyDescent="0.25">
      <c r="Y24486" s="501"/>
    </row>
    <row r="24487" spans="25:25" hidden="1" x14ac:dyDescent="0.25">
      <c r="Y24487" s="501"/>
    </row>
    <row r="24488" spans="25:25" hidden="1" x14ac:dyDescent="0.25">
      <c r="Y24488" s="501"/>
    </row>
    <row r="24489" spans="25:25" hidden="1" x14ac:dyDescent="0.25">
      <c r="Y24489" s="501"/>
    </row>
    <row r="24490" spans="25:25" hidden="1" x14ac:dyDescent="0.25">
      <c r="Y24490" s="501"/>
    </row>
    <row r="24491" spans="25:25" hidden="1" x14ac:dyDescent="0.25">
      <c r="Y24491" s="501"/>
    </row>
    <row r="24492" spans="25:25" hidden="1" x14ac:dyDescent="0.25">
      <c r="Y24492" s="501"/>
    </row>
    <row r="24493" spans="25:25" hidden="1" x14ac:dyDescent="0.25">
      <c r="Y24493" s="501"/>
    </row>
    <row r="24494" spans="25:25" hidden="1" x14ac:dyDescent="0.25">
      <c r="Y24494" s="501"/>
    </row>
    <row r="24495" spans="25:25" hidden="1" x14ac:dyDescent="0.25">
      <c r="Y24495" s="501"/>
    </row>
    <row r="24496" spans="25:25" hidden="1" x14ac:dyDescent="0.25">
      <c r="Y24496" s="501"/>
    </row>
    <row r="24497" spans="25:25" hidden="1" x14ac:dyDescent="0.25">
      <c r="Y24497" s="501"/>
    </row>
    <row r="24498" spans="25:25" hidden="1" x14ac:dyDescent="0.25">
      <c r="Y24498" s="501"/>
    </row>
    <row r="24499" spans="25:25" hidden="1" x14ac:dyDescent="0.25">
      <c r="Y24499" s="501"/>
    </row>
    <row r="24500" spans="25:25" hidden="1" x14ac:dyDescent="0.25">
      <c r="Y24500" s="501"/>
    </row>
    <row r="24501" spans="25:25" hidden="1" x14ac:dyDescent="0.25">
      <c r="Y24501" s="501"/>
    </row>
    <row r="24502" spans="25:25" hidden="1" x14ac:dyDescent="0.25">
      <c r="Y24502" s="501"/>
    </row>
    <row r="24503" spans="25:25" hidden="1" x14ac:dyDescent="0.25">
      <c r="Y24503" s="501"/>
    </row>
    <row r="24504" spans="25:25" hidden="1" x14ac:dyDescent="0.25">
      <c r="Y24504" s="501"/>
    </row>
    <row r="24505" spans="25:25" hidden="1" x14ac:dyDescent="0.25">
      <c r="Y24505" s="501"/>
    </row>
    <row r="24506" spans="25:25" hidden="1" x14ac:dyDescent="0.25">
      <c r="Y24506" s="501"/>
    </row>
    <row r="24507" spans="25:25" hidden="1" x14ac:dyDescent="0.25">
      <c r="Y24507" s="501"/>
    </row>
    <row r="24508" spans="25:25" hidden="1" x14ac:dyDescent="0.25">
      <c r="Y24508" s="501"/>
    </row>
    <row r="24509" spans="25:25" hidden="1" x14ac:dyDescent="0.25">
      <c r="Y24509" s="501"/>
    </row>
    <row r="24510" spans="25:25" hidden="1" x14ac:dyDescent="0.25">
      <c r="Y24510" s="501"/>
    </row>
    <row r="24511" spans="25:25" hidden="1" x14ac:dyDescent="0.25">
      <c r="Y24511" s="501"/>
    </row>
    <row r="24512" spans="25:25" hidden="1" x14ac:dyDescent="0.25">
      <c r="Y24512" s="501"/>
    </row>
    <row r="24513" spans="25:25" hidden="1" x14ac:dyDescent="0.25">
      <c r="Y24513" s="501"/>
    </row>
    <row r="24514" spans="25:25" hidden="1" x14ac:dyDescent="0.25">
      <c r="Y24514" s="501"/>
    </row>
    <row r="24515" spans="25:25" hidden="1" x14ac:dyDescent="0.25">
      <c r="Y24515" s="501"/>
    </row>
    <row r="24516" spans="25:25" hidden="1" x14ac:dyDescent="0.25">
      <c r="Y24516" s="501"/>
    </row>
    <row r="24517" spans="25:25" hidden="1" x14ac:dyDescent="0.25">
      <c r="Y24517" s="501"/>
    </row>
    <row r="24518" spans="25:25" hidden="1" x14ac:dyDescent="0.25">
      <c r="Y24518" s="501"/>
    </row>
    <row r="24519" spans="25:25" hidden="1" x14ac:dyDescent="0.25">
      <c r="Y24519" s="501"/>
    </row>
    <row r="24520" spans="25:25" hidden="1" x14ac:dyDescent="0.25">
      <c r="Y24520" s="501"/>
    </row>
    <row r="24521" spans="25:25" hidden="1" x14ac:dyDescent="0.25">
      <c r="Y24521" s="501"/>
    </row>
    <row r="24522" spans="25:25" hidden="1" x14ac:dyDescent="0.25">
      <c r="Y24522" s="501"/>
    </row>
    <row r="24523" spans="25:25" hidden="1" x14ac:dyDescent="0.25">
      <c r="Y24523" s="501"/>
    </row>
    <row r="24524" spans="25:25" hidden="1" x14ac:dyDescent="0.25">
      <c r="Y24524" s="501"/>
    </row>
    <row r="24525" spans="25:25" hidden="1" x14ac:dyDescent="0.25">
      <c r="Y24525" s="501"/>
    </row>
    <row r="24526" spans="25:25" hidden="1" x14ac:dyDescent="0.25">
      <c r="Y24526" s="501"/>
    </row>
    <row r="24527" spans="25:25" hidden="1" x14ac:dyDescent="0.25">
      <c r="Y24527" s="501"/>
    </row>
    <row r="24528" spans="25:25" hidden="1" x14ac:dyDescent="0.25">
      <c r="Y24528" s="501"/>
    </row>
    <row r="24529" spans="25:25" hidden="1" x14ac:dyDescent="0.25">
      <c r="Y24529" s="501"/>
    </row>
    <row r="24530" spans="25:25" hidden="1" x14ac:dyDescent="0.25">
      <c r="Y24530" s="501"/>
    </row>
    <row r="24531" spans="25:25" hidden="1" x14ac:dyDescent="0.25">
      <c r="Y24531" s="501"/>
    </row>
    <row r="24532" spans="25:25" hidden="1" x14ac:dyDescent="0.25">
      <c r="Y24532" s="501"/>
    </row>
    <row r="24533" spans="25:25" hidden="1" x14ac:dyDescent="0.25">
      <c r="Y24533" s="501"/>
    </row>
    <row r="24534" spans="25:25" hidden="1" x14ac:dyDescent="0.25">
      <c r="Y24534" s="501"/>
    </row>
    <row r="24535" spans="25:25" hidden="1" x14ac:dyDescent="0.25">
      <c r="Y24535" s="501"/>
    </row>
    <row r="24536" spans="25:25" hidden="1" x14ac:dyDescent="0.25">
      <c r="Y24536" s="501"/>
    </row>
    <row r="24537" spans="25:25" hidden="1" x14ac:dyDescent="0.25">
      <c r="Y24537" s="501"/>
    </row>
    <row r="24538" spans="25:25" hidden="1" x14ac:dyDescent="0.25">
      <c r="Y24538" s="501"/>
    </row>
    <row r="24539" spans="25:25" hidden="1" x14ac:dyDescent="0.25">
      <c r="Y24539" s="501"/>
    </row>
    <row r="24540" spans="25:25" hidden="1" x14ac:dyDescent="0.25">
      <c r="Y24540" s="501"/>
    </row>
    <row r="24541" spans="25:25" hidden="1" x14ac:dyDescent="0.25">
      <c r="Y24541" s="501"/>
    </row>
    <row r="24542" spans="25:25" hidden="1" x14ac:dyDescent="0.25">
      <c r="Y24542" s="501"/>
    </row>
    <row r="24543" spans="25:25" hidden="1" x14ac:dyDescent="0.25">
      <c r="Y24543" s="501"/>
    </row>
    <row r="24544" spans="25:25" hidden="1" x14ac:dyDescent="0.25">
      <c r="Y24544" s="501"/>
    </row>
    <row r="24545" spans="25:25" hidden="1" x14ac:dyDescent="0.25">
      <c r="Y24545" s="501"/>
    </row>
    <row r="24546" spans="25:25" hidden="1" x14ac:dyDescent="0.25">
      <c r="Y24546" s="501"/>
    </row>
    <row r="24547" spans="25:25" hidden="1" x14ac:dyDescent="0.25">
      <c r="Y24547" s="501"/>
    </row>
    <row r="24548" spans="25:25" hidden="1" x14ac:dyDescent="0.25">
      <c r="Y24548" s="501"/>
    </row>
    <row r="24549" spans="25:25" hidden="1" x14ac:dyDescent="0.25">
      <c r="Y24549" s="501"/>
    </row>
    <row r="24550" spans="25:25" hidden="1" x14ac:dyDescent="0.25">
      <c r="Y24550" s="501"/>
    </row>
    <row r="24551" spans="25:25" hidden="1" x14ac:dyDescent="0.25">
      <c r="Y24551" s="501"/>
    </row>
    <row r="24552" spans="25:25" hidden="1" x14ac:dyDescent="0.25">
      <c r="Y24552" s="501"/>
    </row>
    <row r="24553" spans="25:25" hidden="1" x14ac:dyDescent="0.25">
      <c r="Y24553" s="501"/>
    </row>
    <row r="24554" spans="25:25" hidden="1" x14ac:dyDescent="0.25">
      <c r="Y24554" s="501"/>
    </row>
    <row r="24555" spans="25:25" hidden="1" x14ac:dyDescent="0.25">
      <c r="Y24555" s="501"/>
    </row>
    <row r="24556" spans="25:25" hidden="1" x14ac:dyDescent="0.25">
      <c r="Y24556" s="501"/>
    </row>
    <row r="24557" spans="25:25" hidden="1" x14ac:dyDescent="0.25">
      <c r="Y24557" s="501"/>
    </row>
    <row r="24558" spans="25:25" hidden="1" x14ac:dyDescent="0.25">
      <c r="Y24558" s="501"/>
    </row>
    <row r="24559" spans="25:25" hidden="1" x14ac:dyDescent="0.25">
      <c r="Y24559" s="501"/>
    </row>
    <row r="24560" spans="25:25" hidden="1" x14ac:dyDescent="0.25">
      <c r="Y24560" s="501"/>
    </row>
    <row r="24561" spans="25:25" hidden="1" x14ac:dyDescent="0.25">
      <c r="Y24561" s="501"/>
    </row>
    <row r="24562" spans="25:25" hidden="1" x14ac:dyDescent="0.25">
      <c r="Y24562" s="501"/>
    </row>
    <row r="24563" spans="25:25" hidden="1" x14ac:dyDescent="0.25">
      <c r="Y24563" s="501"/>
    </row>
    <row r="24564" spans="25:25" hidden="1" x14ac:dyDescent="0.25">
      <c r="Y24564" s="501"/>
    </row>
    <row r="24565" spans="25:25" hidden="1" x14ac:dyDescent="0.25">
      <c r="Y24565" s="501"/>
    </row>
    <row r="24566" spans="25:25" hidden="1" x14ac:dyDescent="0.25">
      <c r="Y24566" s="501"/>
    </row>
    <row r="24567" spans="25:25" hidden="1" x14ac:dyDescent="0.25">
      <c r="Y24567" s="501"/>
    </row>
    <row r="24568" spans="25:25" hidden="1" x14ac:dyDescent="0.25">
      <c r="Y24568" s="501"/>
    </row>
    <row r="24569" spans="25:25" hidden="1" x14ac:dyDescent="0.25">
      <c r="Y24569" s="501"/>
    </row>
    <row r="24570" spans="25:25" hidden="1" x14ac:dyDescent="0.25">
      <c r="Y24570" s="501"/>
    </row>
    <row r="24571" spans="25:25" hidden="1" x14ac:dyDescent="0.25">
      <c r="Y24571" s="501"/>
    </row>
    <row r="24572" spans="25:25" hidden="1" x14ac:dyDescent="0.25">
      <c r="Y24572" s="501"/>
    </row>
    <row r="24573" spans="25:25" hidden="1" x14ac:dyDescent="0.25">
      <c r="Y24573" s="501"/>
    </row>
    <row r="24574" spans="25:25" hidden="1" x14ac:dyDescent="0.25">
      <c r="Y24574" s="501"/>
    </row>
    <row r="24575" spans="25:25" hidden="1" x14ac:dyDescent="0.25">
      <c r="Y24575" s="501"/>
    </row>
    <row r="24576" spans="25:25" hidden="1" x14ac:dyDescent="0.25">
      <c r="Y24576" s="501"/>
    </row>
    <row r="24577" spans="25:25" hidden="1" x14ac:dyDescent="0.25">
      <c r="Y24577" s="501"/>
    </row>
    <row r="24578" spans="25:25" hidden="1" x14ac:dyDescent="0.25">
      <c r="Y24578" s="501"/>
    </row>
    <row r="24579" spans="25:25" hidden="1" x14ac:dyDescent="0.25">
      <c r="Y24579" s="501"/>
    </row>
    <row r="24580" spans="25:25" hidden="1" x14ac:dyDescent="0.25">
      <c r="Y24580" s="501"/>
    </row>
    <row r="24581" spans="25:25" hidden="1" x14ac:dyDescent="0.25">
      <c r="Y24581" s="501"/>
    </row>
    <row r="24582" spans="25:25" hidden="1" x14ac:dyDescent="0.25">
      <c r="Y24582" s="501"/>
    </row>
    <row r="24583" spans="25:25" hidden="1" x14ac:dyDescent="0.25">
      <c r="Y24583" s="501"/>
    </row>
    <row r="24584" spans="25:25" hidden="1" x14ac:dyDescent="0.25">
      <c r="Y24584" s="501"/>
    </row>
    <row r="24585" spans="25:25" hidden="1" x14ac:dyDescent="0.25">
      <c r="Y24585" s="501"/>
    </row>
    <row r="24586" spans="25:25" hidden="1" x14ac:dyDescent="0.25">
      <c r="Y24586" s="501"/>
    </row>
    <row r="24587" spans="25:25" hidden="1" x14ac:dyDescent="0.25">
      <c r="Y24587" s="501"/>
    </row>
    <row r="24588" spans="25:25" hidden="1" x14ac:dyDescent="0.25">
      <c r="Y24588" s="501"/>
    </row>
    <row r="24589" spans="25:25" hidden="1" x14ac:dyDescent="0.25">
      <c r="Y24589" s="501"/>
    </row>
    <row r="24590" spans="25:25" hidden="1" x14ac:dyDescent="0.25">
      <c r="Y24590" s="501"/>
    </row>
    <row r="24591" spans="25:25" hidden="1" x14ac:dyDescent="0.25">
      <c r="Y24591" s="501"/>
    </row>
    <row r="24592" spans="25:25" hidden="1" x14ac:dyDescent="0.25">
      <c r="Y24592" s="501"/>
    </row>
    <row r="24593" spans="25:25" hidden="1" x14ac:dyDescent="0.25">
      <c r="Y24593" s="501"/>
    </row>
    <row r="24594" spans="25:25" hidden="1" x14ac:dyDescent="0.25">
      <c r="Y24594" s="501"/>
    </row>
    <row r="24595" spans="25:25" hidden="1" x14ac:dyDescent="0.25">
      <c r="Y24595" s="501"/>
    </row>
    <row r="24596" spans="25:25" hidden="1" x14ac:dyDescent="0.25">
      <c r="Y24596" s="501"/>
    </row>
    <row r="24597" spans="25:25" hidden="1" x14ac:dyDescent="0.25">
      <c r="Y24597" s="501"/>
    </row>
    <row r="24598" spans="25:25" hidden="1" x14ac:dyDescent="0.25">
      <c r="Y24598" s="501"/>
    </row>
    <row r="24599" spans="25:25" hidden="1" x14ac:dyDescent="0.25">
      <c r="Y24599" s="501"/>
    </row>
    <row r="24600" spans="25:25" hidden="1" x14ac:dyDescent="0.25">
      <c r="Y24600" s="501"/>
    </row>
    <row r="24601" spans="25:25" hidden="1" x14ac:dyDescent="0.25">
      <c r="Y24601" s="501"/>
    </row>
    <row r="24602" spans="25:25" hidden="1" x14ac:dyDescent="0.25">
      <c r="Y24602" s="501"/>
    </row>
    <row r="24603" spans="25:25" hidden="1" x14ac:dyDescent="0.25">
      <c r="Y24603" s="501"/>
    </row>
    <row r="24604" spans="25:25" hidden="1" x14ac:dyDescent="0.25">
      <c r="Y24604" s="501"/>
    </row>
    <row r="24605" spans="25:25" hidden="1" x14ac:dyDescent="0.25">
      <c r="Y24605" s="501"/>
    </row>
    <row r="24606" spans="25:25" hidden="1" x14ac:dyDescent="0.25">
      <c r="Y24606" s="501"/>
    </row>
    <row r="24607" spans="25:25" hidden="1" x14ac:dyDescent="0.25">
      <c r="Y24607" s="501"/>
    </row>
    <row r="24608" spans="25:25" hidden="1" x14ac:dyDescent="0.25">
      <c r="Y24608" s="501"/>
    </row>
    <row r="24609" spans="25:25" hidden="1" x14ac:dyDescent="0.25">
      <c r="Y24609" s="501"/>
    </row>
    <row r="24610" spans="25:25" hidden="1" x14ac:dyDescent="0.25">
      <c r="Y24610" s="501"/>
    </row>
    <row r="24611" spans="25:25" hidden="1" x14ac:dyDescent="0.25">
      <c r="Y24611" s="501"/>
    </row>
    <row r="24612" spans="25:25" hidden="1" x14ac:dyDescent="0.25">
      <c r="Y24612" s="501"/>
    </row>
    <row r="24613" spans="25:25" hidden="1" x14ac:dyDescent="0.25">
      <c r="Y24613" s="501"/>
    </row>
    <row r="24614" spans="25:25" hidden="1" x14ac:dyDescent="0.25">
      <c r="Y24614" s="501"/>
    </row>
    <row r="24615" spans="25:25" hidden="1" x14ac:dyDescent="0.25">
      <c r="Y24615" s="501"/>
    </row>
    <row r="24616" spans="25:25" hidden="1" x14ac:dyDescent="0.25">
      <c r="Y24616" s="501"/>
    </row>
    <row r="24617" spans="25:25" hidden="1" x14ac:dyDescent="0.25">
      <c r="Y24617" s="501"/>
    </row>
    <row r="24618" spans="25:25" hidden="1" x14ac:dyDescent="0.25">
      <c r="Y24618" s="501"/>
    </row>
    <row r="24619" spans="25:25" hidden="1" x14ac:dyDescent="0.25">
      <c r="Y24619" s="501"/>
    </row>
    <row r="24620" spans="25:25" hidden="1" x14ac:dyDescent="0.25">
      <c r="Y24620" s="501"/>
    </row>
    <row r="24621" spans="25:25" hidden="1" x14ac:dyDescent="0.25">
      <c r="Y24621" s="501"/>
    </row>
    <row r="24622" spans="25:25" hidden="1" x14ac:dyDescent="0.25">
      <c r="Y24622" s="501"/>
    </row>
    <row r="24623" spans="25:25" hidden="1" x14ac:dyDescent="0.25">
      <c r="Y24623" s="501"/>
    </row>
    <row r="24624" spans="25:25" hidden="1" x14ac:dyDescent="0.25">
      <c r="Y24624" s="501"/>
    </row>
    <row r="24625" spans="25:25" hidden="1" x14ac:dyDescent="0.25">
      <c r="Y24625" s="501"/>
    </row>
    <row r="24626" spans="25:25" hidden="1" x14ac:dyDescent="0.25">
      <c r="Y24626" s="501"/>
    </row>
    <row r="24627" spans="25:25" hidden="1" x14ac:dyDescent="0.25">
      <c r="Y24627" s="501"/>
    </row>
    <row r="24628" spans="25:25" hidden="1" x14ac:dyDescent="0.25">
      <c r="Y24628" s="501"/>
    </row>
    <row r="24629" spans="25:25" hidden="1" x14ac:dyDescent="0.25">
      <c r="Y24629" s="501"/>
    </row>
    <row r="24630" spans="25:25" hidden="1" x14ac:dyDescent="0.25">
      <c r="Y24630" s="501"/>
    </row>
    <row r="24631" spans="25:25" hidden="1" x14ac:dyDescent="0.25">
      <c r="Y24631" s="501"/>
    </row>
    <row r="24632" spans="25:25" hidden="1" x14ac:dyDescent="0.25">
      <c r="Y24632" s="501"/>
    </row>
    <row r="24633" spans="25:25" hidden="1" x14ac:dyDescent="0.25">
      <c r="Y24633" s="501"/>
    </row>
    <row r="24634" spans="25:25" hidden="1" x14ac:dyDescent="0.25">
      <c r="Y24634" s="501"/>
    </row>
    <row r="24635" spans="25:25" hidden="1" x14ac:dyDescent="0.25">
      <c r="Y24635" s="501"/>
    </row>
    <row r="24636" spans="25:25" hidden="1" x14ac:dyDescent="0.25">
      <c r="Y24636" s="501"/>
    </row>
    <row r="24637" spans="25:25" hidden="1" x14ac:dyDescent="0.25">
      <c r="Y24637" s="501"/>
    </row>
    <row r="24638" spans="25:25" hidden="1" x14ac:dyDescent="0.25">
      <c r="Y24638" s="501"/>
    </row>
    <row r="24639" spans="25:25" hidden="1" x14ac:dyDescent="0.25">
      <c r="Y24639" s="501"/>
    </row>
    <row r="24640" spans="25:25" hidden="1" x14ac:dyDescent="0.25">
      <c r="Y24640" s="501"/>
    </row>
    <row r="24641" spans="25:25" hidden="1" x14ac:dyDescent="0.25">
      <c r="Y24641" s="501"/>
    </row>
    <row r="24642" spans="25:25" hidden="1" x14ac:dyDescent="0.25">
      <c r="Y24642" s="501"/>
    </row>
    <row r="24643" spans="25:25" hidden="1" x14ac:dyDescent="0.25">
      <c r="Y24643" s="501"/>
    </row>
    <row r="24644" spans="25:25" hidden="1" x14ac:dyDescent="0.25">
      <c r="Y24644" s="501"/>
    </row>
    <row r="24645" spans="25:25" hidden="1" x14ac:dyDescent="0.25">
      <c r="Y24645" s="501"/>
    </row>
    <row r="24646" spans="25:25" hidden="1" x14ac:dyDescent="0.25">
      <c r="Y24646" s="501"/>
    </row>
    <row r="24647" spans="25:25" hidden="1" x14ac:dyDescent="0.25">
      <c r="Y24647" s="501"/>
    </row>
    <row r="24648" spans="25:25" hidden="1" x14ac:dyDescent="0.25">
      <c r="Y24648" s="501"/>
    </row>
    <row r="24649" spans="25:25" hidden="1" x14ac:dyDescent="0.25">
      <c r="Y24649" s="501"/>
    </row>
    <row r="24650" spans="25:25" hidden="1" x14ac:dyDescent="0.25">
      <c r="Y24650" s="501"/>
    </row>
    <row r="24651" spans="25:25" hidden="1" x14ac:dyDescent="0.25">
      <c r="Y24651" s="501"/>
    </row>
    <row r="24652" spans="25:25" hidden="1" x14ac:dyDescent="0.25">
      <c r="Y24652" s="501"/>
    </row>
    <row r="24653" spans="25:25" hidden="1" x14ac:dyDescent="0.25">
      <c r="Y24653" s="501"/>
    </row>
    <row r="24654" spans="25:25" hidden="1" x14ac:dyDescent="0.25">
      <c r="Y24654" s="501"/>
    </row>
    <row r="24655" spans="25:25" hidden="1" x14ac:dyDescent="0.25">
      <c r="Y24655" s="501"/>
    </row>
    <row r="24656" spans="25:25" hidden="1" x14ac:dyDescent="0.25">
      <c r="Y24656" s="501"/>
    </row>
    <row r="24657" spans="25:25" hidden="1" x14ac:dyDescent="0.25">
      <c r="Y24657" s="501"/>
    </row>
    <row r="24658" spans="25:25" hidden="1" x14ac:dyDescent="0.25">
      <c r="Y24658" s="501"/>
    </row>
    <row r="24659" spans="25:25" hidden="1" x14ac:dyDescent="0.25">
      <c r="Y24659" s="501"/>
    </row>
    <row r="24660" spans="25:25" hidden="1" x14ac:dyDescent="0.25">
      <c r="Y24660" s="501"/>
    </row>
    <row r="24661" spans="25:25" hidden="1" x14ac:dyDescent="0.25">
      <c r="Y24661" s="501"/>
    </row>
    <row r="24662" spans="25:25" hidden="1" x14ac:dyDescent="0.25">
      <c r="Y24662" s="501"/>
    </row>
    <row r="24663" spans="25:25" hidden="1" x14ac:dyDescent="0.25">
      <c r="Y24663" s="501"/>
    </row>
    <row r="24664" spans="25:25" hidden="1" x14ac:dyDescent="0.25">
      <c r="Y24664" s="501"/>
    </row>
    <row r="24665" spans="25:25" hidden="1" x14ac:dyDescent="0.25">
      <c r="Y24665" s="501"/>
    </row>
    <row r="24666" spans="25:25" hidden="1" x14ac:dyDescent="0.25">
      <c r="Y24666" s="501"/>
    </row>
    <row r="24667" spans="25:25" hidden="1" x14ac:dyDescent="0.25">
      <c r="Y24667" s="501"/>
    </row>
    <row r="24668" spans="25:25" hidden="1" x14ac:dyDescent="0.25">
      <c r="Y24668" s="501"/>
    </row>
    <row r="24669" spans="25:25" hidden="1" x14ac:dyDescent="0.25">
      <c r="Y24669" s="501"/>
    </row>
    <row r="24670" spans="25:25" hidden="1" x14ac:dyDescent="0.25">
      <c r="Y24670" s="501"/>
    </row>
    <row r="24671" spans="25:25" hidden="1" x14ac:dyDescent="0.25">
      <c r="Y24671" s="501"/>
    </row>
    <row r="24672" spans="25:25" hidden="1" x14ac:dyDescent="0.25">
      <c r="Y24672" s="501"/>
    </row>
    <row r="24673" spans="25:25" hidden="1" x14ac:dyDescent="0.25">
      <c r="Y24673" s="501"/>
    </row>
    <row r="24674" spans="25:25" hidden="1" x14ac:dyDescent="0.25">
      <c r="Y24674" s="501"/>
    </row>
    <row r="24675" spans="25:25" hidden="1" x14ac:dyDescent="0.25">
      <c r="Y24675" s="501"/>
    </row>
    <row r="24676" spans="25:25" hidden="1" x14ac:dyDescent="0.25">
      <c r="Y24676" s="501"/>
    </row>
    <row r="24677" spans="25:25" hidden="1" x14ac:dyDescent="0.25">
      <c r="Y24677" s="501"/>
    </row>
    <row r="24678" spans="25:25" hidden="1" x14ac:dyDescent="0.25">
      <c r="Y24678" s="501"/>
    </row>
    <row r="24679" spans="25:25" hidden="1" x14ac:dyDescent="0.25">
      <c r="Y24679" s="501"/>
    </row>
    <row r="24680" spans="25:25" hidden="1" x14ac:dyDescent="0.25">
      <c r="Y24680" s="501"/>
    </row>
    <row r="24681" spans="25:25" hidden="1" x14ac:dyDescent="0.25">
      <c r="Y24681" s="501"/>
    </row>
    <row r="24682" spans="25:25" hidden="1" x14ac:dyDescent="0.25">
      <c r="Y24682" s="501"/>
    </row>
    <row r="24683" spans="25:25" hidden="1" x14ac:dyDescent="0.25">
      <c r="Y24683" s="501"/>
    </row>
    <row r="24684" spans="25:25" hidden="1" x14ac:dyDescent="0.25">
      <c r="Y24684" s="501"/>
    </row>
    <row r="24685" spans="25:25" hidden="1" x14ac:dyDescent="0.25">
      <c r="Y24685" s="501"/>
    </row>
    <row r="24686" spans="25:25" hidden="1" x14ac:dyDescent="0.25">
      <c r="Y24686" s="501"/>
    </row>
    <row r="24687" spans="25:25" hidden="1" x14ac:dyDescent="0.25">
      <c r="Y24687" s="501"/>
    </row>
    <row r="24688" spans="25:25" hidden="1" x14ac:dyDescent="0.25">
      <c r="Y24688" s="501"/>
    </row>
    <row r="24689" spans="25:25" hidden="1" x14ac:dyDescent="0.25">
      <c r="Y24689" s="501"/>
    </row>
    <row r="24690" spans="25:25" hidden="1" x14ac:dyDescent="0.25">
      <c r="Y24690" s="501"/>
    </row>
    <row r="24691" spans="25:25" hidden="1" x14ac:dyDescent="0.25">
      <c r="Y24691" s="501"/>
    </row>
    <row r="24692" spans="25:25" hidden="1" x14ac:dyDescent="0.25">
      <c r="Y24692" s="501"/>
    </row>
    <row r="24693" spans="25:25" hidden="1" x14ac:dyDescent="0.25">
      <c r="Y24693" s="501"/>
    </row>
    <row r="24694" spans="25:25" hidden="1" x14ac:dyDescent="0.25">
      <c r="Y24694" s="501"/>
    </row>
    <row r="24695" spans="25:25" hidden="1" x14ac:dyDescent="0.25">
      <c r="Y24695" s="501"/>
    </row>
    <row r="24696" spans="25:25" hidden="1" x14ac:dyDescent="0.25">
      <c r="Y24696" s="501"/>
    </row>
    <row r="24697" spans="25:25" hidden="1" x14ac:dyDescent="0.25">
      <c r="Y24697" s="501"/>
    </row>
    <row r="24698" spans="25:25" hidden="1" x14ac:dyDescent="0.25">
      <c r="Y24698" s="501"/>
    </row>
    <row r="24699" spans="25:25" hidden="1" x14ac:dyDescent="0.25">
      <c r="Y24699" s="501"/>
    </row>
    <row r="24700" spans="25:25" hidden="1" x14ac:dyDescent="0.25">
      <c r="Y24700" s="501"/>
    </row>
    <row r="24701" spans="25:25" hidden="1" x14ac:dyDescent="0.25">
      <c r="Y24701" s="501"/>
    </row>
    <row r="24702" spans="25:25" hidden="1" x14ac:dyDescent="0.25">
      <c r="Y24702" s="501"/>
    </row>
    <row r="24703" spans="25:25" hidden="1" x14ac:dyDescent="0.25">
      <c r="Y24703" s="501"/>
    </row>
    <row r="24704" spans="25:25" hidden="1" x14ac:dyDescent="0.25">
      <c r="Y24704" s="501"/>
    </row>
    <row r="24705" spans="25:25" hidden="1" x14ac:dyDescent="0.25">
      <c r="Y24705" s="501"/>
    </row>
    <row r="24706" spans="25:25" hidden="1" x14ac:dyDescent="0.25">
      <c r="Y24706" s="501"/>
    </row>
    <row r="24707" spans="25:25" hidden="1" x14ac:dyDescent="0.25">
      <c r="Y24707" s="501"/>
    </row>
    <row r="24708" spans="25:25" hidden="1" x14ac:dyDescent="0.25">
      <c r="Y24708" s="501"/>
    </row>
    <row r="24709" spans="25:25" hidden="1" x14ac:dyDescent="0.25">
      <c r="Y24709" s="501"/>
    </row>
    <row r="24710" spans="25:25" hidden="1" x14ac:dyDescent="0.25">
      <c r="Y24710" s="501"/>
    </row>
    <row r="24711" spans="25:25" hidden="1" x14ac:dyDescent="0.25">
      <c r="Y24711" s="501"/>
    </row>
    <row r="24712" spans="25:25" hidden="1" x14ac:dyDescent="0.25">
      <c r="Y24712" s="501"/>
    </row>
    <row r="24713" spans="25:25" hidden="1" x14ac:dyDescent="0.25">
      <c r="Y24713" s="501"/>
    </row>
    <row r="24714" spans="25:25" hidden="1" x14ac:dyDescent="0.25">
      <c r="Y24714" s="501"/>
    </row>
    <row r="24715" spans="25:25" hidden="1" x14ac:dyDescent="0.25">
      <c r="Y24715" s="501"/>
    </row>
    <row r="24716" spans="25:25" hidden="1" x14ac:dyDescent="0.25">
      <c r="Y24716" s="501"/>
    </row>
    <row r="24717" spans="25:25" hidden="1" x14ac:dyDescent="0.25">
      <c r="Y24717" s="501"/>
    </row>
    <row r="24718" spans="25:25" hidden="1" x14ac:dyDescent="0.25">
      <c r="Y24718" s="501"/>
    </row>
    <row r="24719" spans="25:25" hidden="1" x14ac:dyDescent="0.25">
      <c r="Y24719" s="501"/>
    </row>
    <row r="24720" spans="25:25" hidden="1" x14ac:dyDescent="0.25">
      <c r="Y24720" s="501"/>
    </row>
    <row r="24721" spans="25:25" hidden="1" x14ac:dyDescent="0.25">
      <c r="Y24721" s="501"/>
    </row>
    <row r="24722" spans="25:25" hidden="1" x14ac:dyDescent="0.25">
      <c r="Y24722" s="501"/>
    </row>
    <row r="24723" spans="25:25" hidden="1" x14ac:dyDescent="0.25">
      <c r="Y24723" s="501"/>
    </row>
    <row r="24724" spans="25:25" hidden="1" x14ac:dyDescent="0.25">
      <c r="Y24724" s="501"/>
    </row>
    <row r="24725" spans="25:25" hidden="1" x14ac:dyDescent="0.25">
      <c r="Y24725" s="501"/>
    </row>
    <row r="24726" spans="25:25" hidden="1" x14ac:dyDescent="0.25">
      <c r="Y24726" s="501"/>
    </row>
    <row r="24727" spans="25:25" hidden="1" x14ac:dyDescent="0.25">
      <c r="Y24727" s="501"/>
    </row>
    <row r="24728" spans="25:25" hidden="1" x14ac:dyDescent="0.25">
      <c r="Y24728" s="501"/>
    </row>
    <row r="24729" spans="25:25" hidden="1" x14ac:dyDescent="0.25">
      <c r="Y24729" s="501"/>
    </row>
    <row r="24730" spans="25:25" hidden="1" x14ac:dyDescent="0.25">
      <c r="Y24730" s="501"/>
    </row>
    <row r="24731" spans="25:25" hidden="1" x14ac:dyDescent="0.25">
      <c r="Y24731" s="501"/>
    </row>
    <row r="24732" spans="25:25" hidden="1" x14ac:dyDescent="0.25">
      <c r="Y24732" s="501"/>
    </row>
    <row r="24733" spans="25:25" hidden="1" x14ac:dyDescent="0.25">
      <c r="Y24733" s="501"/>
    </row>
    <row r="24734" spans="25:25" hidden="1" x14ac:dyDescent="0.25">
      <c r="Y24734" s="501"/>
    </row>
    <row r="24735" spans="25:25" hidden="1" x14ac:dyDescent="0.25">
      <c r="Y24735" s="501"/>
    </row>
    <row r="24736" spans="25:25" hidden="1" x14ac:dyDescent="0.25">
      <c r="Y24736" s="501"/>
    </row>
    <row r="24737" spans="25:25" hidden="1" x14ac:dyDescent="0.25">
      <c r="Y24737" s="501"/>
    </row>
    <row r="24738" spans="25:25" hidden="1" x14ac:dyDescent="0.25">
      <c r="Y24738" s="501"/>
    </row>
    <row r="24739" spans="25:25" hidden="1" x14ac:dyDescent="0.25">
      <c r="Y24739" s="501"/>
    </row>
    <row r="24740" spans="25:25" hidden="1" x14ac:dyDescent="0.25">
      <c r="Y24740" s="501"/>
    </row>
    <row r="24741" spans="25:25" hidden="1" x14ac:dyDescent="0.25">
      <c r="Y24741" s="501"/>
    </row>
    <row r="24742" spans="25:25" hidden="1" x14ac:dyDescent="0.25">
      <c r="Y24742" s="501"/>
    </row>
    <row r="24743" spans="25:25" hidden="1" x14ac:dyDescent="0.25">
      <c r="Y24743" s="501"/>
    </row>
    <row r="24744" spans="25:25" hidden="1" x14ac:dyDescent="0.25">
      <c r="Y24744" s="501"/>
    </row>
    <row r="24745" spans="25:25" hidden="1" x14ac:dyDescent="0.25">
      <c r="Y24745" s="501"/>
    </row>
    <row r="24746" spans="25:25" hidden="1" x14ac:dyDescent="0.25">
      <c r="Y24746" s="501"/>
    </row>
    <row r="24747" spans="25:25" hidden="1" x14ac:dyDescent="0.25">
      <c r="Y24747" s="501"/>
    </row>
    <row r="24748" spans="25:25" hidden="1" x14ac:dyDescent="0.25">
      <c r="Y24748" s="501"/>
    </row>
    <row r="24749" spans="25:25" hidden="1" x14ac:dyDescent="0.25">
      <c r="Y24749" s="501"/>
    </row>
    <row r="24750" spans="25:25" hidden="1" x14ac:dyDescent="0.25">
      <c r="Y24750" s="501"/>
    </row>
    <row r="24751" spans="25:25" hidden="1" x14ac:dyDescent="0.25">
      <c r="Y24751" s="501"/>
    </row>
    <row r="24752" spans="25:25" hidden="1" x14ac:dyDescent="0.25">
      <c r="Y24752" s="501"/>
    </row>
    <row r="24753" spans="25:25" hidden="1" x14ac:dyDescent="0.25">
      <c r="Y24753" s="501"/>
    </row>
    <row r="24754" spans="25:25" hidden="1" x14ac:dyDescent="0.25">
      <c r="Y24754" s="501"/>
    </row>
    <row r="24755" spans="25:25" hidden="1" x14ac:dyDescent="0.25">
      <c r="Y24755" s="501"/>
    </row>
    <row r="24756" spans="25:25" hidden="1" x14ac:dyDescent="0.25">
      <c r="Y24756" s="501"/>
    </row>
    <row r="24757" spans="25:25" hidden="1" x14ac:dyDescent="0.25">
      <c r="Y24757" s="501"/>
    </row>
    <row r="24758" spans="25:25" hidden="1" x14ac:dyDescent="0.25">
      <c r="Y24758" s="501"/>
    </row>
    <row r="24759" spans="25:25" hidden="1" x14ac:dyDescent="0.25">
      <c r="Y24759" s="501"/>
    </row>
    <row r="24760" spans="25:25" hidden="1" x14ac:dyDescent="0.25">
      <c r="Y24760" s="501"/>
    </row>
    <row r="24761" spans="25:25" hidden="1" x14ac:dyDescent="0.25">
      <c r="Y24761" s="501"/>
    </row>
    <row r="24762" spans="25:25" hidden="1" x14ac:dyDescent="0.25">
      <c r="Y24762" s="501"/>
    </row>
    <row r="24763" spans="25:25" hidden="1" x14ac:dyDescent="0.25">
      <c r="Y24763" s="501"/>
    </row>
    <row r="24764" spans="25:25" hidden="1" x14ac:dyDescent="0.25">
      <c r="Y24764" s="501"/>
    </row>
    <row r="24765" spans="25:25" hidden="1" x14ac:dyDescent="0.25">
      <c r="Y24765" s="501"/>
    </row>
    <row r="24766" spans="25:25" hidden="1" x14ac:dyDescent="0.25">
      <c r="Y24766" s="501"/>
    </row>
    <row r="24767" spans="25:25" hidden="1" x14ac:dyDescent="0.25">
      <c r="Y24767" s="501"/>
    </row>
    <row r="24768" spans="25:25" hidden="1" x14ac:dyDescent="0.25">
      <c r="Y24768" s="501"/>
    </row>
    <row r="24769" spans="25:25" hidden="1" x14ac:dyDescent="0.25">
      <c r="Y24769" s="501"/>
    </row>
    <row r="24770" spans="25:25" hidden="1" x14ac:dyDescent="0.25">
      <c r="Y24770" s="501"/>
    </row>
    <row r="24771" spans="25:25" hidden="1" x14ac:dyDescent="0.25">
      <c r="Y24771" s="501"/>
    </row>
    <row r="24772" spans="25:25" hidden="1" x14ac:dyDescent="0.25">
      <c r="Y24772" s="501"/>
    </row>
    <row r="24773" spans="25:25" hidden="1" x14ac:dyDescent="0.25">
      <c r="Y24773" s="501"/>
    </row>
    <row r="24774" spans="25:25" hidden="1" x14ac:dyDescent="0.25">
      <c r="Y24774" s="501"/>
    </row>
    <row r="24775" spans="25:25" hidden="1" x14ac:dyDescent="0.25">
      <c r="Y24775" s="501"/>
    </row>
    <row r="24776" spans="25:25" hidden="1" x14ac:dyDescent="0.25">
      <c r="Y24776" s="501"/>
    </row>
    <row r="24777" spans="25:25" hidden="1" x14ac:dyDescent="0.25">
      <c r="Y24777" s="501"/>
    </row>
    <row r="24778" spans="25:25" hidden="1" x14ac:dyDescent="0.25">
      <c r="Y24778" s="501"/>
    </row>
    <row r="24779" spans="25:25" hidden="1" x14ac:dyDescent="0.25">
      <c r="Y24779" s="501"/>
    </row>
    <row r="24780" spans="25:25" hidden="1" x14ac:dyDescent="0.25">
      <c r="Y24780" s="501"/>
    </row>
    <row r="24781" spans="25:25" hidden="1" x14ac:dyDescent="0.25">
      <c r="Y24781" s="501"/>
    </row>
    <row r="24782" spans="25:25" hidden="1" x14ac:dyDescent="0.25">
      <c r="Y24782" s="501"/>
    </row>
    <row r="24783" spans="25:25" hidden="1" x14ac:dyDescent="0.25">
      <c r="Y24783" s="501"/>
    </row>
    <row r="24784" spans="25:25" hidden="1" x14ac:dyDescent="0.25">
      <c r="Y24784" s="501"/>
    </row>
    <row r="24785" spans="25:25" hidden="1" x14ac:dyDescent="0.25">
      <c r="Y24785" s="501"/>
    </row>
    <row r="24786" spans="25:25" hidden="1" x14ac:dyDescent="0.25">
      <c r="Y24786" s="501"/>
    </row>
    <row r="24787" spans="25:25" hidden="1" x14ac:dyDescent="0.25">
      <c r="Y24787" s="501"/>
    </row>
    <row r="24788" spans="25:25" hidden="1" x14ac:dyDescent="0.25">
      <c r="Y24788" s="501"/>
    </row>
    <row r="24789" spans="25:25" hidden="1" x14ac:dyDescent="0.25">
      <c r="Y24789" s="501"/>
    </row>
    <row r="24790" spans="25:25" hidden="1" x14ac:dyDescent="0.25">
      <c r="Y24790" s="501"/>
    </row>
    <row r="24791" spans="25:25" hidden="1" x14ac:dyDescent="0.25">
      <c r="Y24791" s="501"/>
    </row>
    <row r="24792" spans="25:25" hidden="1" x14ac:dyDescent="0.25">
      <c r="Y24792" s="501"/>
    </row>
    <row r="24793" spans="25:25" hidden="1" x14ac:dyDescent="0.25">
      <c r="Y24793" s="501"/>
    </row>
    <row r="24794" spans="25:25" hidden="1" x14ac:dyDescent="0.25">
      <c r="Y24794" s="501"/>
    </row>
    <row r="24795" spans="25:25" hidden="1" x14ac:dyDescent="0.25">
      <c r="Y24795" s="501"/>
    </row>
    <row r="24796" spans="25:25" hidden="1" x14ac:dyDescent="0.25">
      <c r="Y24796" s="501"/>
    </row>
    <row r="24797" spans="25:25" hidden="1" x14ac:dyDescent="0.25">
      <c r="Y24797" s="501"/>
    </row>
    <row r="24798" spans="25:25" hidden="1" x14ac:dyDescent="0.25">
      <c r="Y24798" s="501"/>
    </row>
    <row r="24799" spans="25:25" hidden="1" x14ac:dyDescent="0.25">
      <c r="Y24799" s="501"/>
    </row>
    <row r="24800" spans="25:25" hidden="1" x14ac:dyDescent="0.25">
      <c r="Y24800" s="501"/>
    </row>
    <row r="24801" spans="25:25" hidden="1" x14ac:dyDescent="0.25">
      <c r="Y24801" s="501"/>
    </row>
    <row r="24802" spans="25:25" hidden="1" x14ac:dyDescent="0.25">
      <c r="Y24802" s="501"/>
    </row>
    <row r="24803" spans="25:25" hidden="1" x14ac:dyDescent="0.25">
      <c r="Y24803" s="501"/>
    </row>
    <row r="24804" spans="25:25" hidden="1" x14ac:dyDescent="0.25">
      <c r="Y24804" s="501"/>
    </row>
    <row r="24805" spans="25:25" hidden="1" x14ac:dyDescent="0.25">
      <c r="Y24805" s="501"/>
    </row>
    <row r="24806" spans="25:25" hidden="1" x14ac:dyDescent="0.25">
      <c r="Y24806" s="501"/>
    </row>
    <row r="24807" spans="25:25" hidden="1" x14ac:dyDescent="0.25">
      <c r="Y24807" s="501"/>
    </row>
    <row r="24808" spans="25:25" hidden="1" x14ac:dyDescent="0.25">
      <c r="Y24808" s="501"/>
    </row>
    <row r="24809" spans="25:25" hidden="1" x14ac:dyDescent="0.25">
      <c r="Y24809" s="501"/>
    </row>
    <row r="24810" spans="25:25" hidden="1" x14ac:dyDescent="0.25">
      <c r="Y24810" s="501"/>
    </row>
    <row r="24811" spans="25:25" hidden="1" x14ac:dyDescent="0.25">
      <c r="Y24811" s="501"/>
    </row>
    <row r="24812" spans="25:25" hidden="1" x14ac:dyDescent="0.25">
      <c r="Y24812" s="501"/>
    </row>
    <row r="24813" spans="25:25" hidden="1" x14ac:dyDescent="0.25">
      <c r="Y24813" s="501"/>
    </row>
    <row r="24814" spans="25:25" hidden="1" x14ac:dyDescent="0.25">
      <c r="Y24814" s="501"/>
    </row>
    <row r="24815" spans="25:25" hidden="1" x14ac:dyDescent="0.25">
      <c r="Y24815" s="501"/>
    </row>
    <row r="24816" spans="25:25" hidden="1" x14ac:dyDescent="0.25">
      <c r="Y24816" s="501"/>
    </row>
    <row r="24817" spans="25:25" hidden="1" x14ac:dyDescent="0.25">
      <c r="Y24817" s="501"/>
    </row>
    <row r="24818" spans="25:25" hidden="1" x14ac:dyDescent="0.25">
      <c r="Y24818" s="501"/>
    </row>
    <row r="24819" spans="25:25" hidden="1" x14ac:dyDescent="0.25">
      <c r="Y24819" s="501"/>
    </row>
    <row r="24820" spans="25:25" hidden="1" x14ac:dyDescent="0.25">
      <c r="Y24820" s="501"/>
    </row>
    <row r="24821" spans="25:25" hidden="1" x14ac:dyDescent="0.25">
      <c r="Y24821" s="501"/>
    </row>
    <row r="24822" spans="25:25" hidden="1" x14ac:dyDescent="0.25">
      <c r="Y24822" s="501"/>
    </row>
    <row r="24823" spans="25:25" hidden="1" x14ac:dyDescent="0.25">
      <c r="Y24823" s="501"/>
    </row>
    <row r="24824" spans="25:25" hidden="1" x14ac:dyDescent="0.25">
      <c r="Y24824" s="501"/>
    </row>
    <row r="24825" spans="25:25" hidden="1" x14ac:dyDescent="0.25">
      <c r="Y24825" s="501"/>
    </row>
    <row r="24826" spans="25:25" hidden="1" x14ac:dyDescent="0.25">
      <c r="Y24826" s="501"/>
    </row>
    <row r="24827" spans="25:25" hidden="1" x14ac:dyDescent="0.25">
      <c r="Y24827" s="501"/>
    </row>
    <row r="24828" spans="25:25" hidden="1" x14ac:dyDescent="0.25">
      <c r="Y24828" s="501"/>
    </row>
    <row r="24829" spans="25:25" hidden="1" x14ac:dyDescent="0.25">
      <c r="Y24829" s="501"/>
    </row>
    <row r="24830" spans="25:25" hidden="1" x14ac:dyDescent="0.25">
      <c r="Y24830" s="501"/>
    </row>
    <row r="24831" spans="25:25" hidden="1" x14ac:dyDescent="0.25">
      <c r="Y24831" s="501"/>
    </row>
    <row r="24832" spans="25:25" hidden="1" x14ac:dyDescent="0.25">
      <c r="Y24832" s="501"/>
    </row>
    <row r="24833" spans="25:25" hidden="1" x14ac:dyDescent="0.25">
      <c r="Y24833" s="501"/>
    </row>
    <row r="24834" spans="25:25" hidden="1" x14ac:dyDescent="0.25">
      <c r="Y24834" s="501"/>
    </row>
    <row r="24835" spans="25:25" hidden="1" x14ac:dyDescent="0.25">
      <c r="Y24835" s="501"/>
    </row>
    <row r="24836" spans="25:25" hidden="1" x14ac:dyDescent="0.25">
      <c r="Y24836" s="501"/>
    </row>
    <row r="24837" spans="25:25" hidden="1" x14ac:dyDescent="0.25">
      <c r="Y24837" s="501"/>
    </row>
    <row r="24838" spans="25:25" hidden="1" x14ac:dyDescent="0.25">
      <c r="Y24838" s="501"/>
    </row>
    <row r="24839" spans="25:25" hidden="1" x14ac:dyDescent="0.25">
      <c r="Y24839" s="501"/>
    </row>
    <row r="24840" spans="25:25" hidden="1" x14ac:dyDescent="0.25">
      <c r="Y24840" s="501"/>
    </row>
    <row r="24841" spans="25:25" hidden="1" x14ac:dyDescent="0.25">
      <c r="Y24841" s="501"/>
    </row>
    <row r="24842" spans="25:25" hidden="1" x14ac:dyDescent="0.25">
      <c r="Y24842" s="501"/>
    </row>
    <row r="24843" spans="25:25" hidden="1" x14ac:dyDescent="0.25">
      <c r="Y24843" s="501"/>
    </row>
    <row r="24844" spans="25:25" hidden="1" x14ac:dyDescent="0.25">
      <c r="Y24844" s="501"/>
    </row>
    <row r="24845" spans="25:25" hidden="1" x14ac:dyDescent="0.25">
      <c r="Y24845" s="501"/>
    </row>
    <row r="24846" spans="25:25" hidden="1" x14ac:dyDescent="0.25">
      <c r="Y24846" s="501"/>
    </row>
    <row r="24847" spans="25:25" hidden="1" x14ac:dyDescent="0.25">
      <c r="Y24847" s="501"/>
    </row>
    <row r="24848" spans="25:25" hidden="1" x14ac:dyDescent="0.25">
      <c r="Y24848" s="501"/>
    </row>
    <row r="24849" spans="25:25" hidden="1" x14ac:dyDescent="0.25">
      <c r="Y24849" s="501"/>
    </row>
    <row r="24850" spans="25:25" hidden="1" x14ac:dyDescent="0.25">
      <c r="Y24850" s="501"/>
    </row>
    <row r="24851" spans="25:25" hidden="1" x14ac:dyDescent="0.25">
      <c r="Y24851" s="501"/>
    </row>
    <row r="24852" spans="25:25" hidden="1" x14ac:dyDescent="0.25">
      <c r="Y24852" s="501"/>
    </row>
    <row r="24853" spans="25:25" hidden="1" x14ac:dyDescent="0.25">
      <c r="Y24853" s="501"/>
    </row>
    <row r="24854" spans="25:25" hidden="1" x14ac:dyDescent="0.25">
      <c r="Y24854" s="501"/>
    </row>
    <row r="24855" spans="25:25" hidden="1" x14ac:dyDescent="0.25">
      <c r="Y24855" s="501"/>
    </row>
    <row r="24856" spans="25:25" hidden="1" x14ac:dyDescent="0.25">
      <c r="Y24856" s="501"/>
    </row>
    <row r="24857" spans="25:25" hidden="1" x14ac:dyDescent="0.25">
      <c r="Y24857" s="501"/>
    </row>
    <row r="24858" spans="25:25" hidden="1" x14ac:dyDescent="0.25">
      <c r="Y24858" s="501"/>
    </row>
    <row r="24859" spans="25:25" hidden="1" x14ac:dyDescent="0.25">
      <c r="Y24859" s="501"/>
    </row>
    <row r="24860" spans="25:25" hidden="1" x14ac:dyDescent="0.25">
      <c r="Y24860" s="501"/>
    </row>
    <row r="24861" spans="25:25" hidden="1" x14ac:dyDescent="0.25">
      <c r="Y24861" s="501"/>
    </row>
    <row r="24862" spans="25:25" hidden="1" x14ac:dyDescent="0.25">
      <c r="Y24862" s="501"/>
    </row>
    <row r="24863" spans="25:25" hidden="1" x14ac:dyDescent="0.25">
      <c r="Y24863" s="501"/>
    </row>
    <row r="24864" spans="25:25" hidden="1" x14ac:dyDescent="0.25">
      <c r="Y24864" s="501"/>
    </row>
    <row r="24865" spans="25:25" hidden="1" x14ac:dyDescent="0.25">
      <c r="Y24865" s="501"/>
    </row>
    <row r="24866" spans="25:25" hidden="1" x14ac:dyDescent="0.25">
      <c r="Y24866" s="501"/>
    </row>
    <row r="24867" spans="25:25" hidden="1" x14ac:dyDescent="0.25">
      <c r="Y24867" s="501"/>
    </row>
    <row r="24868" spans="25:25" hidden="1" x14ac:dyDescent="0.25">
      <c r="Y24868" s="501"/>
    </row>
    <row r="24869" spans="25:25" hidden="1" x14ac:dyDescent="0.25">
      <c r="Y24869" s="501"/>
    </row>
    <row r="24870" spans="25:25" hidden="1" x14ac:dyDescent="0.25">
      <c r="Y24870" s="501"/>
    </row>
    <row r="24871" spans="25:25" hidden="1" x14ac:dyDescent="0.25">
      <c r="Y24871" s="501"/>
    </row>
    <row r="24872" spans="25:25" hidden="1" x14ac:dyDescent="0.25">
      <c r="Y24872" s="501"/>
    </row>
    <row r="24873" spans="25:25" hidden="1" x14ac:dyDescent="0.25">
      <c r="Y24873" s="501"/>
    </row>
    <row r="24874" spans="25:25" hidden="1" x14ac:dyDescent="0.25">
      <c r="Y24874" s="501"/>
    </row>
    <row r="24875" spans="25:25" hidden="1" x14ac:dyDescent="0.25">
      <c r="Y24875" s="501"/>
    </row>
    <row r="24876" spans="25:25" hidden="1" x14ac:dyDescent="0.25">
      <c r="Y24876" s="501"/>
    </row>
    <row r="24877" spans="25:25" hidden="1" x14ac:dyDescent="0.25">
      <c r="Y24877" s="501"/>
    </row>
    <row r="24878" spans="25:25" hidden="1" x14ac:dyDescent="0.25">
      <c r="Y24878" s="501"/>
    </row>
    <row r="24879" spans="25:25" hidden="1" x14ac:dyDescent="0.25">
      <c r="Y24879" s="501"/>
    </row>
    <row r="24880" spans="25:25" hidden="1" x14ac:dyDescent="0.25">
      <c r="Y24880" s="501"/>
    </row>
    <row r="24881" spans="25:25" hidden="1" x14ac:dyDescent="0.25">
      <c r="Y24881" s="501"/>
    </row>
    <row r="24882" spans="25:25" hidden="1" x14ac:dyDescent="0.25">
      <c r="Y24882" s="501"/>
    </row>
    <row r="24883" spans="25:25" hidden="1" x14ac:dyDescent="0.25">
      <c r="Y24883" s="501"/>
    </row>
    <row r="24884" spans="25:25" hidden="1" x14ac:dyDescent="0.25">
      <c r="Y24884" s="501"/>
    </row>
    <row r="24885" spans="25:25" hidden="1" x14ac:dyDescent="0.25">
      <c r="Y24885" s="501"/>
    </row>
    <row r="24886" spans="25:25" hidden="1" x14ac:dyDescent="0.25">
      <c r="Y24886" s="501"/>
    </row>
    <row r="24887" spans="25:25" hidden="1" x14ac:dyDescent="0.25">
      <c r="Y24887" s="501"/>
    </row>
    <row r="24888" spans="25:25" hidden="1" x14ac:dyDescent="0.25">
      <c r="Y24888" s="501"/>
    </row>
    <row r="24889" spans="25:25" hidden="1" x14ac:dyDescent="0.25">
      <c r="Y24889" s="501"/>
    </row>
    <row r="24890" spans="25:25" hidden="1" x14ac:dyDescent="0.25">
      <c r="Y24890" s="501"/>
    </row>
    <row r="24891" spans="25:25" hidden="1" x14ac:dyDescent="0.25">
      <c r="Y24891" s="501"/>
    </row>
    <row r="24892" spans="25:25" hidden="1" x14ac:dyDescent="0.25">
      <c r="Y24892" s="501"/>
    </row>
    <row r="24893" spans="25:25" hidden="1" x14ac:dyDescent="0.25">
      <c r="Y24893" s="501"/>
    </row>
    <row r="24894" spans="25:25" hidden="1" x14ac:dyDescent="0.25">
      <c r="Y24894" s="501"/>
    </row>
    <row r="24895" spans="25:25" hidden="1" x14ac:dyDescent="0.25">
      <c r="Y24895" s="501"/>
    </row>
    <row r="24896" spans="25:25" hidden="1" x14ac:dyDescent="0.25">
      <c r="Y24896" s="501"/>
    </row>
    <row r="24897" spans="25:25" hidden="1" x14ac:dyDescent="0.25">
      <c r="Y24897" s="501"/>
    </row>
    <row r="24898" spans="25:25" hidden="1" x14ac:dyDescent="0.25">
      <c r="Y24898" s="501"/>
    </row>
    <row r="24899" spans="25:25" hidden="1" x14ac:dyDescent="0.25">
      <c r="Y24899" s="501"/>
    </row>
    <row r="24900" spans="25:25" hidden="1" x14ac:dyDescent="0.25">
      <c r="Y24900" s="501"/>
    </row>
    <row r="24901" spans="25:25" hidden="1" x14ac:dyDescent="0.25">
      <c r="Y24901" s="501"/>
    </row>
    <row r="24902" spans="25:25" hidden="1" x14ac:dyDescent="0.25">
      <c r="Y24902" s="501"/>
    </row>
    <row r="24903" spans="25:25" hidden="1" x14ac:dyDescent="0.25">
      <c r="Y24903" s="501"/>
    </row>
    <row r="24904" spans="25:25" hidden="1" x14ac:dyDescent="0.25">
      <c r="Y24904" s="501"/>
    </row>
    <row r="24905" spans="25:25" hidden="1" x14ac:dyDescent="0.25">
      <c r="Y24905" s="501"/>
    </row>
    <row r="24906" spans="25:25" hidden="1" x14ac:dyDescent="0.25">
      <c r="Y24906" s="501"/>
    </row>
    <row r="24907" spans="25:25" hidden="1" x14ac:dyDescent="0.25">
      <c r="Y24907" s="501"/>
    </row>
    <row r="24908" spans="25:25" hidden="1" x14ac:dyDescent="0.25">
      <c r="Y24908" s="501"/>
    </row>
    <row r="24909" spans="25:25" hidden="1" x14ac:dyDescent="0.25">
      <c r="Y24909" s="501"/>
    </row>
    <row r="24910" spans="25:25" hidden="1" x14ac:dyDescent="0.25">
      <c r="Y24910" s="501"/>
    </row>
    <row r="24911" spans="25:25" hidden="1" x14ac:dyDescent="0.25">
      <c r="Y24911" s="501"/>
    </row>
    <row r="24912" spans="25:25" hidden="1" x14ac:dyDescent="0.25">
      <c r="Y24912" s="501"/>
    </row>
    <row r="24913" spans="25:25" hidden="1" x14ac:dyDescent="0.25">
      <c r="Y24913" s="501"/>
    </row>
    <row r="24914" spans="25:25" hidden="1" x14ac:dyDescent="0.25">
      <c r="Y24914" s="501"/>
    </row>
    <row r="24915" spans="25:25" hidden="1" x14ac:dyDescent="0.25">
      <c r="Y24915" s="501"/>
    </row>
    <row r="24916" spans="25:25" hidden="1" x14ac:dyDescent="0.25">
      <c r="Y24916" s="501"/>
    </row>
    <row r="24917" spans="25:25" hidden="1" x14ac:dyDescent="0.25">
      <c r="Y24917" s="501"/>
    </row>
    <row r="24918" spans="25:25" hidden="1" x14ac:dyDescent="0.25">
      <c r="Y24918" s="501"/>
    </row>
    <row r="24919" spans="25:25" hidden="1" x14ac:dyDescent="0.25">
      <c r="Y24919" s="501"/>
    </row>
    <row r="24920" spans="25:25" hidden="1" x14ac:dyDescent="0.25">
      <c r="Y24920" s="501"/>
    </row>
    <row r="24921" spans="25:25" hidden="1" x14ac:dyDescent="0.25">
      <c r="Y24921" s="501"/>
    </row>
    <row r="24922" spans="25:25" hidden="1" x14ac:dyDescent="0.25">
      <c r="Y24922" s="501"/>
    </row>
    <row r="24923" spans="25:25" hidden="1" x14ac:dyDescent="0.25">
      <c r="Y24923" s="501"/>
    </row>
    <row r="24924" spans="25:25" hidden="1" x14ac:dyDescent="0.25">
      <c r="Y24924" s="501"/>
    </row>
    <row r="24925" spans="25:25" hidden="1" x14ac:dyDescent="0.25">
      <c r="Y24925" s="501"/>
    </row>
    <row r="24926" spans="25:25" hidden="1" x14ac:dyDescent="0.25">
      <c r="Y24926" s="501"/>
    </row>
    <row r="24927" spans="25:25" hidden="1" x14ac:dyDescent="0.25">
      <c r="Y24927" s="501"/>
    </row>
    <row r="24928" spans="25:25" hidden="1" x14ac:dyDescent="0.25">
      <c r="Y24928" s="501"/>
    </row>
    <row r="24929" spans="25:25" hidden="1" x14ac:dyDescent="0.25">
      <c r="Y24929" s="501"/>
    </row>
    <row r="24930" spans="25:25" hidden="1" x14ac:dyDescent="0.25">
      <c r="Y24930" s="501"/>
    </row>
    <row r="24931" spans="25:25" hidden="1" x14ac:dyDescent="0.25">
      <c r="Y24931" s="501"/>
    </row>
    <row r="24932" spans="25:25" hidden="1" x14ac:dyDescent="0.25">
      <c r="Y24932" s="501"/>
    </row>
    <row r="24933" spans="25:25" hidden="1" x14ac:dyDescent="0.25">
      <c r="Y24933" s="501"/>
    </row>
    <row r="24934" spans="25:25" hidden="1" x14ac:dyDescent="0.25">
      <c r="Y24934" s="501"/>
    </row>
    <row r="24935" spans="25:25" hidden="1" x14ac:dyDescent="0.25">
      <c r="Y24935" s="501"/>
    </row>
    <row r="24936" spans="25:25" hidden="1" x14ac:dyDescent="0.25">
      <c r="Y24936" s="501"/>
    </row>
    <row r="24937" spans="25:25" hidden="1" x14ac:dyDescent="0.25">
      <c r="Y24937" s="501"/>
    </row>
    <row r="24938" spans="25:25" hidden="1" x14ac:dyDescent="0.25">
      <c r="Y24938" s="501"/>
    </row>
    <row r="24939" spans="25:25" hidden="1" x14ac:dyDescent="0.25">
      <c r="Y24939" s="501"/>
    </row>
    <row r="24940" spans="25:25" hidden="1" x14ac:dyDescent="0.25">
      <c r="Y24940" s="501"/>
    </row>
    <row r="24941" spans="25:25" hidden="1" x14ac:dyDescent="0.25">
      <c r="Y24941" s="501"/>
    </row>
    <row r="24942" spans="25:25" hidden="1" x14ac:dyDescent="0.25">
      <c r="Y24942" s="501"/>
    </row>
    <row r="24943" spans="25:25" hidden="1" x14ac:dyDescent="0.25">
      <c r="Y24943" s="501"/>
    </row>
    <row r="24944" spans="25:25" hidden="1" x14ac:dyDescent="0.25">
      <c r="Y24944" s="501"/>
    </row>
    <row r="24945" spans="25:25" hidden="1" x14ac:dyDescent="0.25">
      <c r="Y24945" s="501"/>
    </row>
    <row r="24946" spans="25:25" hidden="1" x14ac:dyDescent="0.25">
      <c r="Y24946" s="501"/>
    </row>
    <row r="24947" spans="25:25" hidden="1" x14ac:dyDescent="0.25">
      <c r="Y24947" s="501"/>
    </row>
    <row r="24948" spans="25:25" hidden="1" x14ac:dyDescent="0.25">
      <c r="Y24948" s="501"/>
    </row>
    <row r="24949" spans="25:25" hidden="1" x14ac:dyDescent="0.25">
      <c r="Y24949" s="501"/>
    </row>
    <row r="24950" spans="25:25" hidden="1" x14ac:dyDescent="0.25">
      <c r="Y24950" s="501"/>
    </row>
    <row r="24951" spans="25:25" hidden="1" x14ac:dyDescent="0.25">
      <c r="Y24951" s="501"/>
    </row>
    <row r="24952" spans="25:25" hidden="1" x14ac:dyDescent="0.25">
      <c r="Y24952" s="501"/>
    </row>
    <row r="24953" spans="25:25" hidden="1" x14ac:dyDescent="0.25">
      <c r="Y24953" s="501"/>
    </row>
    <row r="24954" spans="25:25" hidden="1" x14ac:dyDescent="0.25">
      <c r="Y24954" s="501"/>
    </row>
    <row r="24955" spans="25:25" hidden="1" x14ac:dyDescent="0.25">
      <c r="Y24955" s="501"/>
    </row>
    <row r="24956" spans="25:25" hidden="1" x14ac:dyDescent="0.25">
      <c r="Y24956" s="501"/>
    </row>
    <row r="24957" spans="25:25" hidden="1" x14ac:dyDescent="0.25">
      <c r="Y24957" s="501"/>
    </row>
    <row r="24958" spans="25:25" hidden="1" x14ac:dyDescent="0.25">
      <c r="Y24958" s="501"/>
    </row>
    <row r="24959" spans="25:25" hidden="1" x14ac:dyDescent="0.25">
      <c r="Y24959" s="501"/>
    </row>
    <row r="24960" spans="25:25" hidden="1" x14ac:dyDescent="0.25">
      <c r="Y24960" s="501"/>
    </row>
    <row r="24961" spans="25:25" hidden="1" x14ac:dyDescent="0.25">
      <c r="Y24961" s="501"/>
    </row>
    <row r="24962" spans="25:25" hidden="1" x14ac:dyDescent="0.25">
      <c r="Y24962" s="501"/>
    </row>
    <row r="24963" spans="25:25" hidden="1" x14ac:dyDescent="0.25">
      <c r="Y24963" s="501"/>
    </row>
    <row r="24964" spans="25:25" hidden="1" x14ac:dyDescent="0.25">
      <c r="Y24964" s="501"/>
    </row>
    <row r="24965" spans="25:25" hidden="1" x14ac:dyDescent="0.25">
      <c r="Y24965" s="501"/>
    </row>
    <row r="24966" spans="25:25" hidden="1" x14ac:dyDescent="0.25">
      <c r="Y24966" s="501"/>
    </row>
    <row r="24967" spans="25:25" hidden="1" x14ac:dyDescent="0.25">
      <c r="Y24967" s="501"/>
    </row>
    <row r="24968" spans="25:25" hidden="1" x14ac:dyDescent="0.25">
      <c r="Y24968" s="501"/>
    </row>
    <row r="24969" spans="25:25" hidden="1" x14ac:dyDescent="0.25">
      <c r="Y24969" s="501"/>
    </row>
    <row r="24970" spans="25:25" hidden="1" x14ac:dyDescent="0.25">
      <c r="Y24970" s="501"/>
    </row>
    <row r="24971" spans="25:25" hidden="1" x14ac:dyDescent="0.25">
      <c r="Y24971" s="501"/>
    </row>
    <row r="24972" spans="25:25" hidden="1" x14ac:dyDescent="0.25">
      <c r="Y24972" s="501"/>
    </row>
    <row r="24973" spans="25:25" hidden="1" x14ac:dyDescent="0.25">
      <c r="Y24973" s="501"/>
    </row>
    <row r="24974" spans="25:25" hidden="1" x14ac:dyDescent="0.25">
      <c r="Y24974" s="501"/>
    </row>
    <row r="24975" spans="25:25" hidden="1" x14ac:dyDescent="0.25">
      <c r="Y24975" s="501"/>
    </row>
    <row r="24976" spans="25:25" hidden="1" x14ac:dyDescent="0.25">
      <c r="Y24976" s="501"/>
    </row>
    <row r="24977" spans="25:25" hidden="1" x14ac:dyDescent="0.25">
      <c r="Y24977" s="501"/>
    </row>
    <row r="24978" spans="25:25" hidden="1" x14ac:dyDescent="0.25">
      <c r="Y24978" s="501"/>
    </row>
    <row r="24979" spans="25:25" hidden="1" x14ac:dyDescent="0.25">
      <c r="Y24979" s="501"/>
    </row>
    <row r="24980" spans="25:25" hidden="1" x14ac:dyDescent="0.25">
      <c r="Y24980" s="501"/>
    </row>
    <row r="24981" spans="25:25" hidden="1" x14ac:dyDescent="0.25">
      <c r="Y24981" s="501"/>
    </row>
    <row r="24982" spans="25:25" hidden="1" x14ac:dyDescent="0.25">
      <c r="Y24982" s="501"/>
    </row>
    <row r="24983" spans="25:25" hidden="1" x14ac:dyDescent="0.25">
      <c r="Y24983" s="501"/>
    </row>
    <row r="24984" spans="25:25" hidden="1" x14ac:dyDescent="0.25">
      <c r="Y24984" s="501"/>
    </row>
    <row r="24985" spans="25:25" hidden="1" x14ac:dyDescent="0.25">
      <c r="Y24985" s="501"/>
    </row>
    <row r="24986" spans="25:25" hidden="1" x14ac:dyDescent="0.25">
      <c r="Y24986" s="501"/>
    </row>
    <row r="24987" spans="25:25" hidden="1" x14ac:dyDescent="0.25">
      <c r="Y24987" s="501"/>
    </row>
    <row r="24988" spans="25:25" hidden="1" x14ac:dyDescent="0.25">
      <c r="Y24988" s="501"/>
    </row>
    <row r="24989" spans="25:25" hidden="1" x14ac:dyDescent="0.25">
      <c r="Y24989" s="501"/>
    </row>
    <row r="24990" spans="25:25" hidden="1" x14ac:dyDescent="0.25">
      <c r="Y24990" s="501"/>
    </row>
    <row r="24991" spans="25:25" hidden="1" x14ac:dyDescent="0.25">
      <c r="Y24991" s="501"/>
    </row>
    <row r="24992" spans="25:25" hidden="1" x14ac:dyDescent="0.25">
      <c r="Y24992" s="501"/>
    </row>
    <row r="24993" spans="25:25" hidden="1" x14ac:dyDescent="0.25">
      <c r="Y24993" s="501"/>
    </row>
    <row r="24994" spans="25:25" hidden="1" x14ac:dyDescent="0.25">
      <c r="Y24994" s="501"/>
    </row>
    <row r="24995" spans="25:25" hidden="1" x14ac:dyDescent="0.25">
      <c r="Y24995" s="501"/>
    </row>
    <row r="24996" spans="25:25" hidden="1" x14ac:dyDescent="0.25">
      <c r="Y24996" s="501"/>
    </row>
    <row r="24997" spans="25:25" hidden="1" x14ac:dyDescent="0.25">
      <c r="Y24997" s="501"/>
    </row>
    <row r="24998" spans="25:25" hidden="1" x14ac:dyDescent="0.25">
      <c r="Y24998" s="501"/>
    </row>
    <row r="24999" spans="25:25" hidden="1" x14ac:dyDescent="0.25">
      <c r="Y24999" s="501"/>
    </row>
    <row r="25000" spans="25:25" hidden="1" x14ac:dyDescent="0.25">
      <c r="Y25000" s="501"/>
    </row>
    <row r="25001" spans="25:25" hidden="1" x14ac:dyDescent="0.25">
      <c r="Y25001" s="501"/>
    </row>
    <row r="25002" spans="25:25" hidden="1" x14ac:dyDescent="0.25">
      <c r="Y25002" s="501"/>
    </row>
    <row r="25003" spans="25:25" hidden="1" x14ac:dyDescent="0.25">
      <c r="Y25003" s="501"/>
    </row>
    <row r="25004" spans="25:25" hidden="1" x14ac:dyDescent="0.25">
      <c r="Y25004" s="501"/>
    </row>
    <row r="25005" spans="25:25" hidden="1" x14ac:dyDescent="0.25">
      <c r="Y25005" s="501"/>
    </row>
    <row r="25006" spans="25:25" hidden="1" x14ac:dyDescent="0.25">
      <c r="Y25006" s="501"/>
    </row>
    <row r="25007" spans="25:25" hidden="1" x14ac:dyDescent="0.25">
      <c r="Y25007" s="501"/>
    </row>
    <row r="25008" spans="25:25" hidden="1" x14ac:dyDescent="0.25">
      <c r="Y25008" s="501"/>
    </row>
    <row r="25009" spans="25:25" hidden="1" x14ac:dyDescent="0.25">
      <c r="Y25009" s="501"/>
    </row>
    <row r="25010" spans="25:25" hidden="1" x14ac:dyDescent="0.25">
      <c r="Y25010" s="501"/>
    </row>
    <row r="25011" spans="25:25" hidden="1" x14ac:dyDescent="0.25">
      <c r="Y25011" s="501"/>
    </row>
    <row r="25012" spans="25:25" hidden="1" x14ac:dyDescent="0.25">
      <c r="Y25012" s="501"/>
    </row>
    <row r="25013" spans="25:25" hidden="1" x14ac:dyDescent="0.25">
      <c r="Y25013" s="501"/>
    </row>
    <row r="25014" spans="25:25" hidden="1" x14ac:dyDescent="0.25">
      <c r="Y25014" s="501"/>
    </row>
    <row r="25015" spans="25:25" hidden="1" x14ac:dyDescent="0.25">
      <c r="Y25015" s="501"/>
    </row>
    <row r="25016" spans="25:25" hidden="1" x14ac:dyDescent="0.25">
      <c r="Y25016" s="501"/>
    </row>
    <row r="25017" spans="25:25" hidden="1" x14ac:dyDescent="0.25">
      <c r="Y25017" s="501"/>
    </row>
    <row r="25018" spans="25:25" hidden="1" x14ac:dyDescent="0.25">
      <c r="Y25018" s="501"/>
    </row>
    <row r="25019" spans="25:25" hidden="1" x14ac:dyDescent="0.25">
      <c r="Y25019" s="501"/>
    </row>
    <row r="25020" spans="25:25" hidden="1" x14ac:dyDescent="0.25">
      <c r="Y25020" s="501"/>
    </row>
    <row r="25021" spans="25:25" hidden="1" x14ac:dyDescent="0.25">
      <c r="Y25021" s="501"/>
    </row>
    <row r="25022" spans="25:25" hidden="1" x14ac:dyDescent="0.25">
      <c r="Y25022" s="501"/>
    </row>
    <row r="25023" spans="25:25" hidden="1" x14ac:dyDescent="0.25">
      <c r="Y25023" s="501"/>
    </row>
    <row r="25024" spans="25:25" hidden="1" x14ac:dyDescent="0.25">
      <c r="Y25024" s="501"/>
    </row>
    <row r="25025" spans="25:25" hidden="1" x14ac:dyDescent="0.25">
      <c r="Y25025" s="501"/>
    </row>
    <row r="25026" spans="25:25" hidden="1" x14ac:dyDescent="0.25">
      <c r="Y25026" s="501"/>
    </row>
    <row r="25027" spans="25:25" hidden="1" x14ac:dyDescent="0.25">
      <c r="Y25027" s="501"/>
    </row>
    <row r="25028" spans="25:25" hidden="1" x14ac:dyDescent="0.25">
      <c r="Y25028" s="501"/>
    </row>
    <row r="25029" spans="25:25" hidden="1" x14ac:dyDescent="0.25">
      <c r="Y25029" s="501"/>
    </row>
    <row r="25030" spans="25:25" hidden="1" x14ac:dyDescent="0.25">
      <c r="Y25030" s="501"/>
    </row>
    <row r="25031" spans="25:25" hidden="1" x14ac:dyDescent="0.25">
      <c r="Y25031" s="501"/>
    </row>
    <row r="25032" spans="25:25" hidden="1" x14ac:dyDescent="0.25">
      <c r="Y25032" s="501"/>
    </row>
    <row r="25033" spans="25:25" hidden="1" x14ac:dyDescent="0.25">
      <c r="Y25033" s="501"/>
    </row>
    <row r="25034" spans="25:25" hidden="1" x14ac:dyDescent="0.25">
      <c r="Y25034" s="501"/>
    </row>
    <row r="25035" spans="25:25" hidden="1" x14ac:dyDescent="0.25">
      <c r="Y25035" s="501"/>
    </row>
    <row r="25036" spans="25:25" hidden="1" x14ac:dyDescent="0.25">
      <c r="Y25036" s="501"/>
    </row>
    <row r="25037" spans="25:25" hidden="1" x14ac:dyDescent="0.25">
      <c r="Y25037" s="501"/>
    </row>
    <row r="25038" spans="25:25" hidden="1" x14ac:dyDescent="0.25">
      <c r="Y25038" s="501"/>
    </row>
    <row r="25039" spans="25:25" hidden="1" x14ac:dyDescent="0.25">
      <c r="Y25039" s="501"/>
    </row>
    <row r="25040" spans="25:25" hidden="1" x14ac:dyDescent="0.25">
      <c r="Y25040" s="501"/>
    </row>
    <row r="25041" spans="25:25" hidden="1" x14ac:dyDescent="0.25">
      <c r="Y25041" s="501"/>
    </row>
    <row r="25042" spans="25:25" hidden="1" x14ac:dyDescent="0.25">
      <c r="Y25042" s="501"/>
    </row>
    <row r="25043" spans="25:25" hidden="1" x14ac:dyDescent="0.25">
      <c r="Y25043" s="501"/>
    </row>
    <row r="25044" spans="25:25" hidden="1" x14ac:dyDescent="0.25">
      <c r="Y25044" s="501"/>
    </row>
    <row r="25045" spans="25:25" hidden="1" x14ac:dyDescent="0.25">
      <c r="Y25045" s="501"/>
    </row>
    <row r="25046" spans="25:25" hidden="1" x14ac:dyDescent="0.25">
      <c r="Y25046" s="501"/>
    </row>
    <row r="25047" spans="25:25" hidden="1" x14ac:dyDescent="0.25">
      <c r="Y25047" s="501"/>
    </row>
    <row r="25048" spans="25:25" hidden="1" x14ac:dyDescent="0.25">
      <c r="Y25048" s="501"/>
    </row>
    <row r="25049" spans="25:25" hidden="1" x14ac:dyDescent="0.25">
      <c r="Y25049" s="501"/>
    </row>
    <row r="25050" spans="25:25" hidden="1" x14ac:dyDescent="0.25">
      <c r="Y25050" s="501"/>
    </row>
    <row r="25051" spans="25:25" hidden="1" x14ac:dyDescent="0.25">
      <c r="Y25051" s="501"/>
    </row>
    <row r="25052" spans="25:25" hidden="1" x14ac:dyDescent="0.25">
      <c r="Y25052" s="501"/>
    </row>
    <row r="25053" spans="25:25" hidden="1" x14ac:dyDescent="0.25">
      <c r="Y25053" s="501"/>
    </row>
    <row r="25054" spans="25:25" hidden="1" x14ac:dyDescent="0.25">
      <c r="Y25054" s="501"/>
    </row>
    <row r="25055" spans="25:25" hidden="1" x14ac:dyDescent="0.25">
      <c r="Y25055" s="501"/>
    </row>
    <row r="25056" spans="25:25" hidden="1" x14ac:dyDescent="0.25">
      <c r="Y25056" s="501"/>
    </row>
    <row r="25057" spans="25:25" hidden="1" x14ac:dyDescent="0.25">
      <c r="Y25057" s="501"/>
    </row>
    <row r="25058" spans="25:25" hidden="1" x14ac:dyDescent="0.25">
      <c r="Y25058" s="501"/>
    </row>
    <row r="25059" spans="25:25" hidden="1" x14ac:dyDescent="0.25">
      <c r="Y25059" s="501"/>
    </row>
    <row r="25060" spans="25:25" hidden="1" x14ac:dyDescent="0.25">
      <c r="Y25060" s="501"/>
    </row>
    <row r="25061" spans="25:25" hidden="1" x14ac:dyDescent="0.25">
      <c r="Y25061" s="501"/>
    </row>
    <row r="25062" spans="25:25" hidden="1" x14ac:dyDescent="0.25">
      <c r="Y25062" s="501"/>
    </row>
    <row r="25063" spans="25:25" hidden="1" x14ac:dyDescent="0.25">
      <c r="Y25063" s="501"/>
    </row>
    <row r="25064" spans="25:25" hidden="1" x14ac:dyDescent="0.25">
      <c r="Y25064" s="501"/>
    </row>
    <row r="25065" spans="25:25" hidden="1" x14ac:dyDescent="0.25">
      <c r="Y25065" s="501"/>
    </row>
    <row r="25066" spans="25:25" hidden="1" x14ac:dyDescent="0.25">
      <c r="Y25066" s="501"/>
    </row>
    <row r="25067" spans="25:25" hidden="1" x14ac:dyDescent="0.25">
      <c r="Y25067" s="501"/>
    </row>
    <row r="25068" spans="25:25" hidden="1" x14ac:dyDescent="0.25">
      <c r="Y25068" s="501"/>
    </row>
    <row r="25069" spans="25:25" hidden="1" x14ac:dyDescent="0.25">
      <c r="Y25069" s="501"/>
    </row>
    <row r="25070" spans="25:25" hidden="1" x14ac:dyDescent="0.25">
      <c r="Y25070" s="501"/>
    </row>
    <row r="25071" spans="25:25" hidden="1" x14ac:dyDescent="0.25">
      <c r="Y25071" s="501"/>
    </row>
    <row r="25072" spans="25:25" hidden="1" x14ac:dyDescent="0.25">
      <c r="Y25072" s="501"/>
    </row>
    <row r="25073" spans="25:25" hidden="1" x14ac:dyDescent="0.25">
      <c r="Y25073" s="501"/>
    </row>
    <row r="25074" spans="25:25" hidden="1" x14ac:dyDescent="0.25">
      <c r="Y25074" s="501"/>
    </row>
    <row r="25075" spans="25:25" hidden="1" x14ac:dyDescent="0.25">
      <c r="Y25075" s="501"/>
    </row>
    <row r="25076" spans="25:25" hidden="1" x14ac:dyDescent="0.25">
      <c r="Y25076" s="501"/>
    </row>
    <row r="25077" spans="25:25" hidden="1" x14ac:dyDescent="0.25">
      <c r="Y25077" s="501"/>
    </row>
    <row r="25078" spans="25:25" hidden="1" x14ac:dyDescent="0.25">
      <c r="Y25078" s="501"/>
    </row>
    <row r="25079" spans="25:25" hidden="1" x14ac:dyDescent="0.25">
      <c r="Y25079" s="501"/>
    </row>
    <row r="25080" spans="25:25" hidden="1" x14ac:dyDescent="0.25">
      <c r="Y25080" s="501"/>
    </row>
    <row r="25081" spans="25:25" hidden="1" x14ac:dyDescent="0.25">
      <c r="Y25081" s="501"/>
    </row>
    <row r="25082" spans="25:25" hidden="1" x14ac:dyDescent="0.25">
      <c r="Y25082" s="501"/>
    </row>
    <row r="25083" spans="25:25" hidden="1" x14ac:dyDescent="0.25">
      <c r="Y25083" s="501"/>
    </row>
    <row r="25084" spans="25:25" hidden="1" x14ac:dyDescent="0.25">
      <c r="Y25084" s="501"/>
    </row>
    <row r="25085" spans="25:25" hidden="1" x14ac:dyDescent="0.25">
      <c r="Y25085" s="501"/>
    </row>
    <row r="25086" spans="25:25" hidden="1" x14ac:dyDescent="0.25">
      <c r="Y25086" s="501"/>
    </row>
    <row r="25087" spans="25:25" hidden="1" x14ac:dyDescent="0.25">
      <c r="Y25087" s="501"/>
    </row>
    <row r="25088" spans="25:25" hidden="1" x14ac:dyDescent="0.25">
      <c r="Y25088" s="501"/>
    </row>
    <row r="25089" spans="25:25" hidden="1" x14ac:dyDescent="0.25">
      <c r="Y25089" s="501"/>
    </row>
    <row r="25090" spans="25:25" hidden="1" x14ac:dyDescent="0.25">
      <c r="Y25090" s="501"/>
    </row>
    <row r="25091" spans="25:25" hidden="1" x14ac:dyDescent="0.25">
      <c r="Y25091" s="501"/>
    </row>
    <row r="25092" spans="25:25" hidden="1" x14ac:dyDescent="0.25">
      <c r="Y25092" s="501"/>
    </row>
    <row r="25093" spans="25:25" hidden="1" x14ac:dyDescent="0.25">
      <c r="Y25093" s="501"/>
    </row>
    <row r="25094" spans="25:25" hidden="1" x14ac:dyDescent="0.25">
      <c r="Y25094" s="501"/>
    </row>
    <row r="25095" spans="25:25" hidden="1" x14ac:dyDescent="0.25">
      <c r="Y25095" s="501"/>
    </row>
    <row r="25096" spans="25:25" hidden="1" x14ac:dyDescent="0.25">
      <c r="Y25096" s="501"/>
    </row>
    <row r="25097" spans="25:25" hidden="1" x14ac:dyDescent="0.25">
      <c r="Y25097" s="501"/>
    </row>
    <row r="25098" spans="25:25" hidden="1" x14ac:dyDescent="0.25">
      <c r="Y25098" s="501"/>
    </row>
    <row r="25099" spans="25:25" hidden="1" x14ac:dyDescent="0.25">
      <c r="Y25099" s="501"/>
    </row>
    <row r="25100" spans="25:25" hidden="1" x14ac:dyDescent="0.25">
      <c r="Y25100" s="501"/>
    </row>
    <row r="25101" spans="25:25" hidden="1" x14ac:dyDescent="0.25">
      <c r="Y25101" s="501"/>
    </row>
    <row r="25102" spans="25:25" hidden="1" x14ac:dyDescent="0.25">
      <c r="Y25102" s="501"/>
    </row>
    <row r="25103" spans="25:25" hidden="1" x14ac:dyDescent="0.25">
      <c r="Y25103" s="501"/>
    </row>
    <row r="25104" spans="25:25" hidden="1" x14ac:dyDescent="0.25">
      <c r="Y25104" s="501"/>
    </row>
    <row r="25105" spans="25:25" hidden="1" x14ac:dyDescent="0.25">
      <c r="Y25105" s="501"/>
    </row>
    <row r="25106" spans="25:25" hidden="1" x14ac:dyDescent="0.25">
      <c r="Y25106" s="501"/>
    </row>
    <row r="25107" spans="25:25" hidden="1" x14ac:dyDescent="0.25">
      <c r="Y25107" s="501"/>
    </row>
    <row r="25108" spans="25:25" hidden="1" x14ac:dyDescent="0.25">
      <c r="Y25108" s="501"/>
    </row>
    <row r="25109" spans="25:25" hidden="1" x14ac:dyDescent="0.25">
      <c r="Y25109" s="501"/>
    </row>
    <row r="25110" spans="25:25" hidden="1" x14ac:dyDescent="0.25">
      <c r="Y25110" s="501"/>
    </row>
    <row r="25111" spans="25:25" hidden="1" x14ac:dyDescent="0.25">
      <c r="Y25111" s="501"/>
    </row>
    <row r="25112" spans="25:25" hidden="1" x14ac:dyDescent="0.25">
      <c r="Y25112" s="501"/>
    </row>
    <row r="25113" spans="25:25" hidden="1" x14ac:dyDescent="0.25">
      <c r="Y25113" s="501"/>
    </row>
    <row r="25114" spans="25:25" hidden="1" x14ac:dyDescent="0.25">
      <c r="Y25114" s="501"/>
    </row>
    <row r="25115" spans="25:25" hidden="1" x14ac:dyDescent="0.25">
      <c r="Y25115" s="501"/>
    </row>
    <row r="25116" spans="25:25" hidden="1" x14ac:dyDescent="0.25">
      <c r="Y25116" s="501"/>
    </row>
    <row r="25117" spans="25:25" hidden="1" x14ac:dyDescent="0.25">
      <c r="Y25117" s="501"/>
    </row>
    <row r="25118" spans="25:25" hidden="1" x14ac:dyDescent="0.25">
      <c r="Y25118" s="501"/>
    </row>
    <row r="25119" spans="25:25" hidden="1" x14ac:dyDescent="0.25">
      <c r="Y25119" s="501"/>
    </row>
    <row r="25120" spans="25:25" hidden="1" x14ac:dyDescent="0.25">
      <c r="Y25120" s="501"/>
    </row>
    <row r="25121" spans="25:25" hidden="1" x14ac:dyDescent="0.25">
      <c r="Y25121" s="501"/>
    </row>
    <row r="25122" spans="25:25" hidden="1" x14ac:dyDescent="0.25">
      <c r="Y25122" s="501"/>
    </row>
    <row r="25123" spans="25:25" hidden="1" x14ac:dyDescent="0.25">
      <c r="Y25123" s="501"/>
    </row>
    <row r="25124" spans="25:25" hidden="1" x14ac:dyDescent="0.25">
      <c r="Y25124" s="501"/>
    </row>
    <row r="25125" spans="25:25" hidden="1" x14ac:dyDescent="0.25">
      <c r="Y25125" s="501"/>
    </row>
    <row r="25126" spans="25:25" hidden="1" x14ac:dyDescent="0.25">
      <c r="Y25126" s="501"/>
    </row>
    <row r="25127" spans="25:25" hidden="1" x14ac:dyDescent="0.25">
      <c r="Y25127" s="501"/>
    </row>
    <row r="25128" spans="25:25" hidden="1" x14ac:dyDescent="0.25">
      <c r="Y25128" s="501"/>
    </row>
    <row r="25129" spans="25:25" hidden="1" x14ac:dyDescent="0.25">
      <c r="Y25129" s="501"/>
    </row>
    <row r="25130" spans="25:25" hidden="1" x14ac:dyDescent="0.25">
      <c r="Y25130" s="501"/>
    </row>
    <row r="25131" spans="25:25" hidden="1" x14ac:dyDescent="0.25">
      <c r="Y25131" s="501"/>
    </row>
    <row r="25132" spans="25:25" hidden="1" x14ac:dyDescent="0.25">
      <c r="Y25132" s="501"/>
    </row>
    <row r="25133" spans="25:25" hidden="1" x14ac:dyDescent="0.25">
      <c r="Y25133" s="501"/>
    </row>
    <row r="25134" spans="25:25" hidden="1" x14ac:dyDescent="0.25">
      <c r="Y25134" s="501"/>
    </row>
    <row r="25135" spans="25:25" hidden="1" x14ac:dyDescent="0.25">
      <c r="Y25135" s="501"/>
    </row>
    <row r="25136" spans="25:25" hidden="1" x14ac:dyDescent="0.25">
      <c r="Y25136" s="501"/>
    </row>
    <row r="25137" spans="25:25" hidden="1" x14ac:dyDescent="0.25">
      <c r="Y25137" s="501"/>
    </row>
    <row r="25138" spans="25:25" hidden="1" x14ac:dyDescent="0.25">
      <c r="Y25138" s="501"/>
    </row>
    <row r="25139" spans="25:25" hidden="1" x14ac:dyDescent="0.25">
      <c r="Y25139" s="501"/>
    </row>
    <row r="25140" spans="25:25" hidden="1" x14ac:dyDescent="0.25">
      <c r="Y25140" s="501"/>
    </row>
    <row r="25141" spans="25:25" hidden="1" x14ac:dyDescent="0.25">
      <c r="Y25141" s="501"/>
    </row>
    <row r="25142" spans="25:25" hidden="1" x14ac:dyDescent="0.25">
      <c r="Y25142" s="501"/>
    </row>
    <row r="25143" spans="25:25" hidden="1" x14ac:dyDescent="0.25">
      <c r="Y25143" s="501"/>
    </row>
    <row r="25144" spans="25:25" hidden="1" x14ac:dyDescent="0.25">
      <c r="Y25144" s="501"/>
    </row>
    <row r="25145" spans="25:25" hidden="1" x14ac:dyDescent="0.25">
      <c r="Y25145" s="501"/>
    </row>
    <row r="25146" spans="25:25" hidden="1" x14ac:dyDescent="0.25">
      <c r="Y25146" s="501"/>
    </row>
    <row r="25147" spans="25:25" hidden="1" x14ac:dyDescent="0.25">
      <c r="Y25147" s="501"/>
    </row>
    <row r="25148" spans="25:25" hidden="1" x14ac:dyDescent="0.25">
      <c r="Y25148" s="501"/>
    </row>
    <row r="25149" spans="25:25" hidden="1" x14ac:dyDescent="0.25">
      <c r="Y25149" s="501"/>
    </row>
    <row r="25150" spans="25:25" hidden="1" x14ac:dyDescent="0.25">
      <c r="Y25150" s="501"/>
    </row>
    <row r="25151" spans="25:25" hidden="1" x14ac:dyDescent="0.25">
      <c r="Y25151" s="501"/>
    </row>
    <row r="25152" spans="25:25" hidden="1" x14ac:dyDescent="0.25">
      <c r="Y25152" s="501"/>
    </row>
    <row r="25153" spans="25:25" hidden="1" x14ac:dyDescent="0.25">
      <c r="Y25153" s="501"/>
    </row>
    <row r="25154" spans="25:25" hidden="1" x14ac:dyDescent="0.25">
      <c r="Y25154" s="501"/>
    </row>
    <row r="25155" spans="25:25" hidden="1" x14ac:dyDescent="0.25">
      <c r="Y25155" s="501"/>
    </row>
    <row r="25156" spans="25:25" hidden="1" x14ac:dyDescent="0.25">
      <c r="Y25156" s="501"/>
    </row>
    <row r="25157" spans="25:25" hidden="1" x14ac:dyDescent="0.25">
      <c r="Y25157" s="501"/>
    </row>
    <row r="25158" spans="25:25" hidden="1" x14ac:dyDescent="0.25">
      <c r="Y25158" s="501"/>
    </row>
    <row r="25159" spans="25:25" hidden="1" x14ac:dyDescent="0.25">
      <c r="Y25159" s="501"/>
    </row>
    <row r="25160" spans="25:25" hidden="1" x14ac:dyDescent="0.25">
      <c r="Y25160" s="501"/>
    </row>
    <row r="25161" spans="25:25" hidden="1" x14ac:dyDescent="0.25">
      <c r="Y25161" s="501"/>
    </row>
    <row r="25162" spans="25:25" hidden="1" x14ac:dyDescent="0.25">
      <c r="Y25162" s="501"/>
    </row>
    <row r="25163" spans="25:25" hidden="1" x14ac:dyDescent="0.25">
      <c r="Y25163" s="501"/>
    </row>
    <row r="25164" spans="25:25" hidden="1" x14ac:dyDescent="0.25">
      <c r="Y25164" s="501"/>
    </row>
    <row r="25165" spans="25:25" hidden="1" x14ac:dyDescent="0.25">
      <c r="Y25165" s="501"/>
    </row>
    <row r="25166" spans="25:25" hidden="1" x14ac:dyDescent="0.25">
      <c r="Y25166" s="501"/>
    </row>
    <row r="25167" spans="25:25" hidden="1" x14ac:dyDescent="0.25">
      <c r="Y25167" s="501"/>
    </row>
    <row r="25168" spans="25:25" hidden="1" x14ac:dyDescent="0.25">
      <c r="Y25168" s="501"/>
    </row>
    <row r="25169" spans="25:25" hidden="1" x14ac:dyDescent="0.25">
      <c r="Y25169" s="501"/>
    </row>
    <row r="25170" spans="25:25" hidden="1" x14ac:dyDescent="0.25">
      <c r="Y25170" s="501"/>
    </row>
    <row r="25171" spans="25:25" hidden="1" x14ac:dyDescent="0.25">
      <c r="Y25171" s="501"/>
    </row>
    <row r="25172" spans="25:25" hidden="1" x14ac:dyDescent="0.25">
      <c r="Y25172" s="501"/>
    </row>
    <row r="25173" spans="25:25" hidden="1" x14ac:dyDescent="0.25">
      <c r="Y25173" s="501"/>
    </row>
    <row r="25174" spans="25:25" hidden="1" x14ac:dyDescent="0.25">
      <c r="Y25174" s="501"/>
    </row>
    <row r="25175" spans="25:25" hidden="1" x14ac:dyDescent="0.25">
      <c r="Y25175" s="501"/>
    </row>
    <row r="25176" spans="25:25" hidden="1" x14ac:dyDescent="0.25">
      <c r="Y25176" s="501"/>
    </row>
    <row r="25177" spans="25:25" hidden="1" x14ac:dyDescent="0.25">
      <c r="Y25177" s="501"/>
    </row>
    <row r="25178" spans="25:25" hidden="1" x14ac:dyDescent="0.25">
      <c r="Y25178" s="501"/>
    </row>
    <row r="25179" spans="25:25" hidden="1" x14ac:dyDescent="0.25">
      <c r="Y25179" s="501"/>
    </row>
    <row r="25180" spans="25:25" hidden="1" x14ac:dyDescent="0.25">
      <c r="Y25180" s="501"/>
    </row>
    <row r="25181" spans="25:25" hidden="1" x14ac:dyDescent="0.25">
      <c r="Y25181" s="501"/>
    </row>
    <row r="25182" spans="25:25" hidden="1" x14ac:dyDescent="0.25">
      <c r="Y25182" s="501"/>
    </row>
    <row r="25183" spans="25:25" hidden="1" x14ac:dyDescent="0.25">
      <c r="Y25183" s="501"/>
    </row>
    <row r="25184" spans="25:25" hidden="1" x14ac:dyDescent="0.25">
      <c r="Y25184" s="501"/>
    </row>
    <row r="25185" spans="25:25" hidden="1" x14ac:dyDescent="0.25">
      <c r="Y25185" s="501"/>
    </row>
    <row r="25186" spans="25:25" hidden="1" x14ac:dyDescent="0.25">
      <c r="Y25186" s="501"/>
    </row>
    <row r="25187" spans="25:25" hidden="1" x14ac:dyDescent="0.25">
      <c r="Y25187" s="501"/>
    </row>
    <row r="25188" spans="25:25" hidden="1" x14ac:dyDescent="0.25">
      <c r="Y25188" s="501"/>
    </row>
    <row r="25189" spans="25:25" hidden="1" x14ac:dyDescent="0.25">
      <c r="Y25189" s="501"/>
    </row>
    <row r="25190" spans="25:25" hidden="1" x14ac:dyDescent="0.25">
      <c r="Y25190" s="501"/>
    </row>
    <row r="25191" spans="25:25" hidden="1" x14ac:dyDescent="0.25">
      <c r="Y25191" s="501"/>
    </row>
    <row r="25192" spans="25:25" hidden="1" x14ac:dyDescent="0.25">
      <c r="Y25192" s="501"/>
    </row>
    <row r="25193" spans="25:25" hidden="1" x14ac:dyDescent="0.25">
      <c r="Y25193" s="501"/>
    </row>
    <row r="25194" spans="25:25" hidden="1" x14ac:dyDescent="0.25">
      <c r="Y25194" s="501"/>
    </row>
    <row r="25195" spans="25:25" hidden="1" x14ac:dyDescent="0.25">
      <c r="Y25195" s="501"/>
    </row>
    <row r="25196" spans="25:25" hidden="1" x14ac:dyDescent="0.25">
      <c r="Y25196" s="501"/>
    </row>
    <row r="25197" spans="25:25" hidden="1" x14ac:dyDescent="0.25">
      <c r="Y25197" s="501"/>
    </row>
    <row r="25198" spans="25:25" hidden="1" x14ac:dyDescent="0.25">
      <c r="Y25198" s="501"/>
    </row>
    <row r="25199" spans="25:25" hidden="1" x14ac:dyDescent="0.25">
      <c r="Y25199" s="501"/>
    </row>
    <row r="25200" spans="25:25" hidden="1" x14ac:dyDescent="0.25">
      <c r="Y25200" s="501"/>
    </row>
    <row r="25201" spans="25:25" hidden="1" x14ac:dyDescent="0.25">
      <c r="Y25201" s="501"/>
    </row>
    <row r="25202" spans="25:25" hidden="1" x14ac:dyDescent="0.25">
      <c r="Y25202" s="501"/>
    </row>
    <row r="25203" spans="25:25" hidden="1" x14ac:dyDescent="0.25">
      <c r="Y25203" s="501"/>
    </row>
    <row r="25204" spans="25:25" hidden="1" x14ac:dyDescent="0.25">
      <c r="Y25204" s="501"/>
    </row>
    <row r="25205" spans="25:25" hidden="1" x14ac:dyDescent="0.25">
      <c r="Y25205" s="501"/>
    </row>
    <row r="25206" spans="25:25" hidden="1" x14ac:dyDescent="0.25">
      <c r="Y25206" s="501"/>
    </row>
    <row r="25207" spans="25:25" hidden="1" x14ac:dyDescent="0.25">
      <c r="Y25207" s="501"/>
    </row>
    <row r="25208" spans="25:25" hidden="1" x14ac:dyDescent="0.25">
      <c r="Y25208" s="501"/>
    </row>
    <row r="25209" spans="25:25" hidden="1" x14ac:dyDescent="0.25">
      <c r="Y25209" s="501"/>
    </row>
    <row r="25210" spans="25:25" hidden="1" x14ac:dyDescent="0.25">
      <c r="Y25210" s="501"/>
    </row>
    <row r="25211" spans="25:25" hidden="1" x14ac:dyDescent="0.25">
      <c r="Y25211" s="501"/>
    </row>
    <row r="25212" spans="25:25" hidden="1" x14ac:dyDescent="0.25">
      <c r="Y25212" s="501"/>
    </row>
    <row r="25213" spans="25:25" hidden="1" x14ac:dyDescent="0.25">
      <c r="Y25213" s="501"/>
    </row>
    <row r="25214" spans="25:25" hidden="1" x14ac:dyDescent="0.25">
      <c r="Y25214" s="501"/>
    </row>
    <row r="25215" spans="25:25" hidden="1" x14ac:dyDescent="0.25">
      <c r="Y25215" s="501"/>
    </row>
    <row r="25216" spans="25:25" hidden="1" x14ac:dyDescent="0.25">
      <c r="Y25216" s="501"/>
    </row>
    <row r="25217" spans="25:25" hidden="1" x14ac:dyDescent="0.25">
      <c r="Y25217" s="501"/>
    </row>
    <row r="25218" spans="25:25" hidden="1" x14ac:dyDescent="0.25">
      <c r="Y25218" s="501"/>
    </row>
    <row r="25219" spans="25:25" hidden="1" x14ac:dyDescent="0.25">
      <c r="Y25219" s="501"/>
    </row>
    <row r="25220" spans="25:25" hidden="1" x14ac:dyDescent="0.25">
      <c r="Y25220" s="501"/>
    </row>
    <row r="25221" spans="25:25" hidden="1" x14ac:dyDescent="0.25">
      <c r="Y25221" s="501"/>
    </row>
    <row r="25222" spans="25:25" hidden="1" x14ac:dyDescent="0.25">
      <c r="Y25222" s="501"/>
    </row>
    <row r="25223" spans="25:25" hidden="1" x14ac:dyDescent="0.25">
      <c r="Y25223" s="501"/>
    </row>
    <row r="25224" spans="25:25" hidden="1" x14ac:dyDescent="0.25">
      <c r="Y25224" s="501"/>
    </row>
    <row r="25225" spans="25:25" hidden="1" x14ac:dyDescent="0.25">
      <c r="Y25225" s="501"/>
    </row>
    <row r="25226" spans="25:25" hidden="1" x14ac:dyDescent="0.25">
      <c r="Y25226" s="501"/>
    </row>
    <row r="25227" spans="25:25" hidden="1" x14ac:dyDescent="0.25">
      <c r="Y25227" s="501"/>
    </row>
    <row r="25228" spans="25:25" hidden="1" x14ac:dyDescent="0.25">
      <c r="Y25228" s="501"/>
    </row>
    <row r="25229" spans="25:25" hidden="1" x14ac:dyDescent="0.25">
      <c r="Y25229" s="501"/>
    </row>
    <row r="25230" spans="25:25" hidden="1" x14ac:dyDescent="0.25">
      <c r="Y25230" s="501"/>
    </row>
    <row r="25231" spans="25:25" hidden="1" x14ac:dyDescent="0.25">
      <c r="Y25231" s="501"/>
    </row>
    <row r="25232" spans="25:25" hidden="1" x14ac:dyDescent="0.25">
      <c r="Y25232" s="501"/>
    </row>
    <row r="25233" spans="25:25" hidden="1" x14ac:dyDescent="0.25">
      <c r="Y25233" s="501"/>
    </row>
    <row r="25234" spans="25:25" hidden="1" x14ac:dyDescent="0.25">
      <c r="Y25234" s="501"/>
    </row>
    <row r="25235" spans="25:25" hidden="1" x14ac:dyDescent="0.25">
      <c r="Y25235" s="501"/>
    </row>
    <row r="25236" spans="25:25" hidden="1" x14ac:dyDescent="0.25">
      <c r="Y25236" s="501"/>
    </row>
    <row r="25237" spans="25:25" hidden="1" x14ac:dyDescent="0.25">
      <c r="Y25237" s="501"/>
    </row>
    <row r="25238" spans="25:25" hidden="1" x14ac:dyDescent="0.25">
      <c r="Y25238" s="501"/>
    </row>
    <row r="25239" spans="25:25" hidden="1" x14ac:dyDescent="0.25">
      <c r="Y25239" s="501"/>
    </row>
    <row r="25240" spans="25:25" hidden="1" x14ac:dyDescent="0.25">
      <c r="Y25240" s="501"/>
    </row>
    <row r="25241" spans="25:25" hidden="1" x14ac:dyDescent="0.25">
      <c r="Y25241" s="501"/>
    </row>
    <row r="25242" spans="25:25" hidden="1" x14ac:dyDescent="0.25">
      <c r="Y25242" s="501"/>
    </row>
    <row r="25243" spans="25:25" hidden="1" x14ac:dyDescent="0.25">
      <c r="Y25243" s="501"/>
    </row>
    <row r="25244" spans="25:25" hidden="1" x14ac:dyDescent="0.25">
      <c r="Y25244" s="501"/>
    </row>
    <row r="25245" spans="25:25" hidden="1" x14ac:dyDescent="0.25">
      <c r="Y25245" s="501"/>
    </row>
    <row r="25246" spans="25:25" hidden="1" x14ac:dyDescent="0.25">
      <c r="Y25246" s="501"/>
    </row>
    <row r="25247" spans="25:25" hidden="1" x14ac:dyDescent="0.25">
      <c r="Y25247" s="501"/>
    </row>
    <row r="25248" spans="25:25" hidden="1" x14ac:dyDescent="0.25">
      <c r="Y25248" s="501"/>
    </row>
    <row r="25249" spans="25:25" hidden="1" x14ac:dyDescent="0.25">
      <c r="Y25249" s="501"/>
    </row>
    <row r="25250" spans="25:25" hidden="1" x14ac:dyDescent="0.25">
      <c r="Y25250" s="501"/>
    </row>
    <row r="25251" spans="25:25" hidden="1" x14ac:dyDescent="0.25">
      <c r="Y25251" s="501"/>
    </row>
    <row r="25252" spans="25:25" hidden="1" x14ac:dyDescent="0.25">
      <c r="Y25252" s="501"/>
    </row>
    <row r="25253" spans="25:25" hidden="1" x14ac:dyDescent="0.25">
      <c r="Y25253" s="501"/>
    </row>
    <row r="25254" spans="25:25" hidden="1" x14ac:dyDescent="0.25">
      <c r="Y25254" s="501"/>
    </row>
    <row r="25255" spans="25:25" hidden="1" x14ac:dyDescent="0.25">
      <c r="Y25255" s="501"/>
    </row>
    <row r="25256" spans="25:25" hidden="1" x14ac:dyDescent="0.25">
      <c r="Y25256" s="501"/>
    </row>
    <row r="25257" spans="25:25" hidden="1" x14ac:dyDescent="0.25">
      <c r="Y25257" s="501"/>
    </row>
    <row r="25258" spans="25:25" hidden="1" x14ac:dyDescent="0.25">
      <c r="Y25258" s="501"/>
    </row>
    <row r="25259" spans="25:25" hidden="1" x14ac:dyDescent="0.25">
      <c r="Y25259" s="501"/>
    </row>
    <row r="25260" spans="25:25" hidden="1" x14ac:dyDescent="0.25">
      <c r="Y25260" s="501"/>
    </row>
    <row r="25261" spans="25:25" hidden="1" x14ac:dyDescent="0.25">
      <c r="Y25261" s="501"/>
    </row>
    <row r="25262" spans="25:25" hidden="1" x14ac:dyDescent="0.25">
      <c r="Y25262" s="501"/>
    </row>
    <row r="25263" spans="25:25" hidden="1" x14ac:dyDescent="0.25">
      <c r="Y25263" s="501"/>
    </row>
    <row r="25264" spans="25:25" hidden="1" x14ac:dyDescent="0.25">
      <c r="Y25264" s="501"/>
    </row>
    <row r="25265" spans="25:25" hidden="1" x14ac:dyDescent="0.25">
      <c r="Y25265" s="501"/>
    </row>
    <row r="25266" spans="25:25" hidden="1" x14ac:dyDescent="0.25">
      <c r="Y25266" s="501"/>
    </row>
    <row r="25267" spans="25:25" hidden="1" x14ac:dyDescent="0.25">
      <c r="Y25267" s="501"/>
    </row>
    <row r="25268" spans="25:25" hidden="1" x14ac:dyDescent="0.25">
      <c r="Y25268" s="501"/>
    </row>
    <row r="25269" spans="25:25" hidden="1" x14ac:dyDescent="0.25">
      <c r="Y25269" s="501"/>
    </row>
    <row r="25270" spans="25:25" hidden="1" x14ac:dyDescent="0.25">
      <c r="Y25270" s="501"/>
    </row>
    <row r="25271" spans="25:25" hidden="1" x14ac:dyDescent="0.25">
      <c r="Y25271" s="501"/>
    </row>
    <row r="25272" spans="25:25" hidden="1" x14ac:dyDescent="0.25">
      <c r="Y25272" s="501"/>
    </row>
    <row r="25273" spans="25:25" hidden="1" x14ac:dyDescent="0.25">
      <c r="Y25273" s="501"/>
    </row>
    <row r="25274" spans="25:25" hidden="1" x14ac:dyDescent="0.25">
      <c r="Y25274" s="501"/>
    </row>
    <row r="25275" spans="25:25" hidden="1" x14ac:dyDescent="0.25">
      <c r="Y25275" s="501"/>
    </row>
    <row r="25276" spans="25:25" hidden="1" x14ac:dyDescent="0.25">
      <c r="Y25276" s="501"/>
    </row>
    <row r="25277" spans="25:25" hidden="1" x14ac:dyDescent="0.25">
      <c r="Y25277" s="501"/>
    </row>
    <row r="25278" spans="25:25" hidden="1" x14ac:dyDescent="0.25">
      <c r="Y25278" s="501"/>
    </row>
    <row r="25279" spans="25:25" hidden="1" x14ac:dyDescent="0.25">
      <c r="Y25279" s="501"/>
    </row>
    <row r="25280" spans="25:25" hidden="1" x14ac:dyDescent="0.25">
      <c r="Y25280" s="501"/>
    </row>
    <row r="25281" spans="25:25" hidden="1" x14ac:dyDescent="0.25">
      <c r="Y25281" s="501"/>
    </row>
    <row r="25282" spans="25:25" hidden="1" x14ac:dyDescent="0.25">
      <c r="Y25282" s="501"/>
    </row>
    <row r="25283" spans="25:25" hidden="1" x14ac:dyDescent="0.25">
      <c r="Y25283" s="501"/>
    </row>
    <row r="25284" spans="25:25" hidden="1" x14ac:dyDescent="0.25">
      <c r="Y25284" s="501"/>
    </row>
    <row r="25285" spans="25:25" hidden="1" x14ac:dyDescent="0.25">
      <c r="Y25285" s="501"/>
    </row>
    <row r="25286" spans="25:25" hidden="1" x14ac:dyDescent="0.25">
      <c r="Y25286" s="501"/>
    </row>
    <row r="25287" spans="25:25" hidden="1" x14ac:dyDescent="0.25">
      <c r="Y25287" s="501"/>
    </row>
    <row r="25288" spans="25:25" hidden="1" x14ac:dyDescent="0.25">
      <c r="Y25288" s="501"/>
    </row>
    <row r="25289" spans="25:25" hidden="1" x14ac:dyDescent="0.25">
      <c r="Y25289" s="501"/>
    </row>
    <row r="25290" spans="25:25" hidden="1" x14ac:dyDescent="0.25">
      <c r="Y25290" s="501"/>
    </row>
    <row r="25291" spans="25:25" hidden="1" x14ac:dyDescent="0.25">
      <c r="Y25291" s="501"/>
    </row>
    <row r="25292" spans="25:25" hidden="1" x14ac:dyDescent="0.25">
      <c r="Y25292" s="501"/>
    </row>
    <row r="25293" spans="25:25" hidden="1" x14ac:dyDescent="0.25">
      <c r="Y25293" s="501"/>
    </row>
    <row r="25294" spans="25:25" hidden="1" x14ac:dyDescent="0.25">
      <c r="Y25294" s="501"/>
    </row>
    <row r="25295" spans="25:25" hidden="1" x14ac:dyDescent="0.25">
      <c r="Y25295" s="501"/>
    </row>
    <row r="25296" spans="25:25" hidden="1" x14ac:dyDescent="0.25">
      <c r="Y25296" s="501"/>
    </row>
    <row r="25297" spans="25:25" hidden="1" x14ac:dyDescent="0.25">
      <c r="Y25297" s="501"/>
    </row>
    <row r="25298" spans="25:25" hidden="1" x14ac:dyDescent="0.25">
      <c r="Y25298" s="501"/>
    </row>
    <row r="25299" spans="25:25" hidden="1" x14ac:dyDescent="0.25">
      <c r="Y25299" s="501"/>
    </row>
    <row r="25300" spans="25:25" hidden="1" x14ac:dyDescent="0.25">
      <c r="Y25300" s="501"/>
    </row>
    <row r="25301" spans="25:25" hidden="1" x14ac:dyDescent="0.25">
      <c r="Y25301" s="501"/>
    </row>
    <row r="25302" spans="25:25" hidden="1" x14ac:dyDescent="0.25">
      <c r="Y25302" s="501"/>
    </row>
    <row r="25303" spans="25:25" hidden="1" x14ac:dyDescent="0.25">
      <c r="Y25303" s="501"/>
    </row>
    <row r="25304" spans="25:25" hidden="1" x14ac:dyDescent="0.25">
      <c r="Y25304" s="501"/>
    </row>
    <row r="25305" spans="25:25" hidden="1" x14ac:dyDescent="0.25">
      <c r="Y25305" s="501"/>
    </row>
    <row r="25306" spans="25:25" hidden="1" x14ac:dyDescent="0.25">
      <c r="Y25306" s="501"/>
    </row>
    <row r="25307" spans="25:25" hidden="1" x14ac:dyDescent="0.25">
      <c r="Y25307" s="501"/>
    </row>
    <row r="25308" spans="25:25" hidden="1" x14ac:dyDescent="0.25">
      <c r="Y25308" s="501"/>
    </row>
    <row r="25309" spans="25:25" hidden="1" x14ac:dyDescent="0.25">
      <c r="Y25309" s="501"/>
    </row>
    <row r="25310" spans="25:25" hidden="1" x14ac:dyDescent="0.25">
      <c r="Y25310" s="501"/>
    </row>
    <row r="25311" spans="25:25" hidden="1" x14ac:dyDescent="0.25">
      <c r="Y25311" s="501"/>
    </row>
    <row r="25312" spans="25:25" hidden="1" x14ac:dyDescent="0.25">
      <c r="Y25312" s="501"/>
    </row>
    <row r="25313" spans="25:25" hidden="1" x14ac:dyDescent="0.25">
      <c r="Y25313" s="501"/>
    </row>
    <row r="25314" spans="25:25" hidden="1" x14ac:dyDescent="0.25">
      <c r="Y25314" s="501"/>
    </row>
    <row r="25315" spans="25:25" hidden="1" x14ac:dyDescent="0.25">
      <c r="Y25315" s="501"/>
    </row>
    <row r="25316" spans="25:25" hidden="1" x14ac:dyDescent="0.25">
      <c r="Y25316" s="501"/>
    </row>
    <row r="25317" spans="25:25" hidden="1" x14ac:dyDescent="0.25">
      <c r="Y25317" s="501"/>
    </row>
    <row r="25318" spans="25:25" hidden="1" x14ac:dyDescent="0.25">
      <c r="Y25318" s="501"/>
    </row>
    <row r="25319" spans="25:25" hidden="1" x14ac:dyDescent="0.25">
      <c r="Y25319" s="501"/>
    </row>
    <row r="25320" spans="25:25" hidden="1" x14ac:dyDescent="0.25">
      <c r="Y25320" s="501"/>
    </row>
    <row r="25321" spans="25:25" hidden="1" x14ac:dyDescent="0.25">
      <c r="Y25321" s="501"/>
    </row>
    <row r="25322" spans="25:25" hidden="1" x14ac:dyDescent="0.25">
      <c r="Y25322" s="501"/>
    </row>
    <row r="25323" spans="25:25" hidden="1" x14ac:dyDescent="0.25">
      <c r="Y25323" s="501"/>
    </row>
    <row r="25324" spans="25:25" hidden="1" x14ac:dyDescent="0.25">
      <c r="Y25324" s="501"/>
    </row>
    <row r="25325" spans="25:25" hidden="1" x14ac:dyDescent="0.25">
      <c r="Y25325" s="501"/>
    </row>
    <row r="25326" spans="25:25" hidden="1" x14ac:dyDescent="0.25">
      <c r="Y25326" s="501"/>
    </row>
    <row r="25327" spans="25:25" hidden="1" x14ac:dyDescent="0.25">
      <c r="Y25327" s="501"/>
    </row>
    <row r="25328" spans="25:25" hidden="1" x14ac:dyDescent="0.25">
      <c r="Y25328" s="501"/>
    </row>
    <row r="25329" spans="25:25" hidden="1" x14ac:dyDescent="0.25">
      <c r="Y25329" s="501"/>
    </row>
    <row r="25330" spans="25:25" hidden="1" x14ac:dyDescent="0.25">
      <c r="Y25330" s="501"/>
    </row>
    <row r="25331" spans="25:25" hidden="1" x14ac:dyDescent="0.25">
      <c r="Y25331" s="501"/>
    </row>
    <row r="25332" spans="25:25" hidden="1" x14ac:dyDescent="0.25">
      <c r="Y25332" s="501"/>
    </row>
    <row r="25333" spans="25:25" hidden="1" x14ac:dyDescent="0.25">
      <c r="Y25333" s="501"/>
    </row>
    <row r="25334" spans="25:25" hidden="1" x14ac:dyDescent="0.25">
      <c r="Y25334" s="501"/>
    </row>
    <row r="25335" spans="25:25" hidden="1" x14ac:dyDescent="0.25">
      <c r="Y25335" s="501"/>
    </row>
    <row r="25336" spans="25:25" hidden="1" x14ac:dyDescent="0.25">
      <c r="Y25336" s="501"/>
    </row>
    <row r="25337" spans="25:25" hidden="1" x14ac:dyDescent="0.25">
      <c r="Y25337" s="501"/>
    </row>
    <row r="25338" spans="25:25" hidden="1" x14ac:dyDescent="0.25">
      <c r="Y25338" s="501"/>
    </row>
    <row r="25339" spans="25:25" hidden="1" x14ac:dyDescent="0.25">
      <c r="Y25339" s="501"/>
    </row>
    <row r="25340" spans="25:25" hidden="1" x14ac:dyDescent="0.25">
      <c r="Y25340" s="501"/>
    </row>
    <row r="25341" spans="25:25" hidden="1" x14ac:dyDescent="0.25">
      <c r="Y25341" s="501"/>
    </row>
    <row r="25342" spans="25:25" hidden="1" x14ac:dyDescent="0.25">
      <c r="Y25342" s="501"/>
    </row>
    <row r="25343" spans="25:25" hidden="1" x14ac:dyDescent="0.25">
      <c r="Y25343" s="501"/>
    </row>
    <row r="25344" spans="25:25" hidden="1" x14ac:dyDescent="0.25">
      <c r="Y25344" s="501"/>
    </row>
    <row r="25345" spans="25:25" hidden="1" x14ac:dyDescent="0.25">
      <c r="Y25345" s="501"/>
    </row>
    <row r="25346" spans="25:25" hidden="1" x14ac:dyDescent="0.25">
      <c r="Y25346" s="501"/>
    </row>
    <row r="25347" spans="25:25" hidden="1" x14ac:dyDescent="0.25">
      <c r="Y25347" s="501"/>
    </row>
    <row r="25348" spans="25:25" hidden="1" x14ac:dyDescent="0.25">
      <c r="Y25348" s="501"/>
    </row>
    <row r="25349" spans="25:25" hidden="1" x14ac:dyDescent="0.25">
      <c r="Y25349" s="501"/>
    </row>
    <row r="25350" spans="25:25" hidden="1" x14ac:dyDescent="0.25">
      <c r="Y25350" s="501"/>
    </row>
    <row r="25351" spans="25:25" hidden="1" x14ac:dyDescent="0.25">
      <c r="Y25351" s="501"/>
    </row>
    <row r="25352" spans="25:25" hidden="1" x14ac:dyDescent="0.25">
      <c r="Y25352" s="501"/>
    </row>
    <row r="25353" spans="25:25" hidden="1" x14ac:dyDescent="0.25">
      <c r="Y25353" s="501"/>
    </row>
    <row r="25354" spans="25:25" hidden="1" x14ac:dyDescent="0.25">
      <c r="Y25354" s="501"/>
    </row>
    <row r="25355" spans="25:25" hidden="1" x14ac:dyDescent="0.25">
      <c r="Y25355" s="501"/>
    </row>
    <row r="25356" spans="25:25" hidden="1" x14ac:dyDescent="0.25">
      <c r="Y25356" s="501"/>
    </row>
    <row r="25357" spans="25:25" hidden="1" x14ac:dyDescent="0.25">
      <c r="Y25357" s="501"/>
    </row>
    <row r="25358" spans="25:25" hidden="1" x14ac:dyDescent="0.25">
      <c r="Y25358" s="501"/>
    </row>
    <row r="25359" spans="25:25" hidden="1" x14ac:dyDescent="0.25">
      <c r="Y25359" s="501"/>
    </row>
    <row r="25360" spans="25:25" hidden="1" x14ac:dyDescent="0.25">
      <c r="Y25360" s="501"/>
    </row>
    <row r="25361" spans="25:25" hidden="1" x14ac:dyDescent="0.25">
      <c r="Y25361" s="501"/>
    </row>
    <row r="25362" spans="25:25" hidden="1" x14ac:dyDescent="0.25">
      <c r="Y25362" s="501"/>
    </row>
    <row r="25363" spans="25:25" hidden="1" x14ac:dyDescent="0.25">
      <c r="Y25363" s="501"/>
    </row>
    <row r="25364" spans="25:25" hidden="1" x14ac:dyDescent="0.25">
      <c r="Y25364" s="501"/>
    </row>
    <row r="25365" spans="25:25" hidden="1" x14ac:dyDescent="0.25">
      <c r="Y25365" s="501"/>
    </row>
    <row r="25366" spans="25:25" hidden="1" x14ac:dyDescent="0.25">
      <c r="Y25366" s="501"/>
    </row>
    <row r="25367" spans="25:25" hidden="1" x14ac:dyDescent="0.25">
      <c r="Y25367" s="501"/>
    </row>
    <row r="25368" spans="25:25" hidden="1" x14ac:dyDescent="0.25">
      <c r="Y25368" s="501"/>
    </row>
    <row r="25369" spans="25:25" hidden="1" x14ac:dyDescent="0.25">
      <c r="Y25369" s="501"/>
    </row>
    <row r="25370" spans="25:25" hidden="1" x14ac:dyDescent="0.25">
      <c r="Y25370" s="501"/>
    </row>
    <row r="25371" spans="25:25" hidden="1" x14ac:dyDescent="0.25">
      <c r="Y25371" s="501"/>
    </row>
    <row r="25372" spans="25:25" hidden="1" x14ac:dyDescent="0.25">
      <c r="Y25372" s="501"/>
    </row>
    <row r="25373" spans="25:25" hidden="1" x14ac:dyDescent="0.25">
      <c r="Y25373" s="501"/>
    </row>
    <row r="25374" spans="25:25" hidden="1" x14ac:dyDescent="0.25">
      <c r="Y25374" s="501"/>
    </row>
    <row r="25375" spans="25:25" hidden="1" x14ac:dyDescent="0.25">
      <c r="Y25375" s="501"/>
    </row>
    <row r="25376" spans="25:25" hidden="1" x14ac:dyDescent="0.25">
      <c r="Y25376" s="501"/>
    </row>
    <row r="25377" spans="25:25" hidden="1" x14ac:dyDescent="0.25">
      <c r="Y25377" s="501"/>
    </row>
    <row r="25378" spans="25:25" hidden="1" x14ac:dyDescent="0.25">
      <c r="Y25378" s="501"/>
    </row>
    <row r="25379" spans="25:25" hidden="1" x14ac:dyDescent="0.25">
      <c r="Y25379" s="501"/>
    </row>
    <row r="25380" spans="25:25" hidden="1" x14ac:dyDescent="0.25">
      <c r="Y25380" s="501"/>
    </row>
    <row r="25381" spans="25:25" hidden="1" x14ac:dyDescent="0.25">
      <c r="Y25381" s="501"/>
    </row>
    <row r="25382" spans="25:25" hidden="1" x14ac:dyDescent="0.25">
      <c r="Y25382" s="501"/>
    </row>
    <row r="25383" spans="25:25" hidden="1" x14ac:dyDescent="0.25">
      <c r="Y25383" s="501"/>
    </row>
    <row r="25384" spans="25:25" hidden="1" x14ac:dyDescent="0.25">
      <c r="Y25384" s="501"/>
    </row>
    <row r="25385" spans="25:25" hidden="1" x14ac:dyDescent="0.25">
      <c r="Y25385" s="501"/>
    </row>
    <row r="25386" spans="25:25" hidden="1" x14ac:dyDescent="0.25">
      <c r="Y25386" s="501"/>
    </row>
    <row r="25387" spans="25:25" hidden="1" x14ac:dyDescent="0.25">
      <c r="Y25387" s="501"/>
    </row>
    <row r="25388" spans="25:25" hidden="1" x14ac:dyDescent="0.25">
      <c r="Y25388" s="501"/>
    </row>
    <row r="25389" spans="25:25" hidden="1" x14ac:dyDescent="0.25">
      <c r="Y25389" s="501"/>
    </row>
    <row r="25390" spans="25:25" hidden="1" x14ac:dyDescent="0.25">
      <c r="Y25390" s="501"/>
    </row>
    <row r="25391" spans="25:25" hidden="1" x14ac:dyDescent="0.25">
      <c r="Y25391" s="501"/>
    </row>
    <row r="25392" spans="25:25" hidden="1" x14ac:dyDescent="0.25">
      <c r="Y25392" s="501"/>
    </row>
    <row r="25393" spans="25:25" hidden="1" x14ac:dyDescent="0.25">
      <c r="Y25393" s="501"/>
    </row>
    <row r="25394" spans="25:25" hidden="1" x14ac:dyDescent="0.25">
      <c r="Y25394" s="501"/>
    </row>
    <row r="25395" spans="25:25" hidden="1" x14ac:dyDescent="0.25">
      <c r="Y25395" s="501"/>
    </row>
    <row r="25396" spans="25:25" hidden="1" x14ac:dyDescent="0.25">
      <c r="Y25396" s="501"/>
    </row>
    <row r="25397" spans="25:25" hidden="1" x14ac:dyDescent="0.25">
      <c r="Y25397" s="501"/>
    </row>
    <row r="25398" spans="25:25" hidden="1" x14ac:dyDescent="0.25">
      <c r="Y25398" s="501"/>
    </row>
    <row r="25399" spans="25:25" hidden="1" x14ac:dyDescent="0.25">
      <c r="Y25399" s="501"/>
    </row>
    <row r="25400" spans="25:25" hidden="1" x14ac:dyDescent="0.25">
      <c r="Y25400" s="501"/>
    </row>
    <row r="25401" spans="25:25" hidden="1" x14ac:dyDescent="0.25">
      <c r="Y25401" s="501"/>
    </row>
    <row r="25402" spans="25:25" hidden="1" x14ac:dyDescent="0.25">
      <c r="Y25402" s="501"/>
    </row>
    <row r="25403" spans="25:25" hidden="1" x14ac:dyDescent="0.25">
      <c r="Y25403" s="501"/>
    </row>
    <row r="25404" spans="25:25" hidden="1" x14ac:dyDescent="0.25">
      <c r="Y25404" s="501"/>
    </row>
    <row r="25405" spans="25:25" hidden="1" x14ac:dyDescent="0.25">
      <c r="Y25405" s="501"/>
    </row>
    <row r="25406" spans="25:25" hidden="1" x14ac:dyDescent="0.25">
      <c r="Y25406" s="501"/>
    </row>
    <row r="25407" spans="25:25" hidden="1" x14ac:dyDescent="0.25">
      <c r="Y25407" s="501"/>
    </row>
    <row r="25408" spans="25:25" hidden="1" x14ac:dyDescent="0.25">
      <c r="Y25408" s="501"/>
    </row>
    <row r="25409" spans="25:25" hidden="1" x14ac:dyDescent="0.25">
      <c r="Y25409" s="501"/>
    </row>
    <row r="25410" spans="25:25" hidden="1" x14ac:dyDescent="0.25">
      <c r="Y25410" s="501"/>
    </row>
    <row r="25411" spans="25:25" hidden="1" x14ac:dyDescent="0.25">
      <c r="Y25411" s="501"/>
    </row>
    <row r="25412" spans="25:25" hidden="1" x14ac:dyDescent="0.25">
      <c r="Y25412" s="501"/>
    </row>
    <row r="25413" spans="25:25" hidden="1" x14ac:dyDescent="0.25">
      <c r="Y25413" s="501"/>
    </row>
    <row r="25414" spans="25:25" hidden="1" x14ac:dyDescent="0.25">
      <c r="Y25414" s="501"/>
    </row>
    <row r="25415" spans="25:25" hidden="1" x14ac:dyDescent="0.25">
      <c r="Y25415" s="501"/>
    </row>
    <row r="25416" spans="25:25" hidden="1" x14ac:dyDescent="0.25">
      <c r="Y25416" s="501"/>
    </row>
    <row r="25417" spans="25:25" hidden="1" x14ac:dyDescent="0.25">
      <c r="Y25417" s="501"/>
    </row>
    <row r="25418" spans="25:25" hidden="1" x14ac:dyDescent="0.25">
      <c r="Y25418" s="501"/>
    </row>
    <row r="25419" spans="25:25" hidden="1" x14ac:dyDescent="0.25">
      <c r="Y25419" s="501"/>
    </row>
    <row r="25420" spans="25:25" hidden="1" x14ac:dyDescent="0.25">
      <c r="Y25420" s="501"/>
    </row>
    <row r="25421" spans="25:25" hidden="1" x14ac:dyDescent="0.25">
      <c r="Y25421" s="501"/>
    </row>
    <row r="25422" spans="25:25" hidden="1" x14ac:dyDescent="0.25">
      <c r="Y25422" s="501"/>
    </row>
    <row r="25423" spans="25:25" hidden="1" x14ac:dyDescent="0.25">
      <c r="Y25423" s="501"/>
    </row>
    <row r="25424" spans="25:25" hidden="1" x14ac:dyDescent="0.25">
      <c r="Y25424" s="501"/>
    </row>
    <row r="25425" spans="25:25" hidden="1" x14ac:dyDescent="0.25">
      <c r="Y25425" s="501"/>
    </row>
    <row r="25426" spans="25:25" hidden="1" x14ac:dyDescent="0.25">
      <c r="Y25426" s="501"/>
    </row>
    <row r="25427" spans="25:25" hidden="1" x14ac:dyDescent="0.25">
      <c r="Y25427" s="501"/>
    </row>
    <row r="25428" spans="25:25" hidden="1" x14ac:dyDescent="0.25">
      <c r="Y25428" s="501"/>
    </row>
    <row r="25429" spans="25:25" hidden="1" x14ac:dyDescent="0.25">
      <c r="Y25429" s="501"/>
    </row>
    <row r="25430" spans="25:25" hidden="1" x14ac:dyDescent="0.25">
      <c r="Y25430" s="501"/>
    </row>
    <row r="25431" spans="25:25" hidden="1" x14ac:dyDescent="0.25">
      <c r="Y25431" s="501"/>
    </row>
    <row r="25432" spans="25:25" hidden="1" x14ac:dyDescent="0.25">
      <c r="Y25432" s="501"/>
    </row>
    <row r="25433" spans="25:25" hidden="1" x14ac:dyDescent="0.25">
      <c r="Y25433" s="501"/>
    </row>
    <row r="25434" spans="25:25" hidden="1" x14ac:dyDescent="0.25">
      <c r="Y25434" s="501"/>
    </row>
    <row r="25435" spans="25:25" hidden="1" x14ac:dyDescent="0.25">
      <c r="Y25435" s="501"/>
    </row>
    <row r="25436" spans="25:25" hidden="1" x14ac:dyDescent="0.25">
      <c r="Y25436" s="501"/>
    </row>
    <row r="25437" spans="25:25" hidden="1" x14ac:dyDescent="0.25">
      <c r="Y25437" s="501"/>
    </row>
    <row r="25438" spans="25:25" hidden="1" x14ac:dyDescent="0.25">
      <c r="Y25438" s="501"/>
    </row>
    <row r="25439" spans="25:25" hidden="1" x14ac:dyDescent="0.25">
      <c r="Y25439" s="501"/>
    </row>
    <row r="25440" spans="25:25" hidden="1" x14ac:dyDescent="0.25">
      <c r="Y25440" s="501"/>
    </row>
    <row r="25441" spans="25:25" hidden="1" x14ac:dyDescent="0.25">
      <c r="Y25441" s="501"/>
    </row>
    <row r="25442" spans="25:25" hidden="1" x14ac:dyDescent="0.25">
      <c r="Y25442" s="501"/>
    </row>
    <row r="25443" spans="25:25" hidden="1" x14ac:dyDescent="0.25">
      <c r="Y25443" s="501"/>
    </row>
    <row r="25444" spans="25:25" hidden="1" x14ac:dyDescent="0.25">
      <c r="Y25444" s="501"/>
    </row>
    <row r="25445" spans="25:25" hidden="1" x14ac:dyDescent="0.25">
      <c r="Y25445" s="501"/>
    </row>
    <row r="25446" spans="25:25" hidden="1" x14ac:dyDescent="0.25">
      <c r="Y25446" s="501"/>
    </row>
    <row r="25447" spans="25:25" hidden="1" x14ac:dyDescent="0.25">
      <c r="Y25447" s="501"/>
    </row>
    <row r="25448" spans="25:25" hidden="1" x14ac:dyDescent="0.25">
      <c r="Y25448" s="501"/>
    </row>
    <row r="25449" spans="25:25" hidden="1" x14ac:dyDescent="0.25">
      <c r="Y25449" s="501"/>
    </row>
    <row r="25450" spans="25:25" hidden="1" x14ac:dyDescent="0.25">
      <c r="Y25450" s="501"/>
    </row>
    <row r="25451" spans="25:25" hidden="1" x14ac:dyDescent="0.25">
      <c r="Y25451" s="501"/>
    </row>
    <row r="25452" spans="25:25" hidden="1" x14ac:dyDescent="0.25">
      <c r="Y25452" s="501"/>
    </row>
    <row r="25453" spans="25:25" hidden="1" x14ac:dyDescent="0.25">
      <c r="Y25453" s="501"/>
    </row>
    <row r="25454" spans="25:25" hidden="1" x14ac:dyDescent="0.25">
      <c r="Y25454" s="501"/>
    </row>
    <row r="25455" spans="25:25" hidden="1" x14ac:dyDescent="0.25">
      <c r="Y25455" s="501"/>
    </row>
    <row r="25456" spans="25:25" hidden="1" x14ac:dyDescent="0.25">
      <c r="Y25456" s="501"/>
    </row>
    <row r="25457" spans="25:25" hidden="1" x14ac:dyDescent="0.25">
      <c r="Y25457" s="501"/>
    </row>
    <row r="25458" spans="25:25" hidden="1" x14ac:dyDescent="0.25">
      <c r="Y25458" s="501"/>
    </row>
    <row r="25459" spans="25:25" hidden="1" x14ac:dyDescent="0.25">
      <c r="Y25459" s="501"/>
    </row>
    <row r="25460" spans="25:25" hidden="1" x14ac:dyDescent="0.25">
      <c r="Y25460" s="501"/>
    </row>
    <row r="25461" spans="25:25" hidden="1" x14ac:dyDescent="0.25">
      <c r="Y25461" s="501"/>
    </row>
    <row r="25462" spans="25:25" hidden="1" x14ac:dyDescent="0.25">
      <c r="Y25462" s="501"/>
    </row>
    <row r="25463" spans="25:25" hidden="1" x14ac:dyDescent="0.25">
      <c r="Y25463" s="501"/>
    </row>
    <row r="25464" spans="25:25" hidden="1" x14ac:dyDescent="0.25">
      <c r="Y25464" s="501"/>
    </row>
    <row r="25465" spans="25:25" hidden="1" x14ac:dyDescent="0.25">
      <c r="Y25465" s="501"/>
    </row>
    <row r="25466" spans="25:25" hidden="1" x14ac:dyDescent="0.25">
      <c r="Y25466" s="501"/>
    </row>
    <row r="25467" spans="25:25" hidden="1" x14ac:dyDescent="0.25">
      <c r="Y25467" s="501"/>
    </row>
    <row r="25468" spans="25:25" hidden="1" x14ac:dyDescent="0.25">
      <c r="Y25468" s="501"/>
    </row>
    <row r="25469" spans="25:25" hidden="1" x14ac:dyDescent="0.25">
      <c r="Y25469" s="501"/>
    </row>
    <row r="25470" spans="25:25" hidden="1" x14ac:dyDescent="0.25">
      <c r="Y25470" s="501"/>
    </row>
    <row r="25471" spans="25:25" hidden="1" x14ac:dyDescent="0.25">
      <c r="Y25471" s="501"/>
    </row>
    <row r="25472" spans="25:25" hidden="1" x14ac:dyDescent="0.25">
      <c r="Y25472" s="501"/>
    </row>
    <row r="25473" spans="25:25" hidden="1" x14ac:dyDescent="0.25">
      <c r="Y25473" s="501"/>
    </row>
    <row r="25474" spans="25:25" hidden="1" x14ac:dyDescent="0.25">
      <c r="Y25474" s="501"/>
    </row>
    <row r="25475" spans="25:25" hidden="1" x14ac:dyDescent="0.25">
      <c r="Y25475" s="501"/>
    </row>
    <row r="25476" spans="25:25" hidden="1" x14ac:dyDescent="0.25">
      <c r="Y25476" s="501"/>
    </row>
    <row r="25477" spans="25:25" hidden="1" x14ac:dyDescent="0.25">
      <c r="Y25477" s="501"/>
    </row>
    <row r="25478" spans="25:25" hidden="1" x14ac:dyDescent="0.25">
      <c r="Y25478" s="501"/>
    </row>
    <row r="25479" spans="25:25" hidden="1" x14ac:dyDescent="0.25">
      <c r="Y25479" s="501"/>
    </row>
    <row r="25480" spans="25:25" hidden="1" x14ac:dyDescent="0.25">
      <c r="Y25480" s="501"/>
    </row>
    <row r="25481" spans="25:25" hidden="1" x14ac:dyDescent="0.25">
      <c r="Y25481" s="501"/>
    </row>
    <row r="25482" spans="25:25" hidden="1" x14ac:dyDescent="0.25">
      <c r="Y25482" s="501"/>
    </row>
    <row r="25483" spans="25:25" hidden="1" x14ac:dyDescent="0.25">
      <c r="Y25483" s="501"/>
    </row>
    <row r="25484" spans="25:25" hidden="1" x14ac:dyDescent="0.25">
      <c r="Y25484" s="501"/>
    </row>
    <row r="25485" spans="25:25" hidden="1" x14ac:dyDescent="0.25">
      <c r="Y25485" s="501"/>
    </row>
    <row r="25486" spans="25:25" hidden="1" x14ac:dyDescent="0.25">
      <c r="Y25486" s="501"/>
    </row>
    <row r="25487" spans="25:25" hidden="1" x14ac:dyDescent="0.25">
      <c r="Y25487" s="501"/>
    </row>
    <row r="25488" spans="25:25" hidden="1" x14ac:dyDescent="0.25">
      <c r="Y25488" s="501"/>
    </row>
    <row r="25489" spans="25:25" hidden="1" x14ac:dyDescent="0.25">
      <c r="Y25489" s="501"/>
    </row>
    <row r="25490" spans="25:25" hidden="1" x14ac:dyDescent="0.25">
      <c r="Y25490" s="501"/>
    </row>
    <row r="25491" spans="25:25" hidden="1" x14ac:dyDescent="0.25">
      <c r="Y25491" s="501"/>
    </row>
    <row r="25492" spans="25:25" hidden="1" x14ac:dyDescent="0.25">
      <c r="Y25492" s="501"/>
    </row>
    <row r="25493" spans="25:25" hidden="1" x14ac:dyDescent="0.25">
      <c r="Y25493" s="501"/>
    </row>
    <row r="25494" spans="25:25" hidden="1" x14ac:dyDescent="0.25">
      <c r="Y25494" s="501"/>
    </row>
    <row r="25495" spans="25:25" hidden="1" x14ac:dyDescent="0.25">
      <c r="Y25495" s="501"/>
    </row>
    <row r="25496" spans="25:25" hidden="1" x14ac:dyDescent="0.25">
      <c r="Y25496" s="501"/>
    </row>
    <row r="25497" spans="25:25" hidden="1" x14ac:dyDescent="0.25">
      <c r="Y25497" s="501"/>
    </row>
    <row r="25498" spans="25:25" hidden="1" x14ac:dyDescent="0.25">
      <c r="Y25498" s="501"/>
    </row>
    <row r="25499" spans="25:25" hidden="1" x14ac:dyDescent="0.25">
      <c r="Y25499" s="501"/>
    </row>
    <row r="25500" spans="25:25" hidden="1" x14ac:dyDescent="0.25">
      <c r="Y25500" s="501"/>
    </row>
    <row r="25501" spans="25:25" hidden="1" x14ac:dyDescent="0.25">
      <c r="Y25501" s="501"/>
    </row>
    <row r="25502" spans="25:25" hidden="1" x14ac:dyDescent="0.25">
      <c r="Y25502" s="501"/>
    </row>
    <row r="25503" spans="25:25" hidden="1" x14ac:dyDescent="0.25">
      <c r="Y25503" s="501"/>
    </row>
    <row r="25504" spans="25:25" hidden="1" x14ac:dyDescent="0.25">
      <c r="Y25504" s="501"/>
    </row>
    <row r="25505" spans="25:25" hidden="1" x14ac:dyDescent="0.25">
      <c r="Y25505" s="501"/>
    </row>
    <row r="25506" spans="25:25" hidden="1" x14ac:dyDescent="0.25">
      <c r="Y25506" s="501"/>
    </row>
    <row r="25507" spans="25:25" hidden="1" x14ac:dyDescent="0.25">
      <c r="Y25507" s="501"/>
    </row>
    <row r="25508" spans="25:25" hidden="1" x14ac:dyDescent="0.25">
      <c r="Y25508" s="501"/>
    </row>
    <row r="25509" spans="25:25" hidden="1" x14ac:dyDescent="0.25">
      <c r="Y25509" s="501"/>
    </row>
    <row r="25510" spans="25:25" hidden="1" x14ac:dyDescent="0.25">
      <c r="Y25510" s="501"/>
    </row>
    <row r="25511" spans="25:25" hidden="1" x14ac:dyDescent="0.25">
      <c r="Y25511" s="501"/>
    </row>
    <row r="25512" spans="25:25" hidden="1" x14ac:dyDescent="0.25">
      <c r="Y25512" s="501"/>
    </row>
    <row r="25513" spans="25:25" hidden="1" x14ac:dyDescent="0.25">
      <c r="Y25513" s="501"/>
    </row>
    <row r="25514" spans="25:25" hidden="1" x14ac:dyDescent="0.25">
      <c r="Y25514" s="501"/>
    </row>
    <row r="25515" spans="25:25" hidden="1" x14ac:dyDescent="0.25">
      <c r="Y25515" s="501"/>
    </row>
    <row r="25516" spans="25:25" hidden="1" x14ac:dyDescent="0.25">
      <c r="Y25516" s="501"/>
    </row>
    <row r="25517" spans="25:25" hidden="1" x14ac:dyDescent="0.25">
      <c r="Y25517" s="501"/>
    </row>
    <row r="25518" spans="25:25" hidden="1" x14ac:dyDescent="0.25">
      <c r="Y25518" s="501"/>
    </row>
    <row r="25519" spans="25:25" hidden="1" x14ac:dyDescent="0.25">
      <c r="Y25519" s="501"/>
    </row>
    <row r="25520" spans="25:25" hidden="1" x14ac:dyDescent="0.25">
      <c r="Y25520" s="501"/>
    </row>
    <row r="25521" spans="25:25" hidden="1" x14ac:dyDescent="0.25">
      <c r="Y25521" s="501"/>
    </row>
    <row r="25522" spans="25:25" hidden="1" x14ac:dyDescent="0.25">
      <c r="Y25522" s="501"/>
    </row>
    <row r="25523" spans="25:25" hidden="1" x14ac:dyDescent="0.25">
      <c r="Y25523" s="501"/>
    </row>
    <row r="25524" spans="25:25" hidden="1" x14ac:dyDescent="0.25">
      <c r="Y25524" s="501"/>
    </row>
    <row r="25525" spans="25:25" hidden="1" x14ac:dyDescent="0.25">
      <c r="Y25525" s="501"/>
    </row>
    <row r="25526" spans="25:25" hidden="1" x14ac:dyDescent="0.25">
      <c r="Y25526" s="501"/>
    </row>
    <row r="25527" spans="25:25" hidden="1" x14ac:dyDescent="0.25">
      <c r="Y25527" s="501"/>
    </row>
    <row r="25528" spans="25:25" hidden="1" x14ac:dyDescent="0.25">
      <c r="Y25528" s="501"/>
    </row>
    <row r="25529" spans="25:25" hidden="1" x14ac:dyDescent="0.25">
      <c r="Y25529" s="501"/>
    </row>
    <row r="25530" spans="25:25" hidden="1" x14ac:dyDescent="0.25">
      <c r="Y25530" s="501"/>
    </row>
    <row r="25531" spans="25:25" hidden="1" x14ac:dyDescent="0.25">
      <c r="Y25531" s="501"/>
    </row>
    <row r="25532" spans="25:25" hidden="1" x14ac:dyDescent="0.25">
      <c r="Y25532" s="501"/>
    </row>
    <row r="25533" spans="25:25" hidden="1" x14ac:dyDescent="0.25">
      <c r="Y25533" s="501"/>
    </row>
    <row r="25534" spans="25:25" hidden="1" x14ac:dyDescent="0.25">
      <c r="Y25534" s="501"/>
    </row>
    <row r="25535" spans="25:25" hidden="1" x14ac:dyDescent="0.25">
      <c r="Y25535" s="501"/>
    </row>
    <row r="25536" spans="25:25" hidden="1" x14ac:dyDescent="0.25">
      <c r="Y25536" s="501"/>
    </row>
    <row r="25537" spans="25:25" hidden="1" x14ac:dyDescent="0.25">
      <c r="Y25537" s="501"/>
    </row>
    <row r="25538" spans="25:25" hidden="1" x14ac:dyDescent="0.25">
      <c r="Y25538" s="501"/>
    </row>
    <row r="25539" spans="25:25" hidden="1" x14ac:dyDescent="0.25">
      <c r="Y25539" s="501"/>
    </row>
    <row r="25540" spans="25:25" hidden="1" x14ac:dyDescent="0.25">
      <c r="Y25540" s="501"/>
    </row>
    <row r="25541" spans="25:25" hidden="1" x14ac:dyDescent="0.25">
      <c r="Y25541" s="501"/>
    </row>
    <row r="25542" spans="25:25" hidden="1" x14ac:dyDescent="0.25">
      <c r="Y25542" s="501"/>
    </row>
    <row r="25543" spans="25:25" hidden="1" x14ac:dyDescent="0.25">
      <c r="Y25543" s="501"/>
    </row>
    <row r="25544" spans="25:25" hidden="1" x14ac:dyDescent="0.25">
      <c r="Y25544" s="501"/>
    </row>
    <row r="25545" spans="25:25" hidden="1" x14ac:dyDescent="0.25">
      <c r="Y25545" s="501"/>
    </row>
    <row r="25546" spans="25:25" hidden="1" x14ac:dyDescent="0.25">
      <c r="Y25546" s="501"/>
    </row>
    <row r="25547" spans="25:25" hidden="1" x14ac:dyDescent="0.25">
      <c r="Y25547" s="501"/>
    </row>
    <row r="25548" spans="25:25" hidden="1" x14ac:dyDescent="0.25">
      <c r="Y25548" s="501"/>
    </row>
    <row r="25549" spans="25:25" hidden="1" x14ac:dyDescent="0.25">
      <c r="Y25549" s="501"/>
    </row>
    <row r="25550" spans="25:25" hidden="1" x14ac:dyDescent="0.25">
      <c r="Y25550" s="501"/>
    </row>
    <row r="25551" spans="25:25" hidden="1" x14ac:dyDescent="0.25">
      <c r="Y25551" s="501"/>
    </row>
    <row r="25552" spans="25:25" hidden="1" x14ac:dyDescent="0.25">
      <c r="Y25552" s="501"/>
    </row>
    <row r="25553" spans="25:25" hidden="1" x14ac:dyDescent="0.25">
      <c r="Y25553" s="501"/>
    </row>
    <row r="25554" spans="25:25" hidden="1" x14ac:dyDescent="0.25">
      <c r="Y25554" s="501"/>
    </row>
    <row r="25555" spans="25:25" hidden="1" x14ac:dyDescent="0.25">
      <c r="Y25555" s="501"/>
    </row>
    <row r="25556" spans="25:25" hidden="1" x14ac:dyDescent="0.25">
      <c r="Y25556" s="501"/>
    </row>
    <row r="25557" spans="25:25" hidden="1" x14ac:dyDescent="0.25">
      <c r="Y25557" s="501"/>
    </row>
    <row r="25558" spans="25:25" hidden="1" x14ac:dyDescent="0.25">
      <c r="Y25558" s="501"/>
    </row>
    <row r="25559" spans="25:25" hidden="1" x14ac:dyDescent="0.25">
      <c r="Y25559" s="501"/>
    </row>
    <row r="25560" spans="25:25" hidden="1" x14ac:dyDescent="0.25">
      <c r="Y25560" s="501"/>
    </row>
    <row r="25561" spans="25:25" hidden="1" x14ac:dyDescent="0.25">
      <c r="Y25561" s="501"/>
    </row>
    <row r="25562" spans="25:25" hidden="1" x14ac:dyDescent="0.25">
      <c r="Y25562" s="501"/>
    </row>
    <row r="25563" spans="25:25" hidden="1" x14ac:dyDescent="0.25">
      <c r="Y25563" s="501"/>
    </row>
    <row r="25564" spans="25:25" hidden="1" x14ac:dyDescent="0.25">
      <c r="Y25564" s="501"/>
    </row>
    <row r="25565" spans="25:25" hidden="1" x14ac:dyDescent="0.25">
      <c r="Y25565" s="501"/>
    </row>
    <row r="25566" spans="25:25" hidden="1" x14ac:dyDescent="0.25">
      <c r="Y25566" s="501"/>
    </row>
    <row r="25567" spans="25:25" hidden="1" x14ac:dyDescent="0.25">
      <c r="Y25567" s="501"/>
    </row>
    <row r="25568" spans="25:25" hidden="1" x14ac:dyDescent="0.25">
      <c r="Y25568" s="501"/>
    </row>
    <row r="25569" spans="25:25" hidden="1" x14ac:dyDescent="0.25">
      <c r="Y25569" s="501"/>
    </row>
    <row r="25570" spans="25:25" hidden="1" x14ac:dyDescent="0.25">
      <c r="Y25570" s="501"/>
    </row>
    <row r="25571" spans="25:25" hidden="1" x14ac:dyDescent="0.25">
      <c r="Y25571" s="501"/>
    </row>
    <row r="25572" spans="25:25" hidden="1" x14ac:dyDescent="0.25">
      <c r="Y25572" s="501"/>
    </row>
    <row r="25573" spans="25:25" hidden="1" x14ac:dyDescent="0.25">
      <c r="Y25573" s="501"/>
    </row>
    <row r="25574" spans="25:25" hidden="1" x14ac:dyDescent="0.25">
      <c r="Y25574" s="501"/>
    </row>
    <row r="25575" spans="25:25" hidden="1" x14ac:dyDescent="0.25">
      <c r="Y25575" s="501"/>
    </row>
    <row r="25576" spans="25:25" hidden="1" x14ac:dyDescent="0.25">
      <c r="Y25576" s="501"/>
    </row>
    <row r="25577" spans="25:25" hidden="1" x14ac:dyDescent="0.25">
      <c r="Y25577" s="501"/>
    </row>
    <row r="25578" spans="25:25" hidden="1" x14ac:dyDescent="0.25">
      <c r="Y25578" s="501"/>
    </row>
    <row r="25579" spans="25:25" hidden="1" x14ac:dyDescent="0.25">
      <c r="Y25579" s="501"/>
    </row>
    <row r="25580" spans="25:25" hidden="1" x14ac:dyDescent="0.25">
      <c r="Y25580" s="501"/>
    </row>
    <row r="25581" spans="25:25" hidden="1" x14ac:dyDescent="0.25">
      <c r="Y25581" s="501"/>
    </row>
    <row r="25582" spans="25:25" hidden="1" x14ac:dyDescent="0.25">
      <c r="Y25582" s="501"/>
    </row>
    <row r="25583" spans="25:25" hidden="1" x14ac:dyDescent="0.25">
      <c r="Y25583" s="501"/>
    </row>
    <row r="25584" spans="25:25" hidden="1" x14ac:dyDescent="0.25">
      <c r="Y25584" s="501"/>
    </row>
    <row r="25585" spans="25:25" hidden="1" x14ac:dyDescent="0.25">
      <c r="Y25585" s="501"/>
    </row>
    <row r="25586" spans="25:25" hidden="1" x14ac:dyDescent="0.25">
      <c r="Y25586" s="501"/>
    </row>
    <row r="25587" spans="25:25" hidden="1" x14ac:dyDescent="0.25">
      <c r="Y25587" s="501"/>
    </row>
    <row r="25588" spans="25:25" hidden="1" x14ac:dyDescent="0.25">
      <c r="Y25588" s="501"/>
    </row>
    <row r="25589" spans="25:25" hidden="1" x14ac:dyDescent="0.25">
      <c r="Y25589" s="501"/>
    </row>
    <row r="25590" spans="25:25" hidden="1" x14ac:dyDescent="0.25">
      <c r="Y25590" s="501"/>
    </row>
    <row r="25591" spans="25:25" hidden="1" x14ac:dyDescent="0.25">
      <c r="Y25591" s="501"/>
    </row>
    <row r="25592" spans="25:25" hidden="1" x14ac:dyDescent="0.25">
      <c r="Y25592" s="501"/>
    </row>
    <row r="25593" spans="25:25" hidden="1" x14ac:dyDescent="0.25">
      <c r="Y25593" s="501"/>
    </row>
    <row r="25594" spans="25:25" hidden="1" x14ac:dyDescent="0.25">
      <c r="Y25594" s="501"/>
    </row>
    <row r="25595" spans="25:25" hidden="1" x14ac:dyDescent="0.25">
      <c r="Y25595" s="501"/>
    </row>
    <row r="25596" spans="25:25" hidden="1" x14ac:dyDescent="0.25">
      <c r="Y25596" s="501"/>
    </row>
    <row r="25597" spans="25:25" hidden="1" x14ac:dyDescent="0.25">
      <c r="Y25597" s="501"/>
    </row>
    <row r="25598" spans="25:25" hidden="1" x14ac:dyDescent="0.25">
      <c r="Y25598" s="501"/>
    </row>
    <row r="25599" spans="25:25" hidden="1" x14ac:dyDescent="0.25">
      <c r="Y25599" s="501"/>
    </row>
    <row r="25600" spans="25:25" hidden="1" x14ac:dyDescent="0.25">
      <c r="Y25600" s="501"/>
    </row>
    <row r="25601" spans="25:25" hidden="1" x14ac:dyDescent="0.25">
      <c r="Y25601" s="501"/>
    </row>
    <row r="25602" spans="25:25" hidden="1" x14ac:dyDescent="0.25">
      <c r="Y25602" s="501"/>
    </row>
    <row r="25603" spans="25:25" hidden="1" x14ac:dyDescent="0.25">
      <c r="Y25603" s="501"/>
    </row>
    <row r="25604" spans="25:25" hidden="1" x14ac:dyDescent="0.25">
      <c r="Y25604" s="501"/>
    </row>
    <row r="25605" spans="25:25" hidden="1" x14ac:dyDescent="0.25">
      <c r="Y25605" s="501"/>
    </row>
    <row r="25606" spans="25:25" hidden="1" x14ac:dyDescent="0.25">
      <c r="Y25606" s="501"/>
    </row>
    <row r="25607" spans="25:25" hidden="1" x14ac:dyDescent="0.25">
      <c r="Y25607" s="501"/>
    </row>
    <row r="25608" spans="25:25" hidden="1" x14ac:dyDescent="0.25">
      <c r="Y25608" s="501"/>
    </row>
    <row r="25609" spans="25:25" hidden="1" x14ac:dyDescent="0.25">
      <c r="Y25609" s="501"/>
    </row>
    <row r="25610" spans="25:25" hidden="1" x14ac:dyDescent="0.25">
      <c r="Y25610" s="501"/>
    </row>
    <row r="25611" spans="25:25" hidden="1" x14ac:dyDescent="0.25">
      <c r="Y25611" s="501"/>
    </row>
    <row r="25612" spans="25:25" hidden="1" x14ac:dyDescent="0.25">
      <c r="Y25612" s="501"/>
    </row>
    <row r="25613" spans="25:25" hidden="1" x14ac:dyDescent="0.25">
      <c r="Y25613" s="501"/>
    </row>
    <row r="25614" spans="25:25" hidden="1" x14ac:dyDescent="0.25">
      <c r="Y25614" s="501"/>
    </row>
    <row r="25615" spans="25:25" hidden="1" x14ac:dyDescent="0.25">
      <c r="Y25615" s="501"/>
    </row>
    <row r="25616" spans="25:25" hidden="1" x14ac:dyDescent="0.25">
      <c r="Y25616" s="501"/>
    </row>
    <row r="25617" spans="25:25" hidden="1" x14ac:dyDescent="0.25">
      <c r="Y25617" s="501"/>
    </row>
    <row r="25618" spans="25:25" hidden="1" x14ac:dyDescent="0.25">
      <c r="Y25618" s="501"/>
    </row>
    <row r="25619" spans="25:25" hidden="1" x14ac:dyDescent="0.25">
      <c r="Y25619" s="501"/>
    </row>
    <row r="25620" spans="25:25" hidden="1" x14ac:dyDescent="0.25">
      <c r="Y25620" s="501"/>
    </row>
    <row r="25621" spans="25:25" hidden="1" x14ac:dyDescent="0.25">
      <c r="Y25621" s="501"/>
    </row>
    <row r="25622" spans="25:25" hidden="1" x14ac:dyDescent="0.25">
      <c r="Y25622" s="501"/>
    </row>
    <row r="25623" spans="25:25" hidden="1" x14ac:dyDescent="0.25">
      <c r="Y25623" s="501"/>
    </row>
    <row r="25624" spans="25:25" hidden="1" x14ac:dyDescent="0.25">
      <c r="Y25624" s="501"/>
    </row>
    <row r="25625" spans="25:25" hidden="1" x14ac:dyDescent="0.25">
      <c r="Y25625" s="501"/>
    </row>
    <row r="25626" spans="25:25" hidden="1" x14ac:dyDescent="0.25">
      <c r="Y25626" s="501"/>
    </row>
    <row r="25627" spans="25:25" hidden="1" x14ac:dyDescent="0.25">
      <c r="Y25627" s="501"/>
    </row>
    <row r="25628" spans="25:25" hidden="1" x14ac:dyDescent="0.25">
      <c r="Y25628" s="501"/>
    </row>
    <row r="25629" spans="25:25" hidden="1" x14ac:dyDescent="0.25">
      <c r="Y25629" s="501"/>
    </row>
    <row r="25630" spans="25:25" hidden="1" x14ac:dyDescent="0.25">
      <c r="Y25630" s="501"/>
    </row>
    <row r="25631" spans="25:25" hidden="1" x14ac:dyDescent="0.25">
      <c r="Y25631" s="501"/>
    </row>
    <row r="25632" spans="25:25" hidden="1" x14ac:dyDescent="0.25">
      <c r="Y25632" s="501"/>
    </row>
    <row r="25633" spans="25:25" hidden="1" x14ac:dyDescent="0.25">
      <c r="Y25633" s="501"/>
    </row>
    <row r="25634" spans="25:25" hidden="1" x14ac:dyDescent="0.25">
      <c r="Y25634" s="501"/>
    </row>
    <row r="25635" spans="25:25" hidden="1" x14ac:dyDescent="0.25">
      <c r="Y25635" s="501"/>
    </row>
    <row r="25636" spans="25:25" hidden="1" x14ac:dyDescent="0.25">
      <c r="Y25636" s="501"/>
    </row>
    <row r="25637" spans="25:25" hidden="1" x14ac:dyDescent="0.25">
      <c r="Y25637" s="501"/>
    </row>
    <row r="25638" spans="25:25" hidden="1" x14ac:dyDescent="0.25">
      <c r="Y25638" s="501"/>
    </row>
    <row r="25639" spans="25:25" hidden="1" x14ac:dyDescent="0.25">
      <c r="Y25639" s="501"/>
    </row>
    <row r="25640" spans="25:25" hidden="1" x14ac:dyDescent="0.25">
      <c r="Y25640" s="501"/>
    </row>
    <row r="25641" spans="25:25" hidden="1" x14ac:dyDescent="0.25">
      <c r="Y25641" s="501"/>
    </row>
    <row r="25642" spans="25:25" hidden="1" x14ac:dyDescent="0.25">
      <c r="Y25642" s="501"/>
    </row>
    <row r="25643" spans="25:25" hidden="1" x14ac:dyDescent="0.25">
      <c r="Y25643" s="501"/>
    </row>
    <row r="25644" spans="25:25" hidden="1" x14ac:dyDescent="0.25">
      <c r="Y25644" s="501"/>
    </row>
    <row r="25645" spans="25:25" hidden="1" x14ac:dyDescent="0.25">
      <c r="Y25645" s="501"/>
    </row>
    <row r="25646" spans="25:25" hidden="1" x14ac:dyDescent="0.25">
      <c r="Y25646" s="501"/>
    </row>
    <row r="25647" spans="25:25" hidden="1" x14ac:dyDescent="0.25">
      <c r="Y25647" s="501"/>
    </row>
    <row r="25648" spans="25:25" hidden="1" x14ac:dyDescent="0.25">
      <c r="Y25648" s="501"/>
    </row>
    <row r="25649" spans="25:25" hidden="1" x14ac:dyDescent="0.25">
      <c r="Y25649" s="501"/>
    </row>
    <row r="25650" spans="25:25" hidden="1" x14ac:dyDescent="0.25">
      <c r="Y25650" s="501"/>
    </row>
    <row r="25651" spans="25:25" hidden="1" x14ac:dyDescent="0.25">
      <c r="Y25651" s="501"/>
    </row>
    <row r="25652" spans="25:25" hidden="1" x14ac:dyDescent="0.25">
      <c r="Y25652" s="501"/>
    </row>
    <row r="25653" spans="25:25" hidden="1" x14ac:dyDescent="0.25">
      <c r="Y25653" s="501"/>
    </row>
    <row r="25654" spans="25:25" hidden="1" x14ac:dyDescent="0.25">
      <c r="Y25654" s="501"/>
    </row>
    <row r="25655" spans="25:25" hidden="1" x14ac:dyDescent="0.25">
      <c r="Y25655" s="501"/>
    </row>
    <row r="25656" spans="25:25" hidden="1" x14ac:dyDescent="0.25">
      <c r="Y25656" s="501"/>
    </row>
    <row r="25657" spans="25:25" hidden="1" x14ac:dyDescent="0.25">
      <c r="Y25657" s="501"/>
    </row>
    <row r="25658" spans="25:25" hidden="1" x14ac:dyDescent="0.25">
      <c r="Y25658" s="501"/>
    </row>
    <row r="25659" spans="25:25" hidden="1" x14ac:dyDescent="0.25">
      <c r="Y25659" s="501"/>
    </row>
    <row r="25660" spans="25:25" hidden="1" x14ac:dyDescent="0.25">
      <c r="Y25660" s="501"/>
    </row>
    <row r="25661" spans="25:25" hidden="1" x14ac:dyDescent="0.25">
      <c r="Y25661" s="501"/>
    </row>
    <row r="25662" spans="25:25" hidden="1" x14ac:dyDescent="0.25">
      <c r="Y25662" s="501"/>
    </row>
    <row r="25663" spans="25:25" hidden="1" x14ac:dyDescent="0.25">
      <c r="Y25663" s="501"/>
    </row>
    <row r="25664" spans="25:25" hidden="1" x14ac:dyDescent="0.25">
      <c r="Y25664" s="501"/>
    </row>
    <row r="25665" spans="25:25" hidden="1" x14ac:dyDescent="0.25">
      <c r="Y25665" s="501"/>
    </row>
    <row r="25666" spans="25:25" hidden="1" x14ac:dyDescent="0.25">
      <c r="Y25666" s="501"/>
    </row>
    <row r="25667" spans="25:25" hidden="1" x14ac:dyDescent="0.25">
      <c r="Y25667" s="501"/>
    </row>
    <row r="25668" spans="25:25" hidden="1" x14ac:dyDescent="0.25">
      <c r="Y25668" s="501"/>
    </row>
    <row r="25669" spans="25:25" hidden="1" x14ac:dyDescent="0.25">
      <c r="Y25669" s="501"/>
    </row>
    <row r="25670" spans="25:25" hidden="1" x14ac:dyDescent="0.25">
      <c r="Y25670" s="501"/>
    </row>
    <row r="25671" spans="25:25" hidden="1" x14ac:dyDescent="0.25">
      <c r="Y25671" s="501"/>
    </row>
    <row r="25672" spans="25:25" hidden="1" x14ac:dyDescent="0.25">
      <c r="Y25672" s="501"/>
    </row>
    <row r="25673" spans="25:25" hidden="1" x14ac:dyDescent="0.25">
      <c r="Y25673" s="501"/>
    </row>
    <row r="25674" spans="25:25" hidden="1" x14ac:dyDescent="0.25">
      <c r="Y25674" s="501"/>
    </row>
    <row r="25675" spans="25:25" hidden="1" x14ac:dyDescent="0.25">
      <c r="Y25675" s="501"/>
    </row>
    <row r="25676" spans="25:25" hidden="1" x14ac:dyDescent="0.25">
      <c r="Y25676" s="501"/>
    </row>
    <row r="25677" spans="25:25" hidden="1" x14ac:dyDescent="0.25">
      <c r="Y25677" s="501"/>
    </row>
    <row r="25678" spans="25:25" hidden="1" x14ac:dyDescent="0.25">
      <c r="Y25678" s="501"/>
    </row>
    <row r="25679" spans="25:25" hidden="1" x14ac:dyDescent="0.25">
      <c r="Y25679" s="501"/>
    </row>
    <row r="25680" spans="25:25" hidden="1" x14ac:dyDescent="0.25">
      <c r="Y25680" s="501"/>
    </row>
    <row r="25681" spans="25:25" hidden="1" x14ac:dyDescent="0.25">
      <c r="Y25681" s="501"/>
    </row>
    <row r="25682" spans="25:25" hidden="1" x14ac:dyDescent="0.25">
      <c r="Y25682" s="501"/>
    </row>
    <row r="25683" spans="25:25" hidden="1" x14ac:dyDescent="0.25">
      <c r="Y25683" s="501"/>
    </row>
    <row r="25684" spans="25:25" hidden="1" x14ac:dyDescent="0.25">
      <c r="Y25684" s="501"/>
    </row>
    <row r="25685" spans="25:25" hidden="1" x14ac:dyDescent="0.25">
      <c r="Y25685" s="501"/>
    </row>
    <row r="25686" spans="25:25" hidden="1" x14ac:dyDescent="0.25">
      <c r="Y25686" s="501"/>
    </row>
    <row r="25687" spans="25:25" hidden="1" x14ac:dyDescent="0.25">
      <c r="Y25687" s="501"/>
    </row>
    <row r="25688" spans="25:25" hidden="1" x14ac:dyDescent="0.25">
      <c r="Y25688" s="501"/>
    </row>
    <row r="25689" spans="25:25" hidden="1" x14ac:dyDescent="0.25">
      <c r="Y25689" s="501"/>
    </row>
    <row r="25690" spans="25:25" hidden="1" x14ac:dyDescent="0.25">
      <c r="Y25690" s="501"/>
    </row>
    <row r="25691" spans="25:25" hidden="1" x14ac:dyDescent="0.25">
      <c r="Y25691" s="501"/>
    </row>
    <row r="25692" spans="25:25" hidden="1" x14ac:dyDescent="0.25">
      <c r="Y25692" s="501"/>
    </row>
    <row r="25693" spans="25:25" hidden="1" x14ac:dyDescent="0.25">
      <c r="Y25693" s="501"/>
    </row>
    <row r="25694" spans="25:25" hidden="1" x14ac:dyDescent="0.25">
      <c r="Y25694" s="501"/>
    </row>
    <row r="25695" spans="25:25" hidden="1" x14ac:dyDescent="0.25">
      <c r="Y25695" s="501"/>
    </row>
    <row r="25696" spans="25:25" hidden="1" x14ac:dyDescent="0.25">
      <c r="Y25696" s="501"/>
    </row>
    <row r="25697" spans="25:25" hidden="1" x14ac:dyDescent="0.25">
      <c r="Y25697" s="501"/>
    </row>
    <row r="25698" spans="25:25" hidden="1" x14ac:dyDescent="0.25">
      <c r="Y25698" s="501"/>
    </row>
    <row r="25699" spans="25:25" hidden="1" x14ac:dyDescent="0.25">
      <c r="Y25699" s="501"/>
    </row>
    <row r="25700" spans="25:25" hidden="1" x14ac:dyDescent="0.25">
      <c r="Y25700" s="501"/>
    </row>
    <row r="25701" spans="25:25" hidden="1" x14ac:dyDescent="0.25">
      <c r="Y25701" s="501"/>
    </row>
    <row r="25702" spans="25:25" hidden="1" x14ac:dyDescent="0.25">
      <c r="Y25702" s="501"/>
    </row>
    <row r="25703" spans="25:25" hidden="1" x14ac:dyDescent="0.25">
      <c r="Y25703" s="501"/>
    </row>
    <row r="25704" spans="25:25" hidden="1" x14ac:dyDescent="0.25">
      <c r="Y25704" s="501"/>
    </row>
    <row r="25705" spans="25:25" hidden="1" x14ac:dyDescent="0.25">
      <c r="Y25705" s="501"/>
    </row>
    <row r="25706" spans="25:25" hidden="1" x14ac:dyDescent="0.25">
      <c r="Y25706" s="501"/>
    </row>
    <row r="25707" spans="25:25" hidden="1" x14ac:dyDescent="0.25">
      <c r="Y25707" s="501"/>
    </row>
    <row r="25708" spans="25:25" hidden="1" x14ac:dyDescent="0.25">
      <c r="Y25708" s="501"/>
    </row>
    <row r="25709" spans="25:25" hidden="1" x14ac:dyDescent="0.25">
      <c r="Y25709" s="501"/>
    </row>
    <row r="25710" spans="25:25" hidden="1" x14ac:dyDescent="0.25">
      <c r="Y25710" s="501"/>
    </row>
    <row r="25711" spans="25:25" hidden="1" x14ac:dyDescent="0.25">
      <c r="Y25711" s="501"/>
    </row>
    <row r="25712" spans="25:25" hidden="1" x14ac:dyDescent="0.25">
      <c r="Y25712" s="501"/>
    </row>
    <row r="25713" spans="25:25" hidden="1" x14ac:dyDescent="0.25">
      <c r="Y25713" s="501"/>
    </row>
    <row r="25714" spans="25:25" hidden="1" x14ac:dyDescent="0.25">
      <c r="Y25714" s="501"/>
    </row>
    <row r="25715" spans="25:25" hidden="1" x14ac:dyDescent="0.25">
      <c r="Y25715" s="501"/>
    </row>
    <row r="25716" spans="25:25" hidden="1" x14ac:dyDescent="0.25">
      <c r="Y25716" s="501"/>
    </row>
    <row r="25717" spans="25:25" hidden="1" x14ac:dyDescent="0.25">
      <c r="Y25717" s="501"/>
    </row>
    <row r="25718" spans="25:25" hidden="1" x14ac:dyDescent="0.25">
      <c r="Y25718" s="501"/>
    </row>
    <row r="25719" spans="25:25" hidden="1" x14ac:dyDescent="0.25">
      <c r="Y25719" s="501"/>
    </row>
    <row r="25720" spans="25:25" hidden="1" x14ac:dyDescent="0.25">
      <c r="Y25720" s="501"/>
    </row>
    <row r="25721" spans="25:25" hidden="1" x14ac:dyDescent="0.25">
      <c r="Y25721" s="501"/>
    </row>
    <row r="25722" spans="25:25" hidden="1" x14ac:dyDescent="0.25">
      <c r="Y25722" s="501"/>
    </row>
    <row r="25723" spans="25:25" hidden="1" x14ac:dyDescent="0.25">
      <c r="Y25723" s="501"/>
    </row>
    <row r="25724" spans="25:25" hidden="1" x14ac:dyDescent="0.25">
      <c r="Y25724" s="501"/>
    </row>
    <row r="25725" spans="25:25" hidden="1" x14ac:dyDescent="0.25">
      <c r="Y25725" s="501"/>
    </row>
    <row r="25726" spans="25:25" hidden="1" x14ac:dyDescent="0.25">
      <c r="Y25726" s="501"/>
    </row>
    <row r="25727" spans="25:25" hidden="1" x14ac:dyDescent="0.25">
      <c r="Y25727" s="501"/>
    </row>
    <row r="25728" spans="25:25" hidden="1" x14ac:dyDescent="0.25">
      <c r="Y25728" s="501"/>
    </row>
    <row r="25729" spans="25:25" hidden="1" x14ac:dyDescent="0.25">
      <c r="Y25729" s="501"/>
    </row>
    <row r="25730" spans="25:25" hidden="1" x14ac:dyDescent="0.25">
      <c r="Y25730" s="501"/>
    </row>
    <row r="25731" spans="25:25" hidden="1" x14ac:dyDescent="0.25">
      <c r="Y25731" s="501"/>
    </row>
    <row r="25732" spans="25:25" hidden="1" x14ac:dyDescent="0.25">
      <c r="Y25732" s="501"/>
    </row>
    <row r="25733" spans="25:25" hidden="1" x14ac:dyDescent="0.25">
      <c r="Y25733" s="501"/>
    </row>
    <row r="25734" spans="25:25" hidden="1" x14ac:dyDescent="0.25">
      <c r="Y25734" s="501"/>
    </row>
    <row r="25735" spans="25:25" hidden="1" x14ac:dyDescent="0.25">
      <c r="Y25735" s="501"/>
    </row>
    <row r="25736" spans="25:25" hidden="1" x14ac:dyDescent="0.25">
      <c r="Y25736" s="501"/>
    </row>
    <row r="25737" spans="25:25" hidden="1" x14ac:dyDescent="0.25">
      <c r="Y25737" s="501"/>
    </row>
    <row r="25738" spans="25:25" hidden="1" x14ac:dyDescent="0.25">
      <c r="Y25738" s="501"/>
    </row>
    <row r="25739" spans="25:25" hidden="1" x14ac:dyDescent="0.25">
      <c r="Y25739" s="501"/>
    </row>
    <row r="25740" spans="25:25" hidden="1" x14ac:dyDescent="0.25">
      <c r="Y25740" s="501"/>
    </row>
    <row r="25741" spans="25:25" hidden="1" x14ac:dyDescent="0.25">
      <c r="Y25741" s="501"/>
    </row>
    <row r="25742" spans="25:25" hidden="1" x14ac:dyDescent="0.25">
      <c r="Y25742" s="501"/>
    </row>
    <row r="25743" spans="25:25" hidden="1" x14ac:dyDescent="0.25">
      <c r="Y25743" s="501"/>
    </row>
    <row r="25744" spans="25:25" hidden="1" x14ac:dyDescent="0.25">
      <c r="Y25744" s="501"/>
    </row>
    <row r="25745" spans="25:25" hidden="1" x14ac:dyDescent="0.25">
      <c r="Y25745" s="501"/>
    </row>
    <row r="25746" spans="25:25" hidden="1" x14ac:dyDescent="0.25">
      <c r="Y25746" s="501"/>
    </row>
    <row r="25747" spans="25:25" hidden="1" x14ac:dyDescent="0.25">
      <c r="Y25747" s="501"/>
    </row>
    <row r="25748" spans="25:25" hidden="1" x14ac:dyDescent="0.25">
      <c r="Y25748" s="501"/>
    </row>
    <row r="25749" spans="25:25" hidden="1" x14ac:dyDescent="0.25">
      <c r="Y25749" s="501"/>
    </row>
    <row r="25750" spans="25:25" hidden="1" x14ac:dyDescent="0.25">
      <c r="Y25750" s="501"/>
    </row>
    <row r="25751" spans="25:25" hidden="1" x14ac:dyDescent="0.25">
      <c r="Y25751" s="501"/>
    </row>
    <row r="25752" spans="25:25" hidden="1" x14ac:dyDescent="0.25">
      <c r="Y25752" s="501"/>
    </row>
    <row r="25753" spans="25:25" hidden="1" x14ac:dyDescent="0.25">
      <c r="Y25753" s="501"/>
    </row>
    <row r="25754" spans="25:25" hidden="1" x14ac:dyDescent="0.25">
      <c r="Y25754" s="501"/>
    </row>
    <row r="25755" spans="25:25" hidden="1" x14ac:dyDescent="0.25">
      <c r="Y25755" s="501"/>
    </row>
    <row r="25756" spans="25:25" hidden="1" x14ac:dyDescent="0.25">
      <c r="Y25756" s="501"/>
    </row>
    <row r="25757" spans="25:25" hidden="1" x14ac:dyDescent="0.25">
      <c r="Y25757" s="501"/>
    </row>
    <row r="25758" spans="25:25" hidden="1" x14ac:dyDescent="0.25">
      <c r="Y25758" s="501"/>
    </row>
    <row r="25759" spans="25:25" hidden="1" x14ac:dyDescent="0.25">
      <c r="Y25759" s="501"/>
    </row>
    <row r="25760" spans="25:25" hidden="1" x14ac:dyDescent="0.25">
      <c r="Y25760" s="501"/>
    </row>
    <row r="25761" spans="25:25" hidden="1" x14ac:dyDescent="0.25">
      <c r="Y25761" s="501"/>
    </row>
    <row r="25762" spans="25:25" hidden="1" x14ac:dyDescent="0.25">
      <c r="Y25762" s="501"/>
    </row>
    <row r="25763" spans="25:25" hidden="1" x14ac:dyDescent="0.25">
      <c r="Y25763" s="501"/>
    </row>
    <row r="25764" spans="25:25" hidden="1" x14ac:dyDescent="0.25">
      <c r="Y25764" s="501"/>
    </row>
    <row r="25765" spans="25:25" hidden="1" x14ac:dyDescent="0.25">
      <c r="Y25765" s="501"/>
    </row>
    <row r="25766" spans="25:25" hidden="1" x14ac:dyDescent="0.25">
      <c r="Y25766" s="501"/>
    </row>
    <row r="25767" spans="25:25" hidden="1" x14ac:dyDescent="0.25">
      <c r="Y25767" s="501"/>
    </row>
    <row r="25768" spans="25:25" hidden="1" x14ac:dyDescent="0.25">
      <c r="Y25768" s="501"/>
    </row>
    <row r="25769" spans="25:25" hidden="1" x14ac:dyDescent="0.25">
      <c r="Y25769" s="501"/>
    </row>
    <row r="25770" spans="25:25" hidden="1" x14ac:dyDescent="0.25">
      <c r="Y25770" s="501"/>
    </row>
    <row r="25771" spans="25:25" hidden="1" x14ac:dyDescent="0.25">
      <c r="Y25771" s="501"/>
    </row>
    <row r="25772" spans="25:25" hidden="1" x14ac:dyDescent="0.25">
      <c r="Y25772" s="501"/>
    </row>
    <row r="25773" spans="25:25" hidden="1" x14ac:dyDescent="0.25">
      <c r="Y25773" s="501"/>
    </row>
    <row r="25774" spans="25:25" hidden="1" x14ac:dyDescent="0.25">
      <c r="Y25774" s="501"/>
    </row>
    <row r="25775" spans="25:25" hidden="1" x14ac:dyDescent="0.25">
      <c r="Y25775" s="501"/>
    </row>
    <row r="25776" spans="25:25" hidden="1" x14ac:dyDescent="0.25">
      <c r="Y25776" s="501"/>
    </row>
    <row r="25777" spans="25:25" hidden="1" x14ac:dyDescent="0.25">
      <c r="Y25777" s="501"/>
    </row>
    <row r="25778" spans="25:25" hidden="1" x14ac:dyDescent="0.25">
      <c r="Y25778" s="501"/>
    </row>
    <row r="25779" spans="25:25" hidden="1" x14ac:dyDescent="0.25">
      <c r="Y25779" s="501"/>
    </row>
    <row r="25780" spans="25:25" hidden="1" x14ac:dyDescent="0.25">
      <c r="Y25780" s="501"/>
    </row>
    <row r="25781" spans="25:25" hidden="1" x14ac:dyDescent="0.25">
      <c r="Y25781" s="501"/>
    </row>
    <row r="25782" spans="25:25" hidden="1" x14ac:dyDescent="0.25">
      <c r="Y25782" s="501"/>
    </row>
    <row r="25783" spans="25:25" hidden="1" x14ac:dyDescent="0.25">
      <c r="Y25783" s="501"/>
    </row>
    <row r="25784" spans="25:25" hidden="1" x14ac:dyDescent="0.25">
      <c r="Y25784" s="501"/>
    </row>
    <row r="25785" spans="25:25" hidden="1" x14ac:dyDescent="0.25">
      <c r="Y25785" s="501"/>
    </row>
    <row r="25786" spans="25:25" hidden="1" x14ac:dyDescent="0.25">
      <c r="Y25786" s="501"/>
    </row>
    <row r="25787" spans="25:25" hidden="1" x14ac:dyDescent="0.25">
      <c r="Y25787" s="501"/>
    </row>
    <row r="25788" spans="25:25" hidden="1" x14ac:dyDescent="0.25">
      <c r="Y25788" s="501"/>
    </row>
    <row r="25789" spans="25:25" hidden="1" x14ac:dyDescent="0.25">
      <c r="Y25789" s="501"/>
    </row>
    <row r="25790" spans="25:25" hidden="1" x14ac:dyDescent="0.25">
      <c r="Y25790" s="501"/>
    </row>
    <row r="25791" spans="25:25" hidden="1" x14ac:dyDescent="0.25">
      <c r="Y25791" s="501"/>
    </row>
    <row r="25792" spans="25:25" hidden="1" x14ac:dyDescent="0.25">
      <c r="Y25792" s="501"/>
    </row>
    <row r="25793" spans="25:25" hidden="1" x14ac:dyDescent="0.25">
      <c r="Y25793" s="501"/>
    </row>
    <row r="25794" spans="25:25" hidden="1" x14ac:dyDescent="0.25">
      <c r="Y25794" s="501"/>
    </row>
    <row r="25795" spans="25:25" hidden="1" x14ac:dyDescent="0.25">
      <c r="Y25795" s="501"/>
    </row>
    <row r="25796" spans="25:25" hidden="1" x14ac:dyDescent="0.25">
      <c r="Y25796" s="501"/>
    </row>
    <row r="25797" spans="25:25" hidden="1" x14ac:dyDescent="0.25">
      <c r="Y25797" s="501"/>
    </row>
    <row r="25798" spans="25:25" hidden="1" x14ac:dyDescent="0.25">
      <c r="Y25798" s="501"/>
    </row>
    <row r="25799" spans="25:25" hidden="1" x14ac:dyDescent="0.25">
      <c r="Y25799" s="501"/>
    </row>
    <row r="25800" spans="25:25" hidden="1" x14ac:dyDescent="0.25">
      <c r="Y25800" s="501"/>
    </row>
    <row r="25801" spans="25:25" hidden="1" x14ac:dyDescent="0.25">
      <c r="Y25801" s="501"/>
    </row>
    <row r="25802" spans="25:25" hidden="1" x14ac:dyDescent="0.25">
      <c r="Y25802" s="501"/>
    </row>
    <row r="25803" spans="25:25" hidden="1" x14ac:dyDescent="0.25">
      <c r="Y25803" s="501"/>
    </row>
    <row r="25804" spans="25:25" hidden="1" x14ac:dyDescent="0.25">
      <c r="Y25804" s="501"/>
    </row>
    <row r="25805" spans="25:25" hidden="1" x14ac:dyDescent="0.25">
      <c r="Y25805" s="501"/>
    </row>
    <row r="25806" spans="25:25" hidden="1" x14ac:dyDescent="0.25">
      <c r="Y25806" s="501"/>
    </row>
    <row r="25807" spans="25:25" hidden="1" x14ac:dyDescent="0.25">
      <c r="Y25807" s="501"/>
    </row>
    <row r="25808" spans="25:25" hidden="1" x14ac:dyDescent="0.25">
      <c r="Y25808" s="501"/>
    </row>
    <row r="25809" spans="25:25" hidden="1" x14ac:dyDescent="0.25">
      <c r="Y25809" s="501"/>
    </row>
    <row r="25810" spans="25:25" hidden="1" x14ac:dyDescent="0.25">
      <c r="Y25810" s="501"/>
    </row>
    <row r="25811" spans="25:25" hidden="1" x14ac:dyDescent="0.25">
      <c r="Y25811" s="501"/>
    </row>
    <row r="25812" spans="25:25" hidden="1" x14ac:dyDescent="0.25">
      <c r="Y25812" s="501"/>
    </row>
    <row r="25813" spans="25:25" hidden="1" x14ac:dyDescent="0.25">
      <c r="Y25813" s="501"/>
    </row>
    <row r="25814" spans="25:25" hidden="1" x14ac:dyDescent="0.25">
      <c r="Y25814" s="501"/>
    </row>
    <row r="25815" spans="25:25" hidden="1" x14ac:dyDescent="0.25">
      <c r="Y25815" s="501"/>
    </row>
    <row r="25816" spans="25:25" hidden="1" x14ac:dyDescent="0.25">
      <c r="Y25816" s="501"/>
    </row>
    <row r="25817" spans="25:25" hidden="1" x14ac:dyDescent="0.25">
      <c r="Y25817" s="501"/>
    </row>
    <row r="25818" spans="25:25" hidden="1" x14ac:dyDescent="0.25">
      <c r="Y25818" s="501"/>
    </row>
    <row r="25819" spans="25:25" hidden="1" x14ac:dyDescent="0.25">
      <c r="Y25819" s="501"/>
    </row>
    <row r="25820" spans="25:25" hidden="1" x14ac:dyDescent="0.25">
      <c r="Y25820" s="501"/>
    </row>
    <row r="25821" spans="25:25" hidden="1" x14ac:dyDescent="0.25">
      <c r="Y25821" s="501"/>
    </row>
    <row r="25822" spans="25:25" hidden="1" x14ac:dyDescent="0.25">
      <c r="Y25822" s="501"/>
    </row>
    <row r="25823" spans="25:25" hidden="1" x14ac:dyDescent="0.25">
      <c r="Y25823" s="501"/>
    </row>
    <row r="25824" spans="25:25" hidden="1" x14ac:dyDescent="0.25">
      <c r="Y25824" s="501"/>
    </row>
    <row r="25825" spans="25:25" hidden="1" x14ac:dyDescent="0.25">
      <c r="Y25825" s="501"/>
    </row>
    <row r="25826" spans="25:25" hidden="1" x14ac:dyDescent="0.25">
      <c r="Y25826" s="501"/>
    </row>
    <row r="25827" spans="25:25" hidden="1" x14ac:dyDescent="0.25">
      <c r="Y25827" s="501"/>
    </row>
    <row r="25828" spans="25:25" hidden="1" x14ac:dyDescent="0.25">
      <c r="Y25828" s="501"/>
    </row>
    <row r="25829" spans="25:25" hidden="1" x14ac:dyDescent="0.25">
      <c r="Y25829" s="501"/>
    </row>
    <row r="25830" spans="25:25" hidden="1" x14ac:dyDescent="0.25">
      <c r="Y25830" s="501"/>
    </row>
    <row r="25831" spans="25:25" hidden="1" x14ac:dyDescent="0.25">
      <c r="Y25831" s="501"/>
    </row>
    <row r="25832" spans="25:25" hidden="1" x14ac:dyDescent="0.25">
      <c r="Y25832" s="501"/>
    </row>
    <row r="25833" spans="25:25" hidden="1" x14ac:dyDescent="0.25">
      <c r="Y25833" s="501"/>
    </row>
    <row r="25834" spans="25:25" hidden="1" x14ac:dyDescent="0.25">
      <c r="Y25834" s="501"/>
    </row>
    <row r="25835" spans="25:25" hidden="1" x14ac:dyDescent="0.25">
      <c r="Y25835" s="501"/>
    </row>
    <row r="25836" spans="25:25" hidden="1" x14ac:dyDescent="0.25">
      <c r="Y25836" s="501"/>
    </row>
    <row r="25837" spans="25:25" hidden="1" x14ac:dyDescent="0.25">
      <c r="Y25837" s="501"/>
    </row>
    <row r="25838" spans="25:25" hidden="1" x14ac:dyDescent="0.25">
      <c r="Y25838" s="501"/>
    </row>
    <row r="25839" spans="25:25" hidden="1" x14ac:dyDescent="0.25">
      <c r="Y25839" s="501"/>
    </row>
    <row r="25840" spans="25:25" hidden="1" x14ac:dyDescent="0.25">
      <c r="Y25840" s="501"/>
    </row>
    <row r="25841" spans="25:25" hidden="1" x14ac:dyDescent="0.25">
      <c r="Y25841" s="501"/>
    </row>
    <row r="25842" spans="25:25" hidden="1" x14ac:dyDescent="0.25">
      <c r="Y25842" s="501"/>
    </row>
    <row r="25843" spans="25:25" hidden="1" x14ac:dyDescent="0.25">
      <c r="Y25843" s="501"/>
    </row>
    <row r="25844" spans="25:25" hidden="1" x14ac:dyDescent="0.25">
      <c r="Y25844" s="501"/>
    </row>
    <row r="25845" spans="25:25" hidden="1" x14ac:dyDescent="0.25">
      <c r="Y25845" s="501"/>
    </row>
    <row r="25846" spans="25:25" hidden="1" x14ac:dyDescent="0.25">
      <c r="Y25846" s="501"/>
    </row>
    <row r="25847" spans="25:25" hidden="1" x14ac:dyDescent="0.25">
      <c r="Y25847" s="501"/>
    </row>
    <row r="25848" spans="25:25" hidden="1" x14ac:dyDescent="0.25">
      <c r="Y25848" s="501"/>
    </row>
    <row r="25849" spans="25:25" hidden="1" x14ac:dyDescent="0.25">
      <c r="Y25849" s="501"/>
    </row>
    <row r="25850" spans="25:25" hidden="1" x14ac:dyDescent="0.25">
      <c r="Y25850" s="501"/>
    </row>
    <row r="25851" spans="25:25" hidden="1" x14ac:dyDescent="0.25">
      <c r="Y25851" s="501"/>
    </row>
    <row r="25852" spans="25:25" hidden="1" x14ac:dyDescent="0.25">
      <c r="Y25852" s="501"/>
    </row>
    <row r="25853" spans="25:25" hidden="1" x14ac:dyDescent="0.25">
      <c r="Y25853" s="501"/>
    </row>
    <row r="25854" spans="25:25" hidden="1" x14ac:dyDescent="0.25">
      <c r="Y25854" s="501"/>
    </row>
    <row r="25855" spans="25:25" hidden="1" x14ac:dyDescent="0.25">
      <c r="Y25855" s="501"/>
    </row>
    <row r="25856" spans="25:25" hidden="1" x14ac:dyDescent="0.25">
      <c r="Y25856" s="501"/>
    </row>
    <row r="25857" spans="25:25" hidden="1" x14ac:dyDescent="0.25">
      <c r="Y25857" s="501"/>
    </row>
    <row r="25858" spans="25:25" hidden="1" x14ac:dyDescent="0.25">
      <c r="Y25858" s="501"/>
    </row>
    <row r="25859" spans="25:25" hidden="1" x14ac:dyDescent="0.25">
      <c r="Y25859" s="501"/>
    </row>
    <row r="25860" spans="25:25" hidden="1" x14ac:dyDescent="0.25">
      <c r="Y25860" s="501"/>
    </row>
    <row r="25861" spans="25:25" hidden="1" x14ac:dyDescent="0.25">
      <c r="Y25861" s="501"/>
    </row>
    <row r="25862" spans="25:25" hidden="1" x14ac:dyDescent="0.25">
      <c r="Y25862" s="501"/>
    </row>
    <row r="25863" spans="25:25" hidden="1" x14ac:dyDescent="0.25">
      <c r="Y25863" s="501"/>
    </row>
    <row r="25864" spans="25:25" hidden="1" x14ac:dyDescent="0.25">
      <c r="Y25864" s="501"/>
    </row>
    <row r="25865" spans="25:25" hidden="1" x14ac:dyDescent="0.25">
      <c r="Y25865" s="501"/>
    </row>
    <row r="25866" spans="25:25" hidden="1" x14ac:dyDescent="0.25">
      <c r="Y25866" s="501"/>
    </row>
    <row r="25867" spans="25:25" hidden="1" x14ac:dyDescent="0.25">
      <c r="Y25867" s="501"/>
    </row>
    <row r="25868" spans="25:25" hidden="1" x14ac:dyDescent="0.25">
      <c r="Y25868" s="501"/>
    </row>
    <row r="25869" spans="25:25" hidden="1" x14ac:dyDescent="0.25">
      <c r="Y25869" s="501"/>
    </row>
    <row r="25870" spans="25:25" hidden="1" x14ac:dyDescent="0.25">
      <c r="Y25870" s="501"/>
    </row>
    <row r="25871" spans="25:25" hidden="1" x14ac:dyDescent="0.25">
      <c r="Y25871" s="501"/>
    </row>
    <row r="25872" spans="25:25" hidden="1" x14ac:dyDescent="0.25">
      <c r="Y25872" s="501"/>
    </row>
    <row r="25873" spans="25:25" hidden="1" x14ac:dyDescent="0.25">
      <c r="Y25873" s="501"/>
    </row>
    <row r="25874" spans="25:25" hidden="1" x14ac:dyDescent="0.25">
      <c r="Y25874" s="501"/>
    </row>
    <row r="25875" spans="25:25" hidden="1" x14ac:dyDescent="0.25">
      <c r="Y25875" s="501"/>
    </row>
    <row r="25876" spans="25:25" hidden="1" x14ac:dyDescent="0.25">
      <c r="Y25876" s="501"/>
    </row>
    <row r="25877" spans="25:25" hidden="1" x14ac:dyDescent="0.25">
      <c r="Y25877" s="501"/>
    </row>
    <row r="25878" spans="25:25" hidden="1" x14ac:dyDescent="0.25">
      <c r="Y25878" s="501"/>
    </row>
    <row r="25879" spans="25:25" hidden="1" x14ac:dyDescent="0.25">
      <c r="Y25879" s="501"/>
    </row>
    <row r="25880" spans="25:25" hidden="1" x14ac:dyDescent="0.25">
      <c r="Y25880" s="501"/>
    </row>
    <row r="25881" spans="25:25" hidden="1" x14ac:dyDescent="0.25">
      <c r="Y25881" s="501"/>
    </row>
    <row r="25882" spans="25:25" hidden="1" x14ac:dyDescent="0.25">
      <c r="Y25882" s="501"/>
    </row>
    <row r="25883" spans="25:25" hidden="1" x14ac:dyDescent="0.25">
      <c r="Y25883" s="501"/>
    </row>
    <row r="25884" spans="25:25" hidden="1" x14ac:dyDescent="0.25">
      <c r="Y25884" s="501"/>
    </row>
    <row r="25885" spans="25:25" hidden="1" x14ac:dyDescent="0.25">
      <c r="Y25885" s="501"/>
    </row>
    <row r="25886" spans="25:25" hidden="1" x14ac:dyDescent="0.25">
      <c r="Y25886" s="501"/>
    </row>
    <row r="25887" spans="25:25" hidden="1" x14ac:dyDescent="0.25">
      <c r="Y25887" s="501"/>
    </row>
    <row r="25888" spans="25:25" hidden="1" x14ac:dyDescent="0.25">
      <c r="Y25888" s="501"/>
    </row>
    <row r="25889" spans="25:25" hidden="1" x14ac:dyDescent="0.25">
      <c r="Y25889" s="501"/>
    </row>
    <row r="25890" spans="25:25" hidden="1" x14ac:dyDescent="0.25">
      <c r="Y25890" s="501"/>
    </row>
    <row r="25891" spans="25:25" hidden="1" x14ac:dyDescent="0.25">
      <c r="Y25891" s="501"/>
    </row>
    <row r="25892" spans="25:25" hidden="1" x14ac:dyDescent="0.25">
      <c r="Y25892" s="501"/>
    </row>
    <row r="25893" spans="25:25" hidden="1" x14ac:dyDescent="0.25">
      <c r="Y25893" s="501"/>
    </row>
    <row r="25894" spans="25:25" hidden="1" x14ac:dyDescent="0.25">
      <c r="Y25894" s="501"/>
    </row>
    <row r="25895" spans="25:25" hidden="1" x14ac:dyDescent="0.25">
      <c r="Y25895" s="501"/>
    </row>
    <row r="25896" spans="25:25" hidden="1" x14ac:dyDescent="0.25">
      <c r="Y25896" s="501"/>
    </row>
    <row r="25897" spans="25:25" hidden="1" x14ac:dyDescent="0.25">
      <c r="Y25897" s="501"/>
    </row>
    <row r="25898" spans="25:25" hidden="1" x14ac:dyDescent="0.25">
      <c r="Y25898" s="501"/>
    </row>
    <row r="25899" spans="25:25" hidden="1" x14ac:dyDescent="0.25">
      <c r="Y25899" s="501"/>
    </row>
    <row r="25900" spans="25:25" hidden="1" x14ac:dyDescent="0.25">
      <c r="Y25900" s="501"/>
    </row>
    <row r="25901" spans="25:25" hidden="1" x14ac:dyDescent="0.25">
      <c r="Y25901" s="501"/>
    </row>
    <row r="25902" spans="25:25" hidden="1" x14ac:dyDescent="0.25">
      <c r="Y25902" s="501"/>
    </row>
    <row r="25903" spans="25:25" hidden="1" x14ac:dyDescent="0.25">
      <c r="Y25903" s="501"/>
    </row>
    <row r="25904" spans="25:25" hidden="1" x14ac:dyDescent="0.25">
      <c r="Y25904" s="501"/>
    </row>
    <row r="25905" spans="25:25" hidden="1" x14ac:dyDescent="0.25">
      <c r="Y25905" s="501"/>
    </row>
    <row r="25906" spans="25:25" hidden="1" x14ac:dyDescent="0.25">
      <c r="Y25906" s="501"/>
    </row>
    <row r="25907" spans="25:25" hidden="1" x14ac:dyDescent="0.25">
      <c r="Y25907" s="501"/>
    </row>
    <row r="25908" spans="25:25" hidden="1" x14ac:dyDescent="0.25">
      <c r="Y25908" s="501"/>
    </row>
    <row r="25909" spans="25:25" hidden="1" x14ac:dyDescent="0.25">
      <c r="Y25909" s="501"/>
    </row>
    <row r="25910" spans="25:25" hidden="1" x14ac:dyDescent="0.25">
      <c r="Y25910" s="501"/>
    </row>
    <row r="25911" spans="25:25" hidden="1" x14ac:dyDescent="0.25">
      <c r="Y25911" s="501"/>
    </row>
    <row r="25912" spans="25:25" hidden="1" x14ac:dyDescent="0.25">
      <c r="Y25912" s="501"/>
    </row>
    <row r="25913" spans="25:25" hidden="1" x14ac:dyDescent="0.25">
      <c r="Y25913" s="501"/>
    </row>
    <row r="25914" spans="25:25" hidden="1" x14ac:dyDescent="0.25">
      <c r="Y25914" s="501"/>
    </row>
    <row r="25915" spans="25:25" hidden="1" x14ac:dyDescent="0.25">
      <c r="Y25915" s="501"/>
    </row>
    <row r="25916" spans="25:25" hidden="1" x14ac:dyDescent="0.25">
      <c r="Y25916" s="501"/>
    </row>
    <row r="25917" spans="25:25" hidden="1" x14ac:dyDescent="0.25">
      <c r="Y25917" s="501"/>
    </row>
    <row r="25918" spans="25:25" hidden="1" x14ac:dyDescent="0.25">
      <c r="Y25918" s="501"/>
    </row>
    <row r="25919" spans="25:25" hidden="1" x14ac:dyDescent="0.25">
      <c r="Y25919" s="501"/>
    </row>
    <row r="25920" spans="25:25" hidden="1" x14ac:dyDescent="0.25">
      <c r="Y25920" s="501"/>
    </row>
    <row r="25921" spans="25:25" hidden="1" x14ac:dyDescent="0.25">
      <c r="Y25921" s="501"/>
    </row>
    <row r="25922" spans="25:25" hidden="1" x14ac:dyDescent="0.25">
      <c r="Y25922" s="501"/>
    </row>
    <row r="25923" spans="25:25" hidden="1" x14ac:dyDescent="0.25">
      <c r="Y25923" s="501"/>
    </row>
    <row r="25924" spans="25:25" hidden="1" x14ac:dyDescent="0.25">
      <c r="Y25924" s="501"/>
    </row>
    <row r="25925" spans="25:25" hidden="1" x14ac:dyDescent="0.25">
      <c r="Y25925" s="501"/>
    </row>
    <row r="25926" spans="25:25" hidden="1" x14ac:dyDescent="0.25">
      <c r="Y25926" s="501"/>
    </row>
    <row r="25927" spans="25:25" hidden="1" x14ac:dyDescent="0.25">
      <c r="Y25927" s="501"/>
    </row>
    <row r="25928" spans="25:25" hidden="1" x14ac:dyDescent="0.25">
      <c r="Y25928" s="501"/>
    </row>
    <row r="25929" spans="25:25" hidden="1" x14ac:dyDescent="0.25">
      <c r="Y25929" s="501"/>
    </row>
    <row r="25930" spans="25:25" hidden="1" x14ac:dyDescent="0.25">
      <c r="Y25930" s="501"/>
    </row>
    <row r="25931" spans="25:25" hidden="1" x14ac:dyDescent="0.25">
      <c r="Y25931" s="501"/>
    </row>
    <row r="25932" spans="25:25" hidden="1" x14ac:dyDescent="0.25">
      <c r="Y25932" s="501"/>
    </row>
    <row r="25933" spans="25:25" hidden="1" x14ac:dyDescent="0.25">
      <c r="Y25933" s="501"/>
    </row>
    <row r="25934" spans="25:25" hidden="1" x14ac:dyDescent="0.25">
      <c r="Y25934" s="501"/>
    </row>
    <row r="25935" spans="25:25" hidden="1" x14ac:dyDescent="0.25">
      <c r="Y25935" s="501"/>
    </row>
    <row r="25936" spans="25:25" hidden="1" x14ac:dyDescent="0.25">
      <c r="Y25936" s="501"/>
    </row>
    <row r="25937" spans="25:25" hidden="1" x14ac:dyDescent="0.25">
      <c r="Y25937" s="501"/>
    </row>
    <row r="25938" spans="25:25" hidden="1" x14ac:dyDescent="0.25">
      <c r="Y25938" s="501"/>
    </row>
    <row r="25939" spans="25:25" hidden="1" x14ac:dyDescent="0.25">
      <c r="Y25939" s="501"/>
    </row>
    <row r="25940" spans="25:25" hidden="1" x14ac:dyDescent="0.25">
      <c r="Y25940" s="501"/>
    </row>
    <row r="25941" spans="25:25" hidden="1" x14ac:dyDescent="0.25">
      <c r="Y25941" s="501"/>
    </row>
    <row r="25942" spans="25:25" hidden="1" x14ac:dyDescent="0.25">
      <c r="Y25942" s="501"/>
    </row>
    <row r="25943" spans="25:25" hidden="1" x14ac:dyDescent="0.25">
      <c r="Y25943" s="501"/>
    </row>
    <row r="25944" spans="25:25" hidden="1" x14ac:dyDescent="0.25">
      <c r="Y25944" s="501"/>
    </row>
    <row r="25945" spans="25:25" hidden="1" x14ac:dyDescent="0.25">
      <c r="Y25945" s="501"/>
    </row>
    <row r="25946" spans="25:25" hidden="1" x14ac:dyDescent="0.25">
      <c r="Y25946" s="501"/>
    </row>
    <row r="25947" spans="25:25" hidden="1" x14ac:dyDescent="0.25">
      <c r="Y25947" s="501"/>
    </row>
    <row r="25948" spans="25:25" hidden="1" x14ac:dyDescent="0.25">
      <c r="Y25948" s="501"/>
    </row>
    <row r="25949" spans="25:25" hidden="1" x14ac:dyDescent="0.25">
      <c r="Y25949" s="501"/>
    </row>
    <row r="25950" spans="25:25" hidden="1" x14ac:dyDescent="0.25">
      <c r="Y25950" s="501"/>
    </row>
    <row r="25951" spans="25:25" hidden="1" x14ac:dyDescent="0.25">
      <c r="Y25951" s="501"/>
    </row>
    <row r="25952" spans="25:25" hidden="1" x14ac:dyDescent="0.25">
      <c r="Y25952" s="501"/>
    </row>
    <row r="25953" spans="25:25" hidden="1" x14ac:dyDescent="0.25">
      <c r="Y25953" s="501"/>
    </row>
    <row r="25954" spans="25:25" hidden="1" x14ac:dyDescent="0.25">
      <c r="Y25954" s="501"/>
    </row>
    <row r="25955" spans="25:25" hidden="1" x14ac:dyDescent="0.25">
      <c r="Y25955" s="501"/>
    </row>
    <row r="25956" spans="25:25" hidden="1" x14ac:dyDescent="0.25">
      <c r="Y25956" s="501"/>
    </row>
    <row r="25957" spans="25:25" hidden="1" x14ac:dyDescent="0.25">
      <c r="Y25957" s="501"/>
    </row>
    <row r="25958" spans="25:25" hidden="1" x14ac:dyDescent="0.25">
      <c r="Y25958" s="501"/>
    </row>
    <row r="25959" spans="25:25" hidden="1" x14ac:dyDescent="0.25">
      <c r="Y25959" s="501"/>
    </row>
    <row r="25960" spans="25:25" hidden="1" x14ac:dyDescent="0.25">
      <c r="Y25960" s="501"/>
    </row>
    <row r="25961" spans="25:25" hidden="1" x14ac:dyDescent="0.25">
      <c r="Y25961" s="501"/>
    </row>
    <row r="25962" spans="25:25" hidden="1" x14ac:dyDescent="0.25">
      <c r="Y25962" s="501"/>
    </row>
    <row r="25963" spans="25:25" hidden="1" x14ac:dyDescent="0.25">
      <c r="Y25963" s="501"/>
    </row>
    <row r="25964" spans="25:25" hidden="1" x14ac:dyDescent="0.25">
      <c r="Y25964" s="501"/>
    </row>
    <row r="25965" spans="25:25" hidden="1" x14ac:dyDescent="0.25">
      <c r="Y25965" s="501"/>
    </row>
    <row r="25966" spans="25:25" hidden="1" x14ac:dyDescent="0.25">
      <c r="Y25966" s="501"/>
    </row>
    <row r="25967" spans="25:25" hidden="1" x14ac:dyDescent="0.25">
      <c r="Y25967" s="501"/>
    </row>
    <row r="25968" spans="25:25" hidden="1" x14ac:dyDescent="0.25">
      <c r="Y25968" s="501"/>
    </row>
    <row r="25969" spans="25:25" hidden="1" x14ac:dyDescent="0.25">
      <c r="Y25969" s="501"/>
    </row>
    <row r="25970" spans="25:25" hidden="1" x14ac:dyDescent="0.25">
      <c r="Y25970" s="501"/>
    </row>
    <row r="25971" spans="25:25" hidden="1" x14ac:dyDescent="0.25">
      <c r="Y25971" s="501"/>
    </row>
    <row r="25972" spans="25:25" hidden="1" x14ac:dyDescent="0.25">
      <c r="Y25972" s="501"/>
    </row>
    <row r="25973" spans="25:25" hidden="1" x14ac:dyDescent="0.25">
      <c r="Y25973" s="501"/>
    </row>
    <row r="25974" spans="25:25" hidden="1" x14ac:dyDescent="0.25">
      <c r="Y25974" s="501"/>
    </row>
    <row r="25975" spans="25:25" hidden="1" x14ac:dyDescent="0.25">
      <c r="Y25975" s="501"/>
    </row>
    <row r="25976" spans="25:25" hidden="1" x14ac:dyDescent="0.25">
      <c r="Y25976" s="501"/>
    </row>
    <row r="25977" spans="25:25" hidden="1" x14ac:dyDescent="0.25">
      <c r="Y25977" s="501"/>
    </row>
    <row r="25978" spans="25:25" hidden="1" x14ac:dyDescent="0.25">
      <c r="Y25978" s="501"/>
    </row>
    <row r="25979" spans="25:25" hidden="1" x14ac:dyDescent="0.25">
      <c r="Y25979" s="501"/>
    </row>
    <row r="25980" spans="25:25" hidden="1" x14ac:dyDescent="0.25">
      <c r="Y25980" s="501"/>
    </row>
    <row r="25981" spans="25:25" hidden="1" x14ac:dyDescent="0.25">
      <c r="Y25981" s="501"/>
    </row>
    <row r="25982" spans="25:25" hidden="1" x14ac:dyDescent="0.25">
      <c r="Y25982" s="501"/>
    </row>
    <row r="25983" spans="25:25" hidden="1" x14ac:dyDescent="0.25">
      <c r="Y25983" s="501"/>
    </row>
    <row r="25984" spans="25:25" hidden="1" x14ac:dyDescent="0.25">
      <c r="Y25984" s="501"/>
    </row>
    <row r="25985" spans="25:25" hidden="1" x14ac:dyDescent="0.25">
      <c r="Y25985" s="501"/>
    </row>
    <row r="25986" spans="25:25" hidden="1" x14ac:dyDescent="0.25">
      <c r="Y25986" s="501"/>
    </row>
    <row r="25987" spans="25:25" hidden="1" x14ac:dyDescent="0.25">
      <c r="Y25987" s="501"/>
    </row>
    <row r="25988" spans="25:25" hidden="1" x14ac:dyDescent="0.25">
      <c r="Y25988" s="501"/>
    </row>
    <row r="25989" spans="25:25" hidden="1" x14ac:dyDescent="0.25">
      <c r="Y25989" s="501"/>
    </row>
    <row r="25990" spans="25:25" hidden="1" x14ac:dyDescent="0.25">
      <c r="Y25990" s="501"/>
    </row>
    <row r="25991" spans="25:25" hidden="1" x14ac:dyDescent="0.25">
      <c r="Y25991" s="501"/>
    </row>
    <row r="25992" spans="25:25" hidden="1" x14ac:dyDescent="0.25">
      <c r="Y25992" s="501"/>
    </row>
    <row r="25993" spans="25:25" hidden="1" x14ac:dyDescent="0.25">
      <c r="Y25993" s="501"/>
    </row>
    <row r="25994" spans="25:25" hidden="1" x14ac:dyDescent="0.25">
      <c r="Y25994" s="501"/>
    </row>
    <row r="25995" spans="25:25" hidden="1" x14ac:dyDescent="0.25">
      <c r="Y25995" s="501"/>
    </row>
    <row r="25996" spans="25:25" hidden="1" x14ac:dyDescent="0.25">
      <c r="Y25996" s="501"/>
    </row>
    <row r="25997" spans="25:25" hidden="1" x14ac:dyDescent="0.25">
      <c r="Y25997" s="501"/>
    </row>
    <row r="25998" spans="25:25" hidden="1" x14ac:dyDescent="0.25">
      <c r="Y25998" s="501"/>
    </row>
    <row r="25999" spans="25:25" hidden="1" x14ac:dyDescent="0.25">
      <c r="Y25999" s="501"/>
    </row>
    <row r="26000" spans="25:25" hidden="1" x14ac:dyDescent="0.25">
      <c r="Y26000" s="501"/>
    </row>
    <row r="26001" spans="25:25" hidden="1" x14ac:dyDescent="0.25">
      <c r="Y26001" s="501"/>
    </row>
    <row r="26002" spans="25:25" hidden="1" x14ac:dyDescent="0.25">
      <c r="Y26002" s="501"/>
    </row>
    <row r="26003" spans="25:25" hidden="1" x14ac:dyDescent="0.25">
      <c r="Y26003" s="501"/>
    </row>
    <row r="26004" spans="25:25" hidden="1" x14ac:dyDescent="0.25">
      <c r="Y26004" s="501"/>
    </row>
    <row r="26005" spans="25:25" hidden="1" x14ac:dyDescent="0.25">
      <c r="Y26005" s="501"/>
    </row>
    <row r="26006" spans="25:25" hidden="1" x14ac:dyDescent="0.25">
      <c r="Y26006" s="501"/>
    </row>
    <row r="26007" spans="25:25" hidden="1" x14ac:dyDescent="0.25">
      <c r="Y26007" s="501"/>
    </row>
    <row r="26008" spans="25:25" hidden="1" x14ac:dyDescent="0.25">
      <c r="Y26008" s="501"/>
    </row>
    <row r="26009" spans="25:25" hidden="1" x14ac:dyDescent="0.25">
      <c r="Y26009" s="501"/>
    </row>
    <row r="26010" spans="25:25" hidden="1" x14ac:dyDescent="0.25">
      <c r="Y26010" s="501"/>
    </row>
    <row r="26011" spans="25:25" hidden="1" x14ac:dyDescent="0.25">
      <c r="Y26011" s="501"/>
    </row>
    <row r="26012" spans="25:25" hidden="1" x14ac:dyDescent="0.25">
      <c r="Y26012" s="501"/>
    </row>
    <row r="26013" spans="25:25" hidden="1" x14ac:dyDescent="0.25">
      <c r="Y26013" s="501"/>
    </row>
    <row r="26014" spans="25:25" hidden="1" x14ac:dyDescent="0.25">
      <c r="Y26014" s="501"/>
    </row>
    <row r="26015" spans="25:25" hidden="1" x14ac:dyDescent="0.25">
      <c r="Y26015" s="501"/>
    </row>
    <row r="26016" spans="25:25" hidden="1" x14ac:dyDescent="0.25">
      <c r="Y26016" s="501"/>
    </row>
    <row r="26017" spans="25:25" hidden="1" x14ac:dyDescent="0.25">
      <c r="Y26017" s="501"/>
    </row>
    <row r="26018" spans="25:25" hidden="1" x14ac:dyDescent="0.25">
      <c r="Y26018" s="501"/>
    </row>
    <row r="26019" spans="25:25" hidden="1" x14ac:dyDescent="0.25">
      <c r="Y26019" s="501"/>
    </row>
    <row r="26020" spans="25:25" hidden="1" x14ac:dyDescent="0.25">
      <c r="Y26020" s="501"/>
    </row>
    <row r="26021" spans="25:25" hidden="1" x14ac:dyDescent="0.25">
      <c r="Y26021" s="501"/>
    </row>
    <row r="26022" spans="25:25" hidden="1" x14ac:dyDescent="0.25">
      <c r="Y26022" s="501"/>
    </row>
    <row r="26023" spans="25:25" hidden="1" x14ac:dyDescent="0.25">
      <c r="Y26023" s="501"/>
    </row>
    <row r="26024" spans="25:25" hidden="1" x14ac:dyDescent="0.25">
      <c r="Y26024" s="501"/>
    </row>
    <row r="26025" spans="25:25" hidden="1" x14ac:dyDescent="0.25">
      <c r="Y26025" s="501"/>
    </row>
    <row r="26026" spans="25:25" hidden="1" x14ac:dyDescent="0.25">
      <c r="Y26026" s="501"/>
    </row>
    <row r="26027" spans="25:25" hidden="1" x14ac:dyDescent="0.25">
      <c r="Y26027" s="501"/>
    </row>
    <row r="26028" spans="25:25" hidden="1" x14ac:dyDescent="0.25">
      <c r="Y26028" s="501"/>
    </row>
    <row r="26029" spans="25:25" hidden="1" x14ac:dyDescent="0.25">
      <c r="Y26029" s="501"/>
    </row>
    <row r="26030" spans="25:25" hidden="1" x14ac:dyDescent="0.25">
      <c r="Y26030" s="501"/>
    </row>
    <row r="26031" spans="25:25" hidden="1" x14ac:dyDescent="0.25">
      <c r="Y26031" s="501"/>
    </row>
    <row r="26032" spans="25:25" hidden="1" x14ac:dyDescent="0.25">
      <c r="Y26032" s="501"/>
    </row>
    <row r="26033" spans="25:25" hidden="1" x14ac:dyDescent="0.25">
      <c r="Y26033" s="501"/>
    </row>
    <row r="26034" spans="25:25" hidden="1" x14ac:dyDescent="0.25">
      <c r="Y26034" s="501"/>
    </row>
    <row r="26035" spans="25:25" hidden="1" x14ac:dyDescent="0.25">
      <c r="Y26035" s="501"/>
    </row>
    <row r="26036" spans="25:25" hidden="1" x14ac:dyDescent="0.25">
      <c r="Y26036" s="501"/>
    </row>
    <row r="26037" spans="25:25" hidden="1" x14ac:dyDescent="0.25">
      <c r="Y26037" s="501"/>
    </row>
    <row r="26038" spans="25:25" hidden="1" x14ac:dyDescent="0.25">
      <c r="Y26038" s="501"/>
    </row>
    <row r="26039" spans="25:25" hidden="1" x14ac:dyDescent="0.25">
      <c r="Y26039" s="501"/>
    </row>
    <row r="26040" spans="25:25" hidden="1" x14ac:dyDescent="0.25">
      <c r="Y26040" s="501"/>
    </row>
    <row r="26041" spans="25:25" hidden="1" x14ac:dyDescent="0.25">
      <c r="Y26041" s="501"/>
    </row>
    <row r="26042" spans="25:25" hidden="1" x14ac:dyDescent="0.25">
      <c r="Y26042" s="501"/>
    </row>
    <row r="26043" spans="25:25" hidden="1" x14ac:dyDescent="0.25">
      <c r="Y26043" s="501"/>
    </row>
    <row r="26044" spans="25:25" hidden="1" x14ac:dyDescent="0.25">
      <c r="Y26044" s="501"/>
    </row>
    <row r="26045" spans="25:25" hidden="1" x14ac:dyDescent="0.25">
      <c r="Y26045" s="501"/>
    </row>
    <row r="26046" spans="25:25" hidden="1" x14ac:dyDescent="0.25">
      <c r="Y26046" s="501"/>
    </row>
    <row r="26047" spans="25:25" hidden="1" x14ac:dyDescent="0.25">
      <c r="Y26047" s="501"/>
    </row>
    <row r="26048" spans="25:25" hidden="1" x14ac:dyDescent="0.25">
      <c r="Y26048" s="501"/>
    </row>
    <row r="26049" spans="25:25" hidden="1" x14ac:dyDescent="0.25">
      <c r="Y26049" s="501"/>
    </row>
    <row r="26050" spans="25:25" hidden="1" x14ac:dyDescent="0.25">
      <c r="Y26050" s="501"/>
    </row>
    <row r="26051" spans="25:25" hidden="1" x14ac:dyDescent="0.25">
      <c r="Y26051" s="501"/>
    </row>
    <row r="26052" spans="25:25" hidden="1" x14ac:dyDescent="0.25">
      <c r="Y26052" s="501"/>
    </row>
    <row r="26053" spans="25:25" hidden="1" x14ac:dyDescent="0.25">
      <c r="Y26053" s="501"/>
    </row>
    <row r="26054" spans="25:25" hidden="1" x14ac:dyDescent="0.25">
      <c r="Y26054" s="501"/>
    </row>
    <row r="26055" spans="25:25" hidden="1" x14ac:dyDescent="0.25">
      <c r="Y26055" s="501"/>
    </row>
    <row r="26056" spans="25:25" hidden="1" x14ac:dyDescent="0.25">
      <c r="Y26056" s="501"/>
    </row>
    <row r="26057" spans="25:25" hidden="1" x14ac:dyDescent="0.25">
      <c r="Y26057" s="501"/>
    </row>
    <row r="26058" spans="25:25" hidden="1" x14ac:dyDescent="0.25">
      <c r="Y26058" s="501"/>
    </row>
    <row r="26059" spans="25:25" hidden="1" x14ac:dyDescent="0.25">
      <c r="Y26059" s="501"/>
    </row>
    <row r="26060" spans="25:25" hidden="1" x14ac:dyDescent="0.25">
      <c r="Y26060" s="501"/>
    </row>
    <row r="26061" spans="25:25" hidden="1" x14ac:dyDescent="0.25">
      <c r="Y26061" s="501"/>
    </row>
    <row r="26062" spans="25:25" hidden="1" x14ac:dyDescent="0.25">
      <c r="Y26062" s="501"/>
    </row>
    <row r="26063" spans="25:25" hidden="1" x14ac:dyDescent="0.25">
      <c r="Y26063" s="501"/>
    </row>
    <row r="26064" spans="25:25" hidden="1" x14ac:dyDescent="0.25">
      <c r="Y26064" s="501"/>
    </row>
    <row r="26065" spans="25:25" hidden="1" x14ac:dyDescent="0.25">
      <c r="Y26065" s="501"/>
    </row>
    <row r="26066" spans="25:25" hidden="1" x14ac:dyDescent="0.25">
      <c r="Y26066" s="501"/>
    </row>
    <row r="26067" spans="25:25" hidden="1" x14ac:dyDescent="0.25">
      <c r="Y26067" s="501"/>
    </row>
    <row r="26068" spans="25:25" hidden="1" x14ac:dyDescent="0.25">
      <c r="Y26068" s="501"/>
    </row>
    <row r="26069" spans="25:25" hidden="1" x14ac:dyDescent="0.25">
      <c r="Y26069" s="501"/>
    </row>
    <row r="26070" spans="25:25" hidden="1" x14ac:dyDescent="0.25">
      <c r="Y26070" s="501"/>
    </row>
    <row r="26071" spans="25:25" hidden="1" x14ac:dyDescent="0.25">
      <c r="Y26071" s="501"/>
    </row>
    <row r="26072" spans="25:25" hidden="1" x14ac:dyDescent="0.25">
      <c r="Y26072" s="501"/>
    </row>
    <row r="26073" spans="25:25" hidden="1" x14ac:dyDescent="0.25">
      <c r="Y26073" s="501"/>
    </row>
    <row r="26074" spans="25:25" hidden="1" x14ac:dyDescent="0.25">
      <c r="Y26074" s="501"/>
    </row>
    <row r="26075" spans="25:25" hidden="1" x14ac:dyDescent="0.25">
      <c r="Y26075" s="501"/>
    </row>
    <row r="26076" spans="25:25" hidden="1" x14ac:dyDescent="0.25">
      <c r="Y26076" s="501"/>
    </row>
    <row r="26077" spans="25:25" hidden="1" x14ac:dyDescent="0.25">
      <c r="Y26077" s="501"/>
    </row>
    <row r="26078" spans="25:25" hidden="1" x14ac:dyDescent="0.25">
      <c r="Y26078" s="501"/>
    </row>
    <row r="26079" spans="25:25" hidden="1" x14ac:dyDescent="0.25">
      <c r="Y26079" s="501"/>
    </row>
    <row r="26080" spans="25:25" hidden="1" x14ac:dyDescent="0.25">
      <c r="Y26080" s="501"/>
    </row>
    <row r="26081" spans="25:25" hidden="1" x14ac:dyDescent="0.25">
      <c r="Y26081" s="501"/>
    </row>
    <row r="26082" spans="25:25" hidden="1" x14ac:dyDescent="0.25">
      <c r="Y26082" s="501"/>
    </row>
    <row r="26083" spans="25:25" hidden="1" x14ac:dyDescent="0.25">
      <c r="Y26083" s="501"/>
    </row>
    <row r="26084" spans="25:25" hidden="1" x14ac:dyDescent="0.25">
      <c r="Y26084" s="501"/>
    </row>
    <row r="26085" spans="25:25" hidden="1" x14ac:dyDescent="0.25">
      <c r="Y26085" s="501"/>
    </row>
    <row r="26086" spans="25:25" hidden="1" x14ac:dyDescent="0.25">
      <c r="Y26086" s="501"/>
    </row>
    <row r="26087" spans="25:25" hidden="1" x14ac:dyDescent="0.25">
      <c r="Y26087" s="501"/>
    </row>
    <row r="26088" spans="25:25" hidden="1" x14ac:dyDescent="0.25">
      <c r="Y26088" s="501"/>
    </row>
    <row r="26089" spans="25:25" hidden="1" x14ac:dyDescent="0.25">
      <c r="Y26089" s="501"/>
    </row>
    <row r="26090" spans="25:25" hidden="1" x14ac:dyDescent="0.25">
      <c r="Y26090" s="501"/>
    </row>
    <row r="26091" spans="25:25" hidden="1" x14ac:dyDescent="0.25">
      <c r="Y26091" s="501"/>
    </row>
    <row r="26092" spans="25:25" hidden="1" x14ac:dyDescent="0.25">
      <c r="Y26092" s="501"/>
    </row>
    <row r="26093" spans="25:25" hidden="1" x14ac:dyDescent="0.25">
      <c r="Y26093" s="501"/>
    </row>
    <row r="26094" spans="25:25" hidden="1" x14ac:dyDescent="0.25">
      <c r="Y26094" s="501"/>
    </row>
    <row r="26095" spans="25:25" hidden="1" x14ac:dyDescent="0.25">
      <c r="Y26095" s="501"/>
    </row>
    <row r="26096" spans="25:25" hidden="1" x14ac:dyDescent="0.25">
      <c r="Y26096" s="501"/>
    </row>
    <row r="26097" spans="25:25" hidden="1" x14ac:dyDescent="0.25">
      <c r="Y26097" s="501"/>
    </row>
    <row r="26098" spans="25:25" hidden="1" x14ac:dyDescent="0.25">
      <c r="Y26098" s="501"/>
    </row>
    <row r="26099" spans="25:25" hidden="1" x14ac:dyDescent="0.25">
      <c r="Y26099" s="501"/>
    </row>
    <row r="26100" spans="25:25" hidden="1" x14ac:dyDescent="0.25">
      <c r="Y26100" s="501"/>
    </row>
    <row r="26101" spans="25:25" hidden="1" x14ac:dyDescent="0.25">
      <c r="Y26101" s="501"/>
    </row>
    <row r="26102" spans="25:25" hidden="1" x14ac:dyDescent="0.25">
      <c r="Y26102" s="501"/>
    </row>
    <row r="26103" spans="25:25" hidden="1" x14ac:dyDescent="0.25">
      <c r="Y26103" s="501"/>
    </row>
    <row r="26104" spans="25:25" hidden="1" x14ac:dyDescent="0.25">
      <c r="Y26104" s="501"/>
    </row>
    <row r="26105" spans="25:25" hidden="1" x14ac:dyDescent="0.25">
      <c r="Y26105" s="501"/>
    </row>
    <row r="26106" spans="25:25" hidden="1" x14ac:dyDescent="0.25">
      <c r="Y26106" s="501"/>
    </row>
    <row r="26107" spans="25:25" hidden="1" x14ac:dyDescent="0.25">
      <c r="Y26107" s="501"/>
    </row>
    <row r="26108" spans="25:25" hidden="1" x14ac:dyDescent="0.25">
      <c r="Y26108" s="501"/>
    </row>
    <row r="26109" spans="25:25" hidden="1" x14ac:dyDescent="0.25">
      <c r="Y26109" s="501"/>
    </row>
    <row r="26110" spans="25:25" hidden="1" x14ac:dyDescent="0.25">
      <c r="Y26110" s="501"/>
    </row>
    <row r="26111" spans="25:25" hidden="1" x14ac:dyDescent="0.25">
      <c r="Y26111" s="501"/>
    </row>
    <row r="26112" spans="25:25" hidden="1" x14ac:dyDescent="0.25">
      <c r="Y26112" s="501"/>
    </row>
    <row r="26113" spans="25:25" hidden="1" x14ac:dyDescent="0.25">
      <c r="Y26113" s="501"/>
    </row>
    <row r="26114" spans="25:25" hidden="1" x14ac:dyDescent="0.25">
      <c r="Y26114" s="501"/>
    </row>
    <row r="26115" spans="25:25" hidden="1" x14ac:dyDescent="0.25">
      <c r="Y26115" s="501"/>
    </row>
    <row r="26116" spans="25:25" hidden="1" x14ac:dyDescent="0.25">
      <c r="Y26116" s="501"/>
    </row>
    <row r="26117" spans="25:25" hidden="1" x14ac:dyDescent="0.25">
      <c r="Y26117" s="501"/>
    </row>
    <row r="26118" spans="25:25" hidden="1" x14ac:dyDescent="0.25">
      <c r="Y26118" s="501"/>
    </row>
    <row r="26119" spans="25:25" hidden="1" x14ac:dyDescent="0.25">
      <c r="Y26119" s="501"/>
    </row>
    <row r="26120" spans="25:25" hidden="1" x14ac:dyDescent="0.25">
      <c r="Y26120" s="501"/>
    </row>
    <row r="26121" spans="25:25" hidden="1" x14ac:dyDescent="0.25">
      <c r="Y26121" s="501"/>
    </row>
    <row r="26122" spans="25:25" hidden="1" x14ac:dyDescent="0.25">
      <c r="Y26122" s="501"/>
    </row>
    <row r="26123" spans="25:25" hidden="1" x14ac:dyDescent="0.25">
      <c r="Y26123" s="501"/>
    </row>
    <row r="26124" spans="25:25" hidden="1" x14ac:dyDescent="0.25">
      <c r="Y26124" s="501"/>
    </row>
    <row r="26125" spans="25:25" hidden="1" x14ac:dyDescent="0.25">
      <c r="Y26125" s="501"/>
    </row>
    <row r="26126" spans="25:25" hidden="1" x14ac:dyDescent="0.25">
      <c r="Y26126" s="501"/>
    </row>
    <row r="26127" spans="25:25" hidden="1" x14ac:dyDescent="0.25">
      <c r="Y26127" s="501"/>
    </row>
    <row r="26128" spans="25:25" hidden="1" x14ac:dyDescent="0.25">
      <c r="Y26128" s="501"/>
    </row>
    <row r="26129" spans="25:25" hidden="1" x14ac:dyDescent="0.25">
      <c r="Y26129" s="501"/>
    </row>
    <row r="26130" spans="25:25" hidden="1" x14ac:dyDescent="0.25">
      <c r="Y26130" s="501"/>
    </row>
    <row r="26131" spans="25:25" hidden="1" x14ac:dyDescent="0.25">
      <c r="Y26131" s="501"/>
    </row>
    <row r="26132" spans="25:25" hidden="1" x14ac:dyDescent="0.25">
      <c r="Y26132" s="501"/>
    </row>
    <row r="26133" spans="25:25" hidden="1" x14ac:dyDescent="0.25">
      <c r="Y26133" s="501"/>
    </row>
    <row r="26134" spans="25:25" hidden="1" x14ac:dyDescent="0.25">
      <c r="Y26134" s="501"/>
    </row>
    <row r="26135" spans="25:25" hidden="1" x14ac:dyDescent="0.25">
      <c r="Y26135" s="501"/>
    </row>
    <row r="26136" spans="25:25" hidden="1" x14ac:dyDescent="0.25">
      <c r="Y26136" s="501"/>
    </row>
    <row r="26137" spans="25:25" hidden="1" x14ac:dyDescent="0.25">
      <c r="Y26137" s="501"/>
    </row>
    <row r="26138" spans="25:25" hidden="1" x14ac:dyDescent="0.25">
      <c r="Y26138" s="501"/>
    </row>
    <row r="26139" spans="25:25" hidden="1" x14ac:dyDescent="0.25">
      <c r="Y26139" s="501"/>
    </row>
    <row r="26140" spans="25:25" hidden="1" x14ac:dyDescent="0.25">
      <c r="Y26140" s="501"/>
    </row>
    <row r="26141" spans="25:25" hidden="1" x14ac:dyDescent="0.25">
      <c r="Y26141" s="501"/>
    </row>
    <row r="26142" spans="25:25" hidden="1" x14ac:dyDescent="0.25">
      <c r="Y26142" s="501"/>
    </row>
    <row r="26143" spans="25:25" hidden="1" x14ac:dyDescent="0.25">
      <c r="Y26143" s="501"/>
    </row>
    <row r="26144" spans="25:25" hidden="1" x14ac:dyDescent="0.25">
      <c r="Y26144" s="501"/>
    </row>
    <row r="26145" spans="25:25" hidden="1" x14ac:dyDescent="0.25">
      <c r="Y26145" s="501"/>
    </row>
    <row r="26146" spans="25:25" hidden="1" x14ac:dyDescent="0.25">
      <c r="Y26146" s="501"/>
    </row>
    <row r="26147" spans="25:25" hidden="1" x14ac:dyDescent="0.25">
      <c r="Y26147" s="501"/>
    </row>
    <row r="26148" spans="25:25" hidden="1" x14ac:dyDescent="0.25">
      <c r="Y26148" s="501"/>
    </row>
    <row r="26149" spans="25:25" hidden="1" x14ac:dyDescent="0.25">
      <c r="Y26149" s="501"/>
    </row>
    <row r="26150" spans="25:25" hidden="1" x14ac:dyDescent="0.25">
      <c r="Y26150" s="501"/>
    </row>
    <row r="26151" spans="25:25" hidden="1" x14ac:dyDescent="0.25">
      <c r="Y26151" s="501"/>
    </row>
    <row r="26152" spans="25:25" hidden="1" x14ac:dyDescent="0.25">
      <c r="Y26152" s="501"/>
    </row>
    <row r="26153" spans="25:25" hidden="1" x14ac:dyDescent="0.25">
      <c r="Y26153" s="501"/>
    </row>
    <row r="26154" spans="25:25" hidden="1" x14ac:dyDescent="0.25">
      <c r="Y26154" s="501"/>
    </row>
    <row r="26155" spans="25:25" hidden="1" x14ac:dyDescent="0.25">
      <c r="Y26155" s="501"/>
    </row>
    <row r="26156" spans="25:25" hidden="1" x14ac:dyDescent="0.25">
      <c r="Y26156" s="501"/>
    </row>
    <row r="26157" spans="25:25" hidden="1" x14ac:dyDescent="0.25">
      <c r="Y26157" s="501"/>
    </row>
    <row r="26158" spans="25:25" hidden="1" x14ac:dyDescent="0.25">
      <c r="Y26158" s="501"/>
    </row>
    <row r="26159" spans="25:25" hidden="1" x14ac:dyDescent="0.25">
      <c r="Y26159" s="501"/>
    </row>
    <row r="26160" spans="25:25" hidden="1" x14ac:dyDescent="0.25">
      <c r="Y26160" s="501"/>
    </row>
    <row r="26161" spans="25:25" hidden="1" x14ac:dyDescent="0.25">
      <c r="Y26161" s="501"/>
    </row>
    <row r="26162" spans="25:25" hidden="1" x14ac:dyDescent="0.25">
      <c r="Y26162" s="501"/>
    </row>
    <row r="26163" spans="25:25" hidden="1" x14ac:dyDescent="0.25">
      <c r="Y26163" s="501"/>
    </row>
    <row r="26164" spans="25:25" hidden="1" x14ac:dyDescent="0.25">
      <c r="Y26164" s="501"/>
    </row>
    <row r="26165" spans="25:25" hidden="1" x14ac:dyDescent="0.25">
      <c r="Y26165" s="501"/>
    </row>
    <row r="26166" spans="25:25" hidden="1" x14ac:dyDescent="0.25">
      <c r="Y26166" s="501"/>
    </row>
    <row r="26167" spans="25:25" hidden="1" x14ac:dyDescent="0.25">
      <c r="Y26167" s="501"/>
    </row>
    <row r="26168" spans="25:25" hidden="1" x14ac:dyDescent="0.25">
      <c r="Y26168" s="501"/>
    </row>
    <row r="26169" spans="25:25" hidden="1" x14ac:dyDescent="0.25">
      <c r="Y26169" s="501"/>
    </row>
    <row r="26170" spans="25:25" hidden="1" x14ac:dyDescent="0.25">
      <c r="Y26170" s="501"/>
    </row>
    <row r="26171" spans="25:25" hidden="1" x14ac:dyDescent="0.25">
      <c r="Y26171" s="501"/>
    </row>
    <row r="26172" spans="25:25" hidden="1" x14ac:dyDescent="0.25">
      <c r="Y26172" s="501"/>
    </row>
    <row r="26173" spans="25:25" hidden="1" x14ac:dyDescent="0.25">
      <c r="Y26173" s="501"/>
    </row>
    <row r="26174" spans="25:25" hidden="1" x14ac:dyDescent="0.25">
      <c r="Y26174" s="501"/>
    </row>
    <row r="26175" spans="25:25" hidden="1" x14ac:dyDescent="0.25">
      <c r="Y26175" s="501"/>
    </row>
    <row r="26176" spans="25:25" hidden="1" x14ac:dyDescent="0.25">
      <c r="Y26176" s="501"/>
    </row>
    <row r="26177" spans="25:25" hidden="1" x14ac:dyDescent="0.25">
      <c r="Y26177" s="501"/>
    </row>
    <row r="26178" spans="25:25" hidden="1" x14ac:dyDescent="0.25">
      <c r="Y26178" s="501"/>
    </row>
    <row r="26179" spans="25:25" hidden="1" x14ac:dyDescent="0.25">
      <c r="Y26179" s="501"/>
    </row>
    <row r="26180" spans="25:25" hidden="1" x14ac:dyDescent="0.25">
      <c r="Y26180" s="501"/>
    </row>
    <row r="26181" spans="25:25" hidden="1" x14ac:dyDescent="0.25">
      <c r="Y26181" s="501"/>
    </row>
    <row r="26182" spans="25:25" hidden="1" x14ac:dyDescent="0.25">
      <c r="Y26182" s="501"/>
    </row>
    <row r="26183" spans="25:25" hidden="1" x14ac:dyDescent="0.25">
      <c r="Y26183" s="501"/>
    </row>
    <row r="26184" spans="25:25" hidden="1" x14ac:dyDescent="0.25">
      <c r="Y26184" s="501"/>
    </row>
    <row r="26185" spans="25:25" hidden="1" x14ac:dyDescent="0.25">
      <c r="Y26185" s="501"/>
    </row>
    <row r="26186" spans="25:25" hidden="1" x14ac:dyDescent="0.25">
      <c r="Y26186" s="501"/>
    </row>
    <row r="26187" spans="25:25" hidden="1" x14ac:dyDescent="0.25">
      <c r="Y26187" s="501"/>
    </row>
    <row r="26188" spans="25:25" hidden="1" x14ac:dyDescent="0.25">
      <c r="Y26188" s="501"/>
    </row>
    <row r="26189" spans="25:25" hidden="1" x14ac:dyDescent="0.25">
      <c r="Y26189" s="501"/>
    </row>
    <row r="26190" spans="25:25" hidden="1" x14ac:dyDescent="0.25">
      <c r="Y26190" s="501"/>
    </row>
    <row r="26191" spans="25:25" hidden="1" x14ac:dyDescent="0.25">
      <c r="Y26191" s="501"/>
    </row>
    <row r="26192" spans="25:25" hidden="1" x14ac:dyDescent="0.25">
      <c r="Y26192" s="501"/>
    </row>
    <row r="26193" spans="25:25" hidden="1" x14ac:dyDescent="0.25">
      <c r="Y26193" s="501"/>
    </row>
    <row r="26194" spans="25:25" hidden="1" x14ac:dyDescent="0.25">
      <c r="Y26194" s="501"/>
    </row>
    <row r="26195" spans="25:25" hidden="1" x14ac:dyDescent="0.25">
      <c r="Y26195" s="501"/>
    </row>
    <row r="26196" spans="25:25" hidden="1" x14ac:dyDescent="0.25">
      <c r="Y26196" s="501"/>
    </row>
    <row r="26197" spans="25:25" hidden="1" x14ac:dyDescent="0.25">
      <c r="Y26197" s="501"/>
    </row>
    <row r="26198" spans="25:25" hidden="1" x14ac:dyDescent="0.25">
      <c r="Y26198" s="501"/>
    </row>
    <row r="26199" spans="25:25" hidden="1" x14ac:dyDescent="0.25">
      <c r="Y26199" s="501"/>
    </row>
    <row r="26200" spans="25:25" hidden="1" x14ac:dyDescent="0.25">
      <c r="Y26200" s="501"/>
    </row>
    <row r="26201" spans="25:25" hidden="1" x14ac:dyDescent="0.25">
      <c r="Y26201" s="501"/>
    </row>
    <row r="26202" spans="25:25" hidden="1" x14ac:dyDescent="0.25">
      <c r="Y26202" s="501"/>
    </row>
    <row r="26203" spans="25:25" hidden="1" x14ac:dyDescent="0.25">
      <c r="Y26203" s="501"/>
    </row>
    <row r="26204" spans="25:25" hidden="1" x14ac:dyDescent="0.25">
      <c r="Y26204" s="501"/>
    </row>
    <row r="26205" spans="25:25" hidden="1" x14ac:dyDescent="0.25">
      <c r="Y26205" s="501"/>
    </row>
    <row r="26206" spans="25:25" hidden="1" x14ac:dyDescent="0.25">
      <c r="Y26206" s="501"/>
    </row>
    <row r="26207" spans="25:25" hidden="1" x14ac:dyDescent="0.25">
      <c r="Y26207" s="501"/>
    </row>
    <row r="26208" spans="25:25" hidden="1" x14ac:dyDescent="0.25">
      <c r="Y26208" s="501"/>
    </row>
    <row r="26209" spans="25:25" hidden="1" x14ac:dyDescent="0.25">
      <c r="Y26209" s="501"/>
    </row>
    <row r="26210" spans="25:25" hidden="1" x14ac:dyDescent="0.25">
      <c r="Y26210" s="501"/>
    </row>
    <row r="26211" spans="25:25" hidden="1" x14ac:dyDescent="0.25">
      <c r="Y26211" s="501"/>
    </row>
    <row r="26212" spans="25:25" hidden="1" x14ac:dyDescent="0.25">
      <c r="Y26212" s="501"/>
    </row>
    <row r="26213" spans="25:25" hidden="1" x14ac:dyDescent="0.25">
      <c r="Y26213" s="501"/>
    </row>
    <row r="26214" spans="25:25" hidden="1" x14ac:dyDescent="0.25">
      <c r="Y26214" s="501"/>
    </row>
    <row r="26215" spans="25:25" hidden="1" x14ac:dyDescent="0.25">
      <c r="Y26215" s="501"/>
    </row>
    <row r="26216" spans="25:25" hidden="1" x14ac:dyDescent="0.25">
      <c r="Y26216" s="501"/>
    </row>
    <row r="26217" spans="25:25" hidden="1" x14ac:dyDescent="0.25">
      <c r="Y26217" s="501"/>
    </row>
    <row r="26218" spans="25:25" hidden="1" x14ac:dyDescent="0.25">
      <c r="Y26218" s="501"/>
    </row>
    <row r="26219" spans="25:25" hidden="1" x14ac:dyDescent="0.25">
      <c r="Y26219" s="501"/>
    </row>
    <row r="26220" spans="25:25" hidden="1" x14ac:dyDescent="0.25">
      <c r="Y26220" s="501"/>
    </row>
    <row r="26221" spans="25:25" hidden="1" x14ac:dyDescent="0.25">
      <c r="Y26221" s="501"/>
    </row>
    <row r="26222" spans="25:25" hidden="1" x14ac:dyDescent="0.25">
      <c r="Y26222" s="501"/>
    </row>
    <row r="26223" spans="25:25" hidden="1" x14ac:dyDescent="0.25">
      <c r="Y26223" s="501"/>
    </row>
    <row r="26224" spans="25:25" hidden="1" x14ac:dyDescent="0.25">
      <c r="Y26224" s="501"/>
    </row>
    <row r="26225" spans="25:25" hidden="1" x14ac:dyDescent="0.25">
      <c r="Y26225" s="501"/>
    </row>
    <row r="26226" spans="25:25" hidden="1" x14ac:dyDescent="0.25">
      <c r="Y26226" s="501"/>
    </row>
    <row r="26227" spans="25:25" hidden="1" x14ac:dyDescent="0.25">
      <c r="Y26227" s="501"/>
    </row>
    <row r="26228" spans="25:25" hidden="1" x14ac:dyDescent="0.25">
      <c r="Y26228" s="501"/>
    </row>
    <row r="26229" spans="25:25" hidden="1" x14ac:dyDescent="0.25">
      <c r="Y26229" s="501"/>
    </row>
    <row r="26230" spans="25:25" hidden="1" x14ac:dyDescent="0.25">
      <c r="Y26230" s="501"/>
    </row>
    <row r="26231" spans="25:25" hidden="1" x14ac:dyDescent="0.25">
      <c r="Y26231" s="501"/>
    </row>
    <row r="26232" spans="25:25" hidden="1" x14ac:dyDescent="0.25">
      <c r="Y26232" s="501"/>
    </row>
    <row r="26233" spans="25:25" hidden="1" x14ac:dyDescent="0.25">
      <c r="Y26233" s="501"/>
    </row>
    <row r="26234" spans="25:25" hidden="1" x14ac:dyDescent="0.25">
      <c r="Y26234" s="501"/>
    </row>
    <row r="26235" spans="25:25" hidden="1" x14ac:dyDescent="0.25">
      <c r="Y26235" s="501"/>
    </row>
    <row r="26236" spans="25:25" hidden="1" x14ac:dyDescent="0.25">
      <c r="Y26236" s="501"/>
    </row>
    <row r="26237" spans="25:25" hidden="1" x14ac:dyDescent="0.25">
      <c r="Y26237" s="501"/>
    </row>
    <row r="26238" spans="25:25" hidden="1" x14ac:dyDescent="0.25">
      <c r="Y26238" s="501"/>
    </row>
    <row r="26239" spans="25:25" hidden="1" x14ac:dyDescent="0.25">
      <c r="Y26239" s="501"/>
    </row>
    <row r="26240" spans="25:25" hidden="1" x14ac:dyDescent="0.25">
      <c r="Y26240" s="501"/>
    </row>
    <row r="26241" spans="25:25" hidden="1" x14ac:dyDescent="0.25">
      <c r="Y26241" s="501"/>
    </row>
    <row r="26242" spans="25:25" hidden="1" x14ac:dyDescent="0.25">
      <c r="Y26242" s="501"/>
    </row>
    <row r="26243" spans="25:25" hidden="1" x14ac:dyDescent="0.25">
      <c r="Y26243" s="501"/>
    </row>
    <row r="26244" spans="25:25" hidden="1" x14ac:dyDescent="0.25">
      <c r="Y26244" s="501"/>
    </row>
    <row r="26245" spans="25:25" hidden="1" x14ac:dyDescent="0.25">
      <c r="Y26245" s="501"/>
    </row>
    <row r="26246" spans="25:25" hidden="1" x14ac:dyDescent="0.25">
      <c r="Y26246" s="501"/>
    </row>
    <row r="26247" spans="25:25" hidden="1" x14ac:dyDescent="0.25">
      <c r="Y26247" s="501"/>
    </row>
    <row r="26248" spans="25:25" hidden="1" x14ac:dyDescent="0.25">
      <c r="Y26248" s="501"/>
    </row>
    <row r="26249" spans="25:25" hidden="1" x14ac:dyDescent="0.25">
      <c r="Y26249" s="501"/>
    </row>
    <row r="26250" spans="25:25" hidden="1" x14ac:dyDescent="0.25">
      <c r="Y26250" s="501"/>
    </row>
    <row r="26251" spans="25:25" hidden="1" x14ac:dyDescent="0.25">
      <c r="Y26251" s="501"/>
    </row>
    <row r="26252" spans="25:25" hidden="1" x14ac:dyDescent="0.25">
      <c r="Y26252" s="501"/>
    </row>
    <row r="26253" spans="25:25" hidden="1" x14ac:dyDescent="0.25">
      <c r="Y26253" s="501"/>
    </row>
    <row r="26254" spans="25:25" hidden="1" x14ac:dyDescent="0.25">
      <c r="Y26254" s="501"/>
    </row>
    <row r="26255" spans="25:25" hidden="1" x14ac:dyDescent="0.25">
      <c r="Y26255" s="501"/>
    </row>
    <row r="26256" spans="25:25" hidden="1" x14ac:dyDescent="0.25">
      <c r="Y26256" s="501"/>
    </row>
    <row r="26257" spans="25:25" hidden="1" x14ac:dyDescent="0.25">
      <c r="Y26257" s="501"/>
    </row>
    <row r="26258" spans="25:25" hidden="1" x14ac:dyDescent="0.25">
      <c r="Y26258" s="501"/>
    </row>
    <row r="26259" spans="25:25" hidden="1" x14ac:dyDescent="0.25">
      <c r="Y26259" s="501"/>
    </row>
    <row r="26260" spans="25:25" hidden="1" x14ac:dyDescent="0.25">
      <c r="Y26260" s="501"/>
    </row>
    <row r="26261" spans="25:25" hidden="1" x14ac:dyDescent="0.25">
      <c r="Y26261" s="501"/>
    </row>
    <row r="26262" spans="25:25" hidden="1" x14ac:dyDescent="0.25">
      <c r="Y26262" s="501"/>
    </row>
    <row r="26263" spans="25:25" hidden="1" x14ac:dyDescent="0.25">
      <c r="Y26263" s="501"/>
    </row>
    <row r="26264" spans="25:25" hidden="1" x14ac:dyDescent="0.25">
      <c r="Y26264" s="501"/>
    </row>
    <row r="26265" spans="25:25" hidden="1" x14ac:dyDescent="0.25">
      <c r="Y26265" s="501"/>
    </row>
    <row r="26266" spans="25:25" hidden="1" x14ac:dyDescent="0.25">
      <c r="Y26266" s="501"/>
    </row>
    <row r="26267" spans="25:25" hidden="1" x14ac:dyDescent="0.25">
      <c r="Y26267" s="501"/>
    </row>
    <row r="26268" spans="25:25" hidden="1" x14ac:dyDescent="0.25">
      <c r="Y26268" s="501"/>
    </row>
    <row r="26269" spans="25:25" hidden="1" x14ac:dyDescent="0.25">
      <c r="Y26269" s="501"/>
    </row>
    <row r="26270" spans="25:25" hidden="1" x14ac:dyDescent="0.25">
      <c r="Y26270" s="501"/>
    </row>
    <row r="26271" spans="25:25" hidden="1" x14ac:dyDescent="0.25">
      <c r="Y26271" s="501"/>
    </row>
    <row r="26272" spans="25:25" hidden="1" x14ac:dyDescent="0.25">
      <c r="Y26272" s="501"/>
    </row>
    <row r="26273" spans="25:25" hidden="1" x14ac:dyDescent="0.25">
      <c r="Y26273" s="501"/>
    </row>
    <row r="26274" spans="25:25" hidden="1" x14ac:dyDescent="0.25">
      <c r="Y26274" s="501"/>
    </row>
    <row r="26275" spans="25:25" hidden="1" x14ac:dyDescent="0.25">
      <c r="Y26275" s="501"/>
    </row>
    <row r="26276" spans="25:25" hidden="1" x14ac:dyDescent="0.25">
      <c r="Y26276" s="501"/>
    </row>
    <row r="26277" spans="25:25" hidden="1" x14ac:dyDescent="0.25">
      <c r="Y26277" s="501"/>
    </row>
    <row r="26278" spans="25:25" hidden="1" x14ac:dyDescent="0.25">
      <c r="Y26278" s="501"/>
    </row>
    <row r="26279" spans="25:25" hidden="1" x14ac:dyDescent="0.25">
      <c r="Y26279" s="501"/>
    </row>
    <row r="26280" spans="25:25" hidden="1" x14ac:dyDescent="0.25">
      <c r="Y26280" s="501"/>
    </row>
    <row r="26281" spans="25:25" hidden="1" x14ac:dyDescent="0.25">
      <c r="Y26281" s="501"/>
    </row>
    <row r="26282" spans="25:25" hidden="1" x14ac:dyDescent="0.25">
      <c r="Y26282" s="501"/>
    </row>
    <row r="26283" spans="25:25" hidden="1" x14ac:dyDescent="0.25">
      <c r="Y26283" s="501"/>
    </row>
    <row r="26284" spans="25:25" hidden="1" x14ac:dyDescent="0.25">
      <c r="Y26284" s="501"/>
    </row>
    <row r="26285" spans="25:25" hidden="1" x14ac:dyDescent="0.25">
      <c r="Y26285" s="501"/>
    </row>
    <row r="26286" spans="25:25" hidden="1" x14ac:dyDescent="0.25">
      <c r="Y26286" s="501"/>
    </row>
    <row r="26287" spans="25:25" hidden="1" x14ac:dyDescent="0.25">
      <c r="Y26287" s="501"/>
    </row>
    <row r="26288" spans="25:25" hidden="1" x14ac:dyDescent="0.25">
      <c r="Y26288" s="501"/>
    </row>
    <row r="26289" spans="25:25" hidden="1" x14ac:dyDescent="0.25">
      <c r="Y26289" s="501"/>
    </row>
    <row r="26290" spans="25:25" hidden="1" x14ac:dyDescent="0.25">
      <c r="Y26290" s="501"/>
    </row>
    <row r="26291" spans="25:25" hidden="1" x14ac:dyDescent="0.25">
      <c r="Y26291" s="501"/>
    </row>
    <row r="26292" spans="25:25" hidden="1" x14ac:dyDescent="0.25">
      <c r="Y26292" s="501"/>
    </row>
    <row r="26293" spans="25:25" hidden="1" x14ac:dyDescent="0.25">
      <c r="Y26293" s="501"/>
    </row>
    <row r="26294" spans="25:25" hidden="1" x14ac:dyDescent="0.25">
      <c r="Y26294" s="501"/>
    </row>
    <row r="26295" spans="25:25" hidden="1" x14ac:dyDescent="0.25">
      <c r="Y26295" s="501"/>
    </row>
    <row r="26296" spans="25:25" hidden="1" x14ac:dyDescent="0.25">
      <c r="Y26296" s="501"/>
    </row>
    <row r="26297" spans="25:25" hidden="1" x14ac:dyDescent="0.25">
      <c r="Y26297" s="501"/>
    </row>
    <row r="26298" spans="25:25" hidden="1" x14ac:dyDescent="0.25">
      <c r="Y26298" s="501"/>
    </row>
    <row r="26299" spans="25:25" hidden="1" x14ac:dyDescent="0.25">
      <c r="Y26299" s="501"/>
    </row>
    <row r="26300" spans="25:25" hidden="1" x14ac:dyDescent="0.25">
      <c r="Y26300" s="501"/>
    </row>
    <row r="26301" spans="25:25" hidden="1" x14ac:dyDescent="0.25">
      <c r="Y26301" s="501"/>
    </row>
    <row r="26302" spans="25:25" hidden="1" x14ac:dyDescent="0.25">
      <c r="Y26302" s="501"/>
    </row>
    <row r="26303" spans="25:25" hidden="1" x14ac:dyDescent="0.25">
      <c r="Y26303" s="501"/>
    </row>
    <row r="26304" spans="25:25" hidden="1" x14ac:dyDescent="0.25">
      <c r="Y26304" s="501"/>
    </row>
    <row r="26305" spans="25:25" hidden="1" x14ac:dyDescent="0.25">
      <c r="Y26305" s="501"/>
    </row>
    <row r="26306" spans="25:25" hidden="1" x14ac:dyDescent="0.25">
      <c r="Y26306" s="501"/>
    </row>
    <row r="26307" spans="25:25" hidden="1" x14ac:dyDescent="0.25">
      <c r="Y26307" s="501"/>
    </row>
    <row r="26308" spans="25:25" hidden="1" x14ac:dyDescent="0.25">
      <c r="Y26308" s="501"/>
    </row>
    <row r="26309" spans="25:25" hidden="1" x14ac:dyDescent="0.25">
      <c r="Y26309" s="501"/>
    </row>
    <row r="26310" spans="25:25" hidden="1" x14ac:dyDescent="0.25">
      <c r="Y26310" s="501"/>
    </row>
    <row r="26311" spans="25:25" hidden="1" x14ac:dyDescent="0.25">
      <c r="Y26311" s="501"/>
    </row>
    <row r="26312" spans="25:25" hidden="1" x14ac:dyDescent="0.25">
      <c r="Y26312" s="501"/>
    </row>
    <row r="26313" spans="25:25" hidden="1" x14ac:dyDescent="0.25">
      <c r="Y26313" s="501"/>
    </row>
    <row r="26314" spans="25:25" hidden="1" x14ac:dyDescent="0.25">
      <c r="Y26314" s="501"/>
    </row>
    <row r="26315" spans="25:25" hidden="1" x14ac:dyDescent="0.25">
      <c r="Y26315" s="501"/>
    </row>
    <row r="26316" spans="25:25" hidden="1" x14ac:dyDescent="0.25">
      <c r="Y26316" s="501"/>
    </row>
    <row r="26317" spans="25:25" hidden="1" x14ac:dyDescent="0.25">
      <c r="Y26317" s="501"/>
    </row>
    <row r="26318" spans="25:25" hidden="1" x14ac:dyDescent="0.25">
      <c r="Y26318" s="501"/>
    </row>
    <row r="26319" spans="25:25" hidden="1" x14ac:dyDescent="0.25">
      <c r="Y26319" s="501"/>
    </row>
    <row r="26320" spans="25:25" hidden="1" x14ac:dyDescent="0.25">
      <c r="Y26320" s="501"/>
    </row>
    <row r="26321" spans="25:25" hidden="1" x14ac:dyDescent="0.25">
      <c r="Y26321" s="501"/>
    </row>
    <row r="26322" spans="25:25" hidden="1" x14ac:dyDescent="0.25">
      <c r="Y26322" s="501"/>
    </row>
    <row r="26323" spans="25:25" hidden="1" x14ac:dyDescent="0.25">
      <c r="Y26323" s="501"/>
    </row>
    <row r="26324" spans="25:25" hidden="1" x14ac:dyDescent="0.25">
      <c r="Y26324" s="501"/>
    </row>
    <row r="26325" spans="25:25" hidden="1" x14ac:dyDescent="0.25">
      <c r="Y26325" s="501"/>
    </row>
    <row r="26326" spans="25:25" hidden="1" x14ac:dyDescent="0.25">
      <c r="Y26326" s="501"/>
    </row>
    <row r="26327" spans="25:25" hidden="1" x14ac:dyDescent="0.25">
      <c r="Y26327" s="501"/>
    </row>
    <row r="26328" spans="25:25" hidden="1" x14ac:dyDescent="0.25">
      <c r="Y26328" s="501"/>
    </row>
    <row r="26329" spans="25:25" hidden="1" x14ac:dyDescent="0.25">
      <c r="Y26329" s="501"/>
    </row>
    <row r="26330" spans="25:25" hidden="1" x14ac:dyDescent="0.25">
      <c r="Y26330" s="501"/>
    </row>
    <row r="26331" spans="25:25" hidden="1" x14ac:dyDescent="0.25">
      <c r="Y26331" s="501"/>
    </row>
    <row r="26332" spans="25:25" hidden="1" x14ac:dyDescent="0.25">
      <c r="Y26332" s="501"/>
    </row>
    <row r="26333" spans="25:25" hidden="1" x14ac:dyDescent="0.25">
      <c r="Y26333" s="501"/>
    </row>
    <row r="26334" spans="25:25" hidden="1" x14ac:dyDescent="0.25">
      <c r="Y26334" s="501"/>
    </row>
    <row r="26335" spans="25:25" hidden="1" x14ac:dyDescent="0.25">
      <c r="Y26335" s="501"/>
    </row>
    <row r="26336" spans="25:25" hidden="1" x14ac:dyDescent="0.25">
      <c r="Y26336" s="501"/>
    </row>
    <row r="26337" spans="25:25" hidden="1" x14ac:dyDescent="0.25">
      <c r="Y26337" s="501"/>
    </row>
    <row r="26338" spans="25:25" hidden="1" x14ac:dyDescent="0.25">
      <c r="Y26338" s="501"/>
    </row>
    <row r="26339" spans="25:25" hidden="1" x14ac:dyDescent="0.25">
      <c r="Y26339" s="501"/>
    </row>
    <row r="26340" spans="25:25" hidden="1" x14ac:dyDescent="0.25">
      <c r="Y26340" s="501"/>
    </row>
    <row r="26341" spans="25:25" hidden="1" x14ac:dyDescent="0.25">
      <c r="Y26341" s="501"/>
    </row>
    <row r="26342" spans="25:25" hidden="1" x14ac:dyDescent="0.25">
      <c r="Y26342" s="501"/>
    </row>
    <row r="26343" spans="25:25" hidden="1" x14ac:dyDescent="0.25">
      <c r="Y26343" s="501"/>
    </row>
    <row r="26344" spans="25:25" hidden="1" x14ac:dyDescent="0.25">
      <c r="Y26344" s="501"/>
    </row>
    <row r="26345" spans="25:25" hidden="1" x14ac:dyDescent="0.25">
      <c r="Y26345" s="501"/>
    </row>
    <row r="26346" spans="25:25" hidden="1" x14ac:dyDescent="0.25">
      <c r="Y26346" s="501"/>
    </row>
    <row r="26347" spans="25:25" hidden="1" x14ac:dyDescent="0.25">
      <c r="Y26347" s="501"/>
    </row>
    <row r="26348" spans="25:25" hidden="1" x14ac:dyDescent="0.25">
      <c r="Y26348" s="501"/>
    </row>
    <row r="26349" spans="25:25" hidden="1" x14ac:dyDescent="0.25">
      <c r="Y26349" s="501"/>
    </row>
    <row r="26350" spans="25:25" hidden="1" x14ac:dyDescent="0.25">
      <c r="Y26350" s="501"/>
    </row>
    <row r="26351" spans="25:25" hidden="1" x14ac:dyDescent="0.25">
      <c r="Y26351" s="501"/>
    </row>
    <row r="26352" spans="25:25" hidden="1" x14ac:dyDescent="0.25">
      <c r="Y26352" s="501"/>
    </row>
    <row r="26353" spans="25:25" hidden="1" x14ac:dyDescent="0.25">
      <c r="Y26353" s="501"/>
    </row>
    <row r="26354" spans="25:25" hidden="1" x14ac:dyDescent="0.25">
      <c r="Y26354" s="501"/>
    </row>
    <row r="26355" spans="25:25" hidden="1" x14ac:dyDescent="0.25">
      <c r="Y26355" s="501"/>
    </row>
    <row r="26356" spans="25:25" hidden="1" x14ac:dyDescent="0.25">
      <c r="Y26356" s="501"/>
    </row>
    <row r="26357" spans="25:25" hidden="1" x14ac:dyDescent="0.25">
      <c r="Y26357" s="501"/>
    </row>
    <row r="26358" spans="25:25" hidden="1" x14ac:dyDescent="0.25">
      <c r="Y26358" s="501"/>
    </row>
    <row r="26359" spans="25:25" hidden="1" x14ac:dyDescent="0.25">
      <c r="Y26359" s="501"/>
    </row>
    <row r="26360" spans="25:25" hidden="1" x14ac:dyDescent="0.25">
      <c r="Y26360" s="501"/>
    </row>
    <row r="26361" spans="25:25" hidden="1" x14ac:dyDescent="0.25">
      <c r="Y26361" s="501"/>
    </row>
    <row r="26362" spans="25:25" hidden="1" x14ac:dyDescent="0.25">
      <c r="Y26362" s="501"/>
    </row>
    <row r="26363" spans="25:25" hidden="1" x14ac:dyDescent="0.25">
      <c r="Y26363" s="501"/>
    </row>
    <row r="26364" spans="25:25" hidden="1" x14ac:dyDescent="0.25">
      <c r="Y26364" s="501"/>
    </row>
    <row r="26365" spans="25:25" hidden="1" x14ac:dyDescent="0.25">
      <c r="Y26365" s="501"/>
    </row>
    <row r="26366" spans="25:25" hidden="1" x14ac:dyDescent="0.25">
      <c r="Y26366" s="501"/>
    </row>
    <row r="26367" spans="25:25" hidden="1" x14ac:dyDescent="0.25">
      <c r="Y26367" s="501"/>
    </row>
    <row r="26368" spans="25:25" hidden="1" x14ac:dyDescent="0.25">
      <c r="Y26368" s="501"/>
    </row>
    <row r="26369" spans="25:25" hidden="1" x14ac:dyDescent="0.25">
      <c r="Y26369" s="501"/>
    </row>
    <row r="26370" spans="25:25" hidden="1" x14ac:dyDescent="0.25">
      <c r="Y26370" s="501"/>
    </row>
    <row r="26371" spans="25:25" hidden="1" x14ac:dyDescent="0.25">
      <c r="Y26371" s="501"/>
    </row>
    <row r="26372" spans="25:25" hidden="1" x14ac:dyDescent="0.25">
      <c r="Y26372" s="501"/>
    </row>
    <row r="26373" spans="25:25" hidden="1" x14ac:dyDescent="0.25">
      <c r="Y26373" s="501"/>
    </row>
    <row r="26374" spans="25:25" hidden="1" x14ac:dyDescent="0.25">
      <c r="Y26374" s="501"/>
    </row>
    <row r="26375" spans="25:25" hidden="1" x14ac:dyDescent="0.25">
      <c r="Y26375" s="501"/>
    </row>
    <row r="26376" spans="25:25" hidden="1" x14ac:dyDescent="0.25">
      <c r="Y26376" s="501"/>
    </row>
    <row r="26377" spans="25:25" hidden="1" x14ac:dyDescent="0.25">
      <c r="Y26377" s="501"/>
    </row>
    <row r="26378" spans="25:25" hidden="1" x14ac:dyDescent="0.25">
      <c r="Y26378" s="501"/>
    </row>
    <row r="26379" spans="25:25" hidden="1" x14ac:dyDescent="0.25">
      <c r="Y26379" s="501"/>
    </row>
    <row r="26380" spans="25:25" hidden="1" x14ac:dyDescent="0.25">
      <c r="Y26380" s="501"/>
    </row>
    <row r="26381" spans="25:25" hidden="1" x14ac:dyDescent="0.25">
      <c r="Y26381" s="501"/>
    </row>
    <row r="26382" spans="25:25" hidden="1" x14ac:dyDescent="0.25">
      <c r="Y26382" s="501"/>
    </row>
    <row r="26383" spans="25:25" hidden="1" x14ac:dyDescent="0.25">
      <c r="Y26383" s="501"/>
    </row>
    <row r="26384" spans="25:25" hidden="1" x14ac:dyDescent="0.25">
      <c r="Y26384" s="501"/>
    </row>
    <row r="26385" spans="25:25" hidden="1" x14ac:dyDescent="0.25">
      <c r="Y26385" s="501"/>
    </row>
    <row r="26386" spans="25:25" hidden="1" x14ac:dyDescent="0.25">
      <c r="Y26386" s="501"/>
    </row>
    <row r="26387" spans="25:25" hidden="1" x14ac:dyDescent="0.25">
      <c r="Y26387" s="501"/>
    </row>
    <row r="26388" spans="25:25" hidden="1" x14ac:dyDescent="0.25">
      <c r="Y26388" s="501"/>
    </row>
    <row r="26389" spans="25:25" hidden="1" x14ac:dyDescent="0.25">
      <c r="Y26389" s="501"/>
    </row>
    <row r="26390" spans="25:25" hidden="1" x14ac:dyDescent="0.25">
      <c r="Y26390" s="501"/>
    </row>
    <row r="26391" spans="25:25" hidden="1" x14ac:dyDescent="0.25">
      <c r="Y26391" s="501"/>
    </row>
    <row r="26392" spans="25:25" hidden="1" x14ac:dyDescent="0.25">
      <c r="Y26392" s="501"/>
    </row>
    <row r="26393" spans="25:25" hidden="1" x14ac:dyDescent="0.25">
      <c r="Y26393" s="501"/>
    </row>
    <row r="26394" spans="25:25" hidden="1" x14ac:dyDescent="0.25">
      <c r="Y26394" s="501"/>
    </row>
    <row r="26395" spans="25:25" hidden="1" x14ac:dyDescent="0.25">
      <c r="Y26395" s="501"/>
    </row>
    <row r="26396" spans="25:25" hidden="1" x14ac:dyDescent="0.25">
      <c r="Y26396" s="501"/>
    </row>
    <row r="26397" spans="25:25" hidden="1" x14ac:dyDescent="0.25">
      <c r="Y26397" s="501"/>
    </row>
    <row r="26398" spans="25:25" hidden="1" x14ac:dyDescent="0.25">
      <c r="Y26398" s="501"/>
    </row>
    <row r="26399" spans="25:25" hidden="1" x14ac:dyDescent="0.25">
      <c r="Y26399" s="501"/>
    </row>
    <row r="26400" spans="25:25" hidden="1" x14ac:dyDescent="0.25">
      <c r="Y26400" s="501"/>
    </row>
    <row r="26401" spans="25:25" hidden="1" x14ac:dyDescent="0.25">
      <c r="Y26401" s="501"/>
    </row>
    <row r="26402" spans="25:25" hidden="1" x14ac:dyDescent="0.25">
      <c r="Y26402" s="501"/>
    </row>
    <row r="26403" spans="25:25" hidden="1" x14ac:dyDescent="0.25">
      <c r="Y26403" s="501"/>
    </row>
    <row r="26404" spans="25:25" hidden="1" x14ac:dyDescent="0.25">
      <c r="Y26404" s="501"/>
    </row>
    <row r="26405" spans="25:25" hidden="1" x14ac:dyDescent="0.25">
      <c r="Y26405" s="501"/>
    </row>
    <row r="26406" spans="25:25" hidden="1" x14ac:dyDescent="0.25">
      <c r="Y26406" s="501"/>
    </row>
    <row r="26407" spans="25:25" hidden="1" x14ac:dyDescent="0.25">
      <c r="Y26407" s="501"/>
    </row>
    <row r="26408" spans="25:25" hidden="1" x14ac:dyDescent="0.25">
      <c r="Y26408" s="501"/>
    </row>
    <row r="26409" spans="25:25" hidden="1" x14ac:dyDescent="0.25">
      <c r="Y26409" s="501"/>
    </row>
    <row r="26410" spans="25:25" hidden="1" x14ac:dyDescent="0.25">
      <c r="Y26410" s="501"/>
    </row>
    <row r="26411" spans="25:25" hidden="1" x14ac:dyDescent="0.25">
      <c r="Y26411" s="501"/>
    </row>
    <row r="26412" spans="25:25" hidden="1" x14ac:dyDescent="0.25">
      <c r="Y26412" s="501"/>
    </row>
    <row r="26413" spans="25:25" hidden="1" x14ac:dyDescent="0.25">
      <c r="Y26413" s="501"/>
    </row>
    <row r="26414" spans="25:25" hidden="1" x14ac:dyDescent="0.25">
      <c r="Y26414" s="501"/>
    </row>
    <row r="26415" spans="25:25" hidden="1" x14ac:dyDescent="0.25">
      <c r="Y26415" s="501"/>
    </row>
    <row r="26416" spans="25:25" hidden="1" x14ac:dyDescent="0.25">
      <c r="Y26416" s="501"/>
    </row>
    <row r="26417" spans="25:25" hidden="1" x14ac:dyDescent="0.25">
      <c r="Y26417" s="501"/>
    </row>
    <row r="26418" spans="25:25" hidden="1" x14ac:dyDescent="0.25">
      <c r="Y26418" s="501"/>
    </row>
    <row r="26419" spans="25:25" hidden="1" x14ac:dyDescent="0.25">
      <c r="Y26419" s="501"/>
    </row>
    <row r="26420" spans="25:25" hidden="1" x14ac:dyDescent="0.25">
      <c r="Y26420" s="501"/>
    </row>
    <row r="26421" spans="25:25" hidden="1" x14ac:dyDescent="0.25">
      <c r="Y26421" s="501"/>
    </row>
    <row r="26422" spans="25:25" hidden="1" x14ac:dyDescent="0.25">
      <c r="Y26422" s="501"/>
    </row>
    <row r="26423" spans="25:25" hidden="1" x14ac:dyDescent="0.25">
      <c r="Y26423" s="501"/>
    </row>
    <row r="26424" spans="25:25" hidden="1" x14ac:dyDescent="0.25">
      <c r="Y26424" s="501"/>
    </row>
    <row r="26425" spans="25:25" hidden="1" x14ac:dyDescent="0.25">
      <c r="Y26425" s="501"/>
    </row>
    <row r="26426" spans="25:25" hidden="1" x14ac:dyDescent="0.25">
      <c r="Y26426" s="501"/>
    </row>
    <row r="26427" spans="25:25" hidden="1" x14ac:dyDescent="0.25">
      <c r="Y26427" s="501"/>
    </row>
    <row r="26428" spans="25:25" hidden="1" x14ac:dyDescent="0.25">
      <c r="Y26428" s="501"/>
    </row>
    <row r="26429" spans="25:25" hidden="1" x14ac:dyDescent="0.25">
      <c r="Y26429" s="501"/>
    </row>
    <row r="26430" spans="25:25" hidden="1" x14ac:dyDescent="0.25">
      <c r="Y26430" s="501"/>
    </row>
    <row r="26431" spans="25:25" hidden="1" x14ac:dyDescent="0.25">
      <c r="Y26431" s="501"/>
    </row>
    <row r="26432" spans="25:25" hidden="1" x14ac:dyDescent="0.25">
      <c r="Y26432" s="501"/>
    </row>
    <row r="26433" spans="25:25" hidden="1" x14ac:dyDescent="0.25">
      <c r="Y26433" s="501"/>
    </row>
    <row r="26434" spans="25:25" hidden="1" x14ac:dyDescent="0.25">
      <c r="Y26434" s="501"/>
    </row>
    <row r="26435" spans="25:25" hidden="1" x14ac:dyDescent="0.25">
      <c r="Y26435" s="501"/>
    </row>
    <row r="26436" spans="25:25" hidden="1" x14ac:dyDescent="0.25">
      <c r="Y26436" s="501"/>
    </row>
    <row r="26437" spans="25:25" hidden="1" x14ac:dyDescent="0.25">
      <c r="Y26437" s="501"/>
    </row>
    <row r="26438" spans="25:25" hidden="1" x14ac:dyDescent="0.25">
      <c r="Y26438" s="501"/>
    </row>
    <row r="26439" spans="25:25" hidden="1" x14ac:dyDescent="0.25">
      <c r="Y26439" s="501"/>
    </row>
    <row r="26440" spans="25:25" hidden="1" x14ac:dyDescent="0.25">
      <c r="Y26440" s="501"/>
    </row>
    <row r="26441" spans="25:25" hidden="1" x14ac:dyDescent="0.25">
      <c r="Y26441" s="501"/>
    </row>
    <row r="26442" spans="25:25" hidden="1" x14ac:dyDescent="0.25">
      <c r="Y26442" s="501"/>
    </row>
    <row r="26443" spans="25:25" hidden="1" x14ac:dyDescent="0.25">
      <c r="Y26443" s="501"/>
    </row>
    <row r="26444" spans="25:25" hidden="1" x14ac:dyDescent="0.25">
      <c r="Y26444" s="501"/>
    </row>
    <row r="26445" spans="25:25" hidden="1" x14ac:dyDescent="0.25">
      <c r="Y26445" s="501"/>
    </row>
    <row r="26446" spans="25:25" hidden="1" x14ac:dyDescent="0.25">
      <c r="Y26446" s="501"/>
    </row>
    <row r="26447" spans="25:25" hidden="1" x14ac:dyDescent="0.25">
      <c r="Y26447" s="501"/>
    </row>
    <row r="26448" spans="25:25" hidden="1" x14ac:dyDescent="0.25">
      <c r="Y26448" s="501"/>
    </row>
    <row r="26449" spans="25:25" hidden="1" x14ac:dyDescent="0.25">
      <c r="Y26449" s="501"/>
    </row>
    <row r="26450" spans="25:25" hidden="1" x14ac:dyDescent="0.25">
      <c r="Y26450" s="501"/>
    </row>
    <row r="26451" spans="25:25" hidden="1" x14ac:dyDescent="0.25">
      <c r="Y26451" s="501"/>
    </row>
    <row r="26452" spans="25:25" hidden="1" x14ac:dyDescent="0.25">
      <c r="Y26452" s="501"/>
    </row>
    <row r="26453" spans="25:25" hidden="1" x14ac:dyDescent="0.25">
      <c r="Y26453" s="501"/>
    </row>
    <row r="26454" spans="25:25" hidden="1" x14ac:dyDescent="0.25">
      <c r="Y26454" s="501"/>
    </row>
    <row r="26455" spans="25:25" hidden="1" x14ac:dyDescent="0.25">
      <c r="Y26455" s="501"/>
    </row>
    <row r="26456" spans="25:25" hidden="1" x14ac:dyDescent="0.25">
      <c r="Y26456" s="501"/>
    </row>
    <row r="26457" spans="25:25" hidden="1" x14ac:dyDescent="0.25">
      <c r="Y26457" s="501"/>
    </row>
    <row r="26458" spans="25:25" hidden="1" x14ac:dyDescent="0.25">
      <c r="Y26458" s="501"/>
    </row>
    <row r="26459" spans="25:25" hidden="1" x14ac:dyDescent="0.25">
      <c r="Y26459" s="501"/>
    </row>
    <row r="26460" spans="25:25" hidden="1" x14ac:dyDescent="0.25">
      <c r="Y26460" s="501"/>
    </row>
    <row r="26461" spans="25:25" hidden="1" x14ac:dyDescent="0.25">
      <c r="Y26461" s="501"/>
    </row>
    <row r="26462" spans="25:25" hidden="1" x14ac:dyDescent="0.25">
      <c r="Y26462" s="501"/>
    </row>
    <row r="26463" spans="25:25" hidden="1" x14ac:dyDescent="0.25">
      <c r="Y26463" s="501"/>
    </row>
    <row r="26464" spans="25:25" hidden="1" x14ac:dyDescent="0.25">
      <c r="Y26464" s="501"/>
    </row>
    <row r="26465" spans="25:25" hidden="1" x14ac:dyDescent="0.25">
      <c r="Y26465" s="501"/>
    </row>
    <row r="26466" spans="25:25" hidden="1" x14ac:dyDescent="0.25">
      <c r="Y26466" s="501"/>
    </row>
    <row r="26467" spans="25:25" hidden="1" x14ac:dyDescent="0.25">
      <c r="Y26467" s="501"/>
    </row>
    <row r="26468" spans="25:25" hidden="1" x14ac:dyDescent="0.25">
      <c r="Y26468" s="501"/>
    </row>
    <row r="26469" spans="25:25" hidden="1" x14ac:dyDescent="0.25">
      <c r="Y26469" s="501"/>
    </row>
    <row r="26470" spans="25:25" hidden="1" x14ac:dyDescent="0.25">
      <c r="Y26470" s="501"/>
    </row>
    <row r="26471" spans="25:25" hidden="1" x14ac:dyDescent="0.25">
      <c r="Y26471" s="501"/>
    </row>
    <row r="26472" spans="25:25" hidden="1" x14ac:dyDescent="0.25">
      <c r="Y26472" s="501"/>
    </row>
    <row r="26473" spans="25:25" hidden="1" x14ac:dyDescent="0.25">
      <c r="Y26473" s="501"/>
    </row>
    <row r="26474" spans="25:25" hidden="1" x14ac:dyDescent="0.25">
      <c r="Y26474" s="501"/>
    </row>
    <row r="26475" spans="25:25" hidden="1" x14ac:dyDescent="0.25">
      <c r="Y26475" s="501"/>
    </row>
    <row r="26476" spans="25:25" hidden="1" x14ac:dyDescent="0.25">
      <c r="Y26476" s="501"/>
    </row>
    <row r="26477" spans="25:25" hidden="1" x14ac:dyDescent="0.25">
      <c r="Y26477" s="501"/>
    </row>
    <row r="26478" spans="25:25" hidden="1" x14ac:dyDescent="0.25">
      <c r="Y26478" s="501"/>
    </row>
    <row r="26479" spans="25:25" hidden="1" x14ac:dyDescent="0.25">
      <c r="Y26479" s="501"/>
    </row>
    <row r="26480" spans="25:25" hidden="1" x14ac:dyDescent="0.25">
      <c r="Y26480" s="501"/>
    </row>
    <row r="26481" spans="25:25" hidden="1" x14ac:dyDescent="0.25">
      <c r="Y26481" s="501"/>
    </row>
    <row r="26482" spans="25:25" hidden="1" x14ac:dyDescent="0.25">
      <c r="Y26482" s="501"/>
    </row>
    <row r="26483" spans="25:25" hidden="1" x14ac:dyDescent="0.25">
      <c r="Y26483" s="501"/>
    </row>
    <row r="26484" spans="25:25" hidden="1" x14ac:dyDescent="0.25">
      <c r="Y26484" s="501"/>
    </row>
    <row r="26485" spans="25:25" hidden="1" x14ac:dyDescent="0.25">
      <c r="Y26485" s="501"/>
    </row>
    <row r="26486" spans="25:25" hidden="1" x14ac:dyDescent="0.25">
      <c r="Y26486" s="501"/>
    </row>
    <row r="26487" spans="25:25" hidden="1" x14ac:dyDescent="0.25">
      <c r="Y26487" s="501"/>
    </row>
    <row r="26488" spans="25:25" hidden="1" x14ac:dyDescent="0.25">
      <c r="Y26488" s="501"/>
    </row>
    <row r="26489" spans="25:25" hidden="1" x14ac:dyDescent="0.25">
      <c r="Y26489" s="501"/>
    </row>
    <row r="26490" spans="25:25" hidden="1" x14ac:dyDescent="0.25">
      <c r="Y26490" s="501"/>
    </row>
    <row r="26491" spans="25:25" hidden="1" x14ac:dyDescent="0.25">
      <c r="Y26491" s="501"/>
    </row>
    <row r="26492" spans="25:25" hidden="1" x14ac:dyDescent="0.25">
      <c r="Y26492" s="501"/>
    </row>
    <row r="26493" spans="25:25" hidden="1" x14ac:dyDescent="0.25">
      <c r="Y26493" s="501"/>
    </row>
    <row r="26494" spans="25:25" hidden="1" x14ac:dyDescent="0.25">
      <c r="Y26494" s="501"/>
    </row>
    <row r="26495" spans="25:25" hidden="1" x14ac:dyDescent="0.25">
      <c r="Y26495" s="501"/>
    </row>
    <row r="26496" spans="25:25" hidden="1" x14ac:dyDescent="0.25">
      <c r="Y26496" s="501"/>
    </row>
    <row r="26497" spans="25:25" hidden="1" x14ac:dyDescent="0.25">
      <c r="Y26497" s="501"/>
    </row>
    <row r="26498" spans="25:25" hidden="1" x14ac:dyDescent="0.25">
      <c r="Y26498" s="501"/>
    </row>
    <row r="26499" spans="25:25" hidden="1" x14ac:dyDescent="0.25">
      <c r="Y26499" s="501"/>
    </row>
    <row r="26500" spans="25:25" hidden="1" x14ac:dyDescent="0.25">
      <c r="Y26500" s="501"/>
    </row>
    <row r="26501" spans="25:25" hidden="1" x14ac:dyDescent="0.25">
      <c r="Y26501" s="501"/>
    </row>
    <row r="26502" spans="25:25" hidden="1" x14ac:dyDescent="0.25">
      <c r="Y26502" s="501"/>
    </row>
    <row r="26503" spans="25:25" hidden="1" x14ac:dyDescent="0.25">
      <c r="Y26503" s="501"/>
    </row>
    <row r="26504" spans="25:25" hidden="1" x14ac:dyDescent="0.25">
      <c r="Y26504" s="501"/>
    </row>
    <row r="26505" spans="25:25" hidden="1" x14ac:dyDescent="0.25">
      <c r="Y26505" s="501"/>
    </row>
    <row r="26506" spans="25:25" hidden="1" x14ac:dyDescent="0.25">
      <c r="Y26506" s="501"/>
    </row>
    <row r="26507" spans="25:25" hidden="1" x14ac:dyDescent="0.25">
      <c r="Y26507" s="501"/>
    </row>
    <row r="26508" spans="25:25" hidden="1" x14ac:dyDescent="0.25">
      <c r="Y26508" s="501"/>
    </row>
    <row r="26509" spans="25:25" hidden="1" x14ac:dyDescent="0.25">
      <c r="Y26509" s="501"/>
    </row>
    <row r="26510" spans="25:25" hidden="1" x14ac:dyDescent="0.25">
      <c r="Y26510" s="501"/>
    </row>
    <row r="26511" spans="25:25" hidden="1" x14ac:dyDescent="0.25">
      <c r="Y26511" s="501"/>
    </row>
    <row r="26512" spans="25:25" hidden="1" x14ac:dyDescent="0.25">
      <c r="Y26512" s="501"/>
    </row>
    <row r="26513" spans="25:25" hidden="1" x14ac:dyDescent="0.25">
      <c r="Y26513" s="501"/>
    </row>
    <row r="26514" spans="25:25" hidden="1" x14ac:dyDescent="0.25">
      <c r="Y26514" s="501"/>
    </row>
    <row r="26515" spans="25:25" hidden="1" x14ac:dyDescent="0.25">
      <c r="Y26515" s="501"/>
    </row>
    <row r="26516" spans="25:25" hidden="1" x14ac:dyDescent="0.25">
      <c r="Y26516" s="501"/>
    </row>
    <row r="26517" spans="25:25" hidden="1" x14ac:dyDescent="0.25">
      <c r="Y26517" s="501"/>
    </row>
    <row r="26518" spans="25:25" hidden="1" x14ac:dyDescent="0.25">
      <c r="Y26518" s="501"/>
    </row>
    <row r="26519" spans="25:25" hidden="1" x14ac:dyDescent="0.25">
      <c r="Y26519" s="501"/>
    </row>
    <row r="26520" spans="25:25" hidden="1" x14ac:dyDescent="0.25">
      <c r="Y26520" s="501"/>
    </row>
    <row r="26521" spans="25:25" hidden="1" x14ac:dyDescent="0.25">
      <c r="Y26521" s="501"/>
    </row>
    <row r="26522" spans="25:25" hidden="1" x14ac:dyDescent="0.25">
      <c r="Y26522" s="501"/>
    </row>
    <row r="26523" spans="25:25" hidden="1" x14ac:dyDescent="0.25">
      <c r="Y26523" s="501"/>
    </row>
    <row r="26524" spans="25:25" hidden="1" x14ac:dyDescent="0.25">
      <c r="Y26524" s="501"/>
    </row>
    <row r="26525" spans="25:25" hidden="1" x14ac:dyDescent="0.25">
      <c r="Y26525" s="501"/>
    </row>
    <row r="26526" spans="25:25" hidden="1" x14ac:dyDescent="0.25">
      <c r="Y26526" s="501"/>
    </row>
    <row r="26527" spans="25:25" hidden="1" x14ac:dyDescent="0.25">
      <c r="Y26527" s="501"/>
    </row>
    <row r="26528" spans="25:25" hidden="1" x14ac:dyDescent="0.25">
      <c r="Y26528" s="501"/>
    </row>
    <row r="26529" spans="25:25" hidden="1" x14ac:dyDescent="0.25">
      <c r="Y26529" s="501"/>
    </row>
    <row r="26530" spans="25:25" hidden="1" x14ac:dyDescent="0.25">
      <c r="Y26530" s="501"/>
    </row>
    <row r="26531" spans="25:25" hidden="1" x14ac:dyDescent="0.25">
      <c r="Y26531" s="501"/>
    </row>
    <row r="26532" spans="25:25" hidden="1" x14ac:dyDescent="0.25">
      <c r="Y26532" s="501"/>
    </row>
    <row r="26533" spans="25:25" hidden="1" x14ac:dyDescent="0.25">
      <c r="Y26533" s="501"/>
    </row>
    <row r="26534" spans="25:25" hidden="1" x14ac:dyDescent="0.25">
      <c r="Y26534" s="501"/>
    </row>
    <row r="26535" spans="25:25" hidden="1" x14ac:dyDescent="0.25">
      <c r="Y26535" s="501"/>
    </row>
    <row r="26536" spans="25:25" hidden="1" x14ac:dyDescent="0.25">
      <c r="Y26536" s="501"/>
    </row>
    <row r="26537" spans="25:25" hidden="1" x14ac:dyDescent="0.25">
      <c r="Y26537" s="501"/>
    </row>
    <row r="26538" spans="25:25" hidden="1" x14ac:dyDescent="0.25">
      <c r="Y26538" s="501"/>
    </row>
    <row r="26539" spans="25:25" hidden="1" x14ac:dyDescent="0.25">
      <c r="Y26539" s="501"/>
    </row>
    <row r="26540" spans="25:25" hidden="1" x14ac:dyDescent="0.25">
      <c r="Y26540" s="501"/>
    </row>
    <row r="26541" spans="25:25" hidden="1" x14ac:dyDescent="0.25">
      <c r="Y26541" s="501"/>
    </row>
    <row r="26542" spans="25:25" hidden="1" x14ac:dyDescent="0.25">
      <c r="Y26542" s="501"/>
    </row>
    <row r="26543" spans="25:25" hidden="1" x14ac:dyDescent="0.25">
      <c r="Y26543" s="501"/>
    </row>
    <row r="26544" spans="25:25" hidden="1" x14ac:dyDescent="0.25">
      <c r="Y26544" s="501"/>
    </row>
    <row r="26545" spans="25:25" hidden="1" x14ac:dyDescent="0.25">
      <c r="Y26545" s="501"/>
    </row>
    <row r="26546" spans="25:25" hidden="1" x14ac:dyDescent="0.25">
      <c r="Y26546" s="501"/>
    </row>
    <row r="26547" spans="25:25" hidden="1" x14ac:dyDescent="0.25">
      <c r="Y26547" s="501"/>
    </row>
    <row r="26548" spans="25:25" hidden="1" x14ac:dyDescent="0.25">
      <c r="Y26548" s="501"/>
    </row>
    <row r="26549" spans="25:25" hidden="1" x14ac:dyDescent="0.25">
      <c r="Y26549" s="501"/>
    </row>
    <row r="26550" spans="25:25" hidden="1" x14ac:dyDescent="0.25">
      <c r="Y26550" s="501"/>
    </row>
    <row r="26551" spans="25:25" hidden="1" x14ac:dyDescent="0.25">
      <c r="Y26551" s="501"/>
    </row>
    <row r="26552" spans="25:25" hidden="1" x14ac:dyDescent="0.25">
      <c r="Y26552" s="501"/>
    </row>
    <row r="26553" spans="25:25" hidden="1" x14ac:dyDescent="0.25">
      <c r="Y26553" s="501"/>
    </row>
    <row r="26554" spans="25:25" hidden="1" x14ac:dyDescent="0.25">
      <c r="Y26554" s="501"/>
    </row>
    <row r="26555" spans="25:25" hidden="1" x14ac:dyDescent="0.25">
      <c r="Y26555" s="501"/>
    </row>
    <row r="26556" spans="25:25" hidden="1" x14ac:dyDescent="0.25">
      <c r="Y26556" s="501"/>
    </row>
    <row r="26557" spans="25:25" hidden="1" x14ac:dyDescent="0.25">
      <c r="Y26557" s="501"/>
    </row>
    <row r="26558" spans="25:25" hidden="1" x14ac:dyDescent="0.25">
      <c r="Y26558" s="501"/>
    </row>
    <row r="26559" spans="25:25" hidden="1" x14ac:dyDescent="0.25">
      <c r="Y26559" s="501"/>
    </row>
    <row r="26560" spans="25:25" hidden="1" x14ac:dyDescent="0.25">
      <c r="Y26560" s="501"/>
    </row>
    <row r="26561" spans="25:25" hidden="1" x14ac:dyDescent="0.25">
      <c r="Y26561" s="501"/>
    </row>
    <row r="26562" spans="25:25" hidden="1" x14ac:dyDescent="0.25">
      <c r="Y26562" s="501"/>
    </row>
    <row r="26563" spans="25:25" hidden="1" x14ac:dyDescent="0.25">
      <c r="Y26563" s="501"/>
    </row>
    <row r="26564" spans="25:25" hidden="1" x14ac:dyDescent="0.25">
      <c r="Y26564" s="501"/>
    </row>
    <row r="26565" spans="25:25" hidden="1" x14ac:dyDescent="0.25">
      <c r="Y26565" s="501"/>
    </row>
    <row r="26566" spans="25:25" hidden="1" x14ac:dyDescent="0.25">
      <c r="Y26566" s="501"/>
    </row>
    <row r="26567" spans="25:25" hidden="1" x14ac:dyDescent="0.25">
      <c r="Y26567" s="501"/>
    </row>
    <row r="26568" spans="25:25" hidden="1" x14ac:dyDescent="0.25">
      <c r="Y26568" s="501"/>
    </row>
    <row r="26569" spans="25:25" hidden="1" x14ac:dyDescent="0.25">
      <c r="Y26569" s="501"/>
    </row>
    <row r="26570" spans="25:25" hidden="1" x14ac:dyDescent="0.25">
      <c r="Y26570" s="501"/>
    </row>
    <row r="26571" spans="25:25" hidden="1" x14ac:dyDescent="0.25">
      <c r="Y26571" s="501"/>
    </row>
    <row r="26572" spans="25:25" hidden="1" x14ac:dyDescent="0.25">
      <c r="Y26572" s="501"/>
    </row>
    <row r="26573" spans="25:25" hidden="1" x14ac:dyDescent="0.25">
      <c r="Y26573" s="501"/>
    </row>
    <row r="26574" spans="25:25" hidden="1" x14ac:dyDescent="0.25">
      <c r="Y26574" s="501"/>
    </row>
    <row r="26575" spans="25:25" hidden="1" x14ac:dyDescent="0.25">
      <c r="Y26575" s="501"/>
    </row>
    <row r="26576" spans="25:25" hidden="1" x14ac:dyDescent="0.25">
      <c r="Y26576" s="501"/>
    </row>
    <row r="26577" spans="25:25" hidden="1" x14ac:dyDescent="0.25">
      <c r="Y26577" s="501"/>
    </row>
    <row r="26578" spans="25:25" hidden="1" x14ac:dyDescent="0.25">
      <c r="Y26578" s="501"/>
    </row>
    <row r="26579" spans="25:25" hidden="1" x14ac:dyDescent="0.25">
      <c r="Y26579" s="501"/>
    </row>
    <row r="26580" spans="25:25" hidden="1" x14ac:dyDescent="0.25">
      <c r="Y26580" s="501"/>
    </row>
    <row r="26581" spans="25:25" hidden="1" x14ac:dyDescent="0.25">
      <c r="Y26581" s="501"/>
    </row>
    <row r="26582" spans="25:25" hidden="1" x14ac:dyDescent="0.25">
      <c r="Y26582" s="501"/>
    </row>
    <row r="26583" spans="25:25" hidden="1" x14ac:dyDescent="0.25">
      <c r="Y26583" s="501"/>
    </row>
    <row r="26584" spans="25:25" hidden="1" x14ac:dyDescent="0.25">
      <c r="Y26584" s="501"/>
    </row>
    <row r="26585" spans="25:25" hidden="1" x14ac:dyDescent="0.25">
      <c r="Y26585" s="501"/>
    </row>
    <row r="26586" spans="25:25" hidden="1" x14ac:dyDescent="0.25">
      <c r="Y26586" s="501"/>
    </row>
    <row r="26587" spans="25:25" hidden="1" x14ac:dyDescent="0.25">
      <c r="Y26587" s="501"/>
    </row>
    <row r="26588" spans="25:25" hidden="1" x14ac:dyDescent="0.25">
      <c r="Y26588" s="501"/>
    </row>
    <row r="26589" spans="25:25" hidden="1" x14ac:dyDescent="0.25">
      <c r="Y26589" s="501"/>
    </row>
    <row r="26590" spans="25:25" hidden="1" x14ac:dyDescent="0.25">
      <c r="Y26590" s="501"/>
    </row>
    <row r="26591" spans="25:25" hidden="1" x14ac:dyDescent="0.25">
      <c r="Y26591" s="501"/>
    </row>
    <row r="26592" spans="25:25" hidden="1" x14ac:dyDescent="0.25">
      <c r="Y26592" s="501"/>
    </row>
    <row r="26593" spans="25:25" hidden="1" x14ac:dyDescent="0.25">
      <c r="Y26593" s="501"/>
    </row>
    <row r="26594" spans="25:25" hidden="1" x14ac:dyDescent="0.25">
      <c r="Y26594" s="501"/>
    </row>
    <row r="26595" spans="25:25" hidden="1" x14ac:dyDescent="0.25">
      <c r="Y26595" s="501"/>
    </row>
    <row r="26596" spans="25:25" hidden="1" x14ac:dyDescent="0.25">
      <c r="Y26596" s="501"/>
    </row>
    <row r="26597" spans="25:25" hidden="1" x14ac:dyDescent="0.25">
      <c r="Y26597" s="501"/>
    </row>
    <row r="26598" spans="25:25" hidden="1" x14ac:dyDescent="0.25">
      <c r="Y26598" s="501"/>
    </row>
    <row r="26599" spans="25:25" hidden="1" x14ac:dyDescent="0.25">
      <c r="Y26599" s="501"/>
    </row>
    <row r="26600" spans="25:25" hidden="1" x14ac:dyDescent="0.25">
      <c r="Y26600" s="501"/>
    </row>
    <row r="26601" spans="25:25" hidden="1" x14ac:dyDescent="0.25">
      <c r="Y26601" s="501"/>
    </row>
    <row r="26602" spans="25:25" hidden="1" x14ac:dyDescent="0.25">
      <c r="Y26602" s="501"/>
    </row>
    <row r="26603" spans="25:25" hidden="1" x14ac:dyDescent="0.25">
      <c r="Y26603" s="501"/>
    </row>
    <row r="26604" spans="25:25" hidden="1" x14ac:dyDescent="0.25">
      <c r="Y26604" s="501"/>
    </row>
    <row r="26605" spans="25:25" hidden="1" x14ac:dyDescent="0.25">
      <c r="Y26605" s="501"/>
    </row>
    <row r="26606" spans="25:25" hidden="1" x14ac:dyDescent="0.25">
      <c r="Y26606" s="501"/>
    </row>
    <row r="26607" spans="25:25" hidden="1" x14ac:dyDescent="0.25">
      <c r="Y26607" s="501"/>
    </row>
    <row r="26608" spans="25:25" hidden="1" x14ac:dyDescent="0.25">
      <c r="Y26608" s="501"/>
    </row>
    <row r="26609" spans="25:25" hidden="1" x14ac:dyDescent="0.25">
      <c r="Y26609" s="501"/>
    </row>
    <row r="26610" spans="25:25" hidden="1" x14ac:dyDescent="0.25">
      <c r="Y26610" s="501"/>
    </row>
    <row r="26611" spans="25:25" hidden="1" x14ac:dyDescent="0.25">
      <c r="Y26611" s="501"/>
    </row>
    <row r="26612" spans="25:25" hidden="1" x14ac:dyDescent="0.25">
      <c r="Y26612" s="501"/>
    </row>
    <row r="26613" spans="25:25" hidden="1" x14ac:dyDescent="0.25">
      <c r="Y26613" s="501"/>
    </row>
    <row r="26614" spans="25:25" hidden="1" x14ac:dyDescent="0.25">
      <c r="Y26614" s="501"/>
    </row>
    <row r="26615" spans="25:25" hidden="1" x14ac:dyDescent="0.25">
      <c r="Y26615" s="501"/>
    </row>
    <row r="26616" spans="25:25" hidden="1" x14ac:dyDescent="0.25">
      <c r="Y26616" s="501"/>
    </row>
    <row r="26617" spans="25:25" hidden="1" x14ac:dyDescent="0.25">
      <c r="Y26617" s="501"/>
    </row>
    <row r="26618" spans="25:25" hidden="1" x14ac:dyDescent="0.25">
      <c r="Y26618" s="501"/>
    </row>
    <row r="26619" spans="25:25" hidden="1" x14ac:dyDescent="0.25">
      <c r="Y26619" s="501"/>
    </row>
    <row r="26620" spans="25:25" hidden="1" x14ac:dyDescent="0.25">
      <c r="Y26620" s="501"/>
    </row>
    <row r="26621" spans="25:25" hidden="1" x14ac:dyDescent="0.25">
      <c r="Y26621" s="501"/>
    </row>
    <row r="26622" spans="25:25" hidden="1" x14ac:dyDescent="0.25">
      <c r="Y26622" s="501"/>
    </row>
    <row r="26623" spans="25:25" hidden="1" x14ac:dyDescent="0.25">
      <c r="Y26623" s="501"/>
    </row>
    <row r="26624" spans="25:25" hidden="1" x14ac:dyDescent="0.25">
      <c r="Y26624" s="501"/>
    </row>
    <row r="26625" spans="25:25" hidden="1" x14ac:dyDescent="0.25">
      <c r="Y26625" s="501"/>
    </row>
    <row r="26626" spans="25:25" hidden="1" x14ac:dyDescent="0.25">
      <c r="Y26626" s="501"/>
    </row>
    <row r="26627" spans="25:25" hidden="1" x14ac:dyDescent="0.25">
      <c r="Y26627" s="501"/>
    </row>
    <row r="26628" spans="25:25" hidden="1" x14ac:dyDescent="0.25">
      <c r="Y26628" s="501"/>
    </row>
    <row r="26629" spans="25:25" hidden="1" x14ac:dyDescent="0.25">
      <c r="Y26629" s="501"/>
    </row>
    <row r="26630" spans="25:25" hidden="1" x14ac:dyDescent="0.25">
      <c r="Y26630" s="501"/>
    </row>
    <row r="26631" spans="25:25" hidden="1" x14ac:dyDescent="0.25">
      <c r="Y26631" s="501"/>
    </row>
    <row r="26632" spans="25:25" hidden="1" x14ac:dyDescent="0.25">
      <c r="Y26632" s="501"/>
    </row>
    <row r="26633" spans="25:25" hidden="1" x14ac:dyDescent="0.25">
      <c r="Y26633" s="501"/>
    </row>
    <row r="26634" spans="25:25" hidden="1" x14ac:dyDescent="0.25">
      <c r="Y26634" s="501"/>
    </row>
    <row r="26635" spans="25:25" hidden="1" x14ac:dyDescent="0.25">
      <c r="Y26635" s="501"/>
    </row>
    <row r="26636" spans="25:25" hidden="1" x14ac:dyDescent="0.25">
      <c r="Y26636" s="501"/>
    </row>
    <row r="26637" spans="25:25" hidden="1" x14ac:dyDescent="0.25">
      <c r="Y26637" s="501"/>
    </row>
    <row r="26638" spans="25:25" hidden="1" x14ac:dyDescent="0.25">
      <c r="Y26638" s="501"/>
    </row>
    <row r="26639" spans="25:25" hidden="1" x14ac:dyDescent="0.25">
      <c r="Y26639" s="501"/>
    </row>
    <row r="26640" spans="25:25" hidden="1" x14ac:dyDescent="0.25">
      <c r="Y26640" s="501"/>
    </row>
    <row r="26641" spans="25:25" hidden="1" x14ac:dyDescent="0.25">
      <c r="Y26641" s="501"/>
    </row>
    <row r="26642" spans="25:25" hidden="1" x14ac:dyDescent="0.25">
      <c r="Y26642" s="501"/>
    </row>
    <row r="26643" spans="25:25" hidden="1" x14ac:dyDescent="0.25">
      <c r="Y26643" s="501"/>
    </row>
    <row r="26644" spans="25:25" hidden="1" x14ac:dyDescent="0.25">
      <c r="Y26644" s="501"/>
    </row>
    <row r="26645" spans="25:25" hidden="1" x14ac:dyDescent="0.25">
      <c r="Y26645" s="501"/>
    </row>
    <row r="26646" spans="25:25" hidden="1" x14ac:dyDescent="0.25">
      <c r="Y26646" s="501"/>
    </row>
    <row r="26647" spans="25:25" hidden="1" x14ac:dyDescent="0.25">
      <c r="Y26647" s="501"/>
    </row>
    <row r="26648" spans="25:25" hidden="1" x14ac:dyDescent="0.25">
      <c r="Y26648" s="501"/>
    </row>
    <row r="26649" spans="25:25" hidden="1" x14ac:dyDescent="0.25">
      <c r="Y26649" s="501"/>
    </row>
    <row r="26650" spans="25:25" hidden="1" x14ac:dyDescent="0.25">
      <c r="Y26650" s="501"/>
    </row>
    <row r="26651" spans="25:25" hidden="1" x14ac:dyDescent="0.25">
      <c r="Y26651" s="501"/>
    </row>
    <row r="26652" spans="25:25" hidden="1" x14ac:dyDescent="0.25">
      <c r="Y26652" s="501"/>
    </row>
    <row r="26653" spans="25:25" hidden="1" x14ac:dyDescent="0.25">
      <c r="Y26653" s="501"/>
    </row>
    <row r="26654" spans="25:25" hidden="1" x14ac:dyDescent="0.25">
      <c r="Y26654" s="501"/>
    </row>
    <row r="26655" spans="25:25" hidden="1" x14ac:dyDescent="0.25">
      <c r="Y26655" s="501"/>
    </row>
    <row r="26656" spans="25:25" hidden="1" x14ac:dyDescent="0.25">
      <c r="Y26656" s="501"/>
    </row>
    <row r="26657" spans="25:25" hidden="1" x14ac:dyDescent="0.25">
      <c r="Y26657" s="501"/>
    </row>
    <row r="26658" spans="25:25" hidden="1" x14ac:dyDescent="0.25">
      <c r="Y26658" s="501"/>
    </row>
    <row r="26659" spans="25:25" hidden="1" x14ac:dyDescent="0.25">
      <c r="Y26659" s="501"/>
    </row>
    <row r="26660" spans="25:25" hidden="1" x14ac:dyDescent="0.25">
      <c r="Y26660" s="501"/>
    </row>
    <row r="26661" spans="25:25" hidden="1" x14ac:dyDescent="0.25">
      <c r="Y26661" s="501"/>
    </row>
    <row r="26662" spans="25:25" hidden="1" x14ac:dyDescent="0.25">
      <c r="Y26662" s="501"/>
    </row>
    <row r="26663" spans="25:25" hidden="1" x14ac:dyDescent="0.25">
      <c r="Y26663" s="501"/>
    </row>
    <row r="26664" spans="25:25" hidden="1" x14ac:dyDescent="0.25">
      <c r="Y26664" s="501"/>
    </row>
    <row r="26665" spans="25:25" hidden="1" x14ac:dyDescent="0.25">
      <c r="Y26665" s="501"/>
    </row>
    <row r="26666" spans="25:25" hidden="1" x14ac:dyDescent="0.25">
      <c r="Y26666" s="501"/>
    </row>
    <row r="26667" spans="25:25" hidden="1" x14ac:dyDescent="0.25">
      <c r="Y26667" s="501"/>
    </row>
    <row r="26668" spans="25:25" hidden="1" x14ac:dyDescent="0.25">
      <c r="Y26668" s="501"/>
    </row>
    <row r="26669" spans="25:25" hidden="1" x14ac:dyDescent="0.25">
      <c r="Y26669" s="501"/>
    </row>
    <row r="26670" spans="25:25" hidden="1" x14ac:dyDescent="0.25">
      <c r="Y26670" s="501"/>
    </row>
    <row r="26671" spans="25:25" hidden="1" x14ac:dyDescent="0.25">
      <c r="Y26671" s="501"/>
    </row>
    <row r="26672" spans="25:25" hidden="1" x14ac:dyDescent="0.25">
      <c r="Y26672" s="501"/>
    </row>
    <row r="26673" spans="25:25" hidden="1" x14ac:dyDescent="0.25">
      <c r="Y26673" s="501"/>
    </row>
    <row r="26674" spans="25:25" hidden="1" x14ac:dyDescent="0.25">
      <c r="Y26674" s="501"/>
    </row>
    <row r="26675" spans="25:25" hidden="1" x14ac:dyDescent="0.25">
      <c r="Y26675" s="501"/>
    </row>
    <row r="26676" spans="25:25" hidden="1" x14ac:dyDescent="0.25">
      <c r="Y26676" s="501"/>
    </row>
    <row r="26677" spans="25:25" hidden="1" x14ac:dyDescent="0.25">
      <c r="Y26677" s="501"/>
    </row>
    <row r="26678" spans="25:25" hidden="1" x14ac:dyDescent="0.25">
      <c r="Y26678" s="501"/>
    </row>
    <row r="26679" spans="25:25" hidden="1" x14ac:dyDescent="0.25">
      <c r="Y26679" s="501"/>
    </row>
    <row r="26680" spans="25:25" hidden="1" x14ac:dyDescent="0.25">
      <c r="Y26680" s="501"/>
    </row>
    <row r="26681" spans="25:25" hidden="1" x14ac:dyDescent="0.25">
      <c r="Y26681" s="501"/>
    </row>
    <row r="26682" spans="25:25" hidden="1" x14ac:dyDescent="0.25">
      <c r="Y26682" s="501"/>
    </row>
    <row r="26683" spans="25:25" hidden="1" x14ac:dyDescent="0.25">
      <c r="Y26683" s="501"/>
    </row>
    <row r="26684" spans="25:25" hidden="1" x14ac:dyDescent="0.25">
      <c r="Y26684" s="501"/>
    </row>
    <row r="26685" spans="25:25" hidden="1" x14ac:dyDescent="0.25">
      <c r="Y26685" s="501"/>
    </row>
    <row r="26686" spans="25:25" hidden="1" x14ac:dyDescent="0.25">
      <c r="Y26686" s="501"/>
    </row>
    <row r="26687" spans="25:25" hidden="1" x14ac:dyDescent="0.25">
      <c r="Y26687" s="501"/>
    </row>
    <row r="26688" spans="25:25" hidden="1" x14ac:dyDescent="0.25">
      <c r="Y26688" s="501"/>
    </row>
    <row r="26689" spans="25:25" hidden="1" x14ac:dyDescent="0.25">
      <c r="Y26689" s="501"/>
    </row>
    <row r="26690" spans="25:25" hidden="1" x14ac:dyDescent="0.25">
      <c r="Y26690" s="501"/>
    </row>
    <row r="26691" spans="25:25" hidden="1" x14ac:dyDescent="0.25">
      <c r="Y26691" s="501"/>
    </row>
    <row r="26692" spans="25:25" hidden="1" x14ac:dyDescent="0.25">
      <c r="Y26692" s="501"/>
    </row>
    <row r="26693" spans="25:25" hidden="1" x14ac:dyDescent="0.25">
      <c r="Y26693" s="501"/>
    </row>
    <row r="26694" spans="25:25" hidden="1" x14ac:dyDescent="0.25">
      <c r="Y26694" s="501"/>
    </row>
    <row r="26695" spans="25:25" hidden="1" x14ac:dyDescent="0.25">
      <c r="Y26695" s="501"/>
    </row>
    <row r="26696" spans="25:25" hidden="1" x14ac:dyDescent="0.25">
      <c r="Y26696" s="501"/>
    </row>
    <row r="26697" spans="25:25" hidden="1" x14ac:dyDescent="0.25">
      <c r="Y26697" s="501"/>
    </row>
    <row r="26698" spans="25:25" hidden="1" x14ac:dyDescent="0.25">
      <c r="Y26698" s="501"/>
    </row>
    <row r="26699" spans="25:25" hidden="1" x14ac:dyDescent="0.25">
      <c r="Y26699" s="501"/>
    </row>
    <row r="26700" spans="25:25" hidden="1" x14ac:dyDescent="0.25">
      <c r="Y26700" s="501"/>
    </row>
    <row r="26701" spans="25:25" hidden="1" x14ac:dyDescent="0.25">
      <c r="Y26701" s="501"/>
    </row>
    <row r="26702" spans="25:25" hidden="1" x14ac:dyDescent="0.25">
      <c r="Y26702" s="501"/>
    </row>
    <row r="26703" spans="25:25" hidden="1" x14ac:dyDescent="0.25">
      <c r="Y26703" s="501"/>
    </row>
    <row r="26704" spans="25:25" hidden="1" x14ac:dyDescent="0.25">
      <c r="Y26704" s="501"/>
    </row>
    <row r="26705" spans="25:25" hidden="1" x14ac:dyDescent="0.25">
      <c r="Y26705" s="501"/>
    </row>
    <row r="26706" spans="25:25" hidden="1" x14ac:dyDescent="0.25">
      <c r="Y26706" s="501"/>
    </row>
    <row r="26707" spans="25:25" hidden="1" x14ac:dyDescent="0.25">
      <c r="Y26707" s="501"/>
    </row>
    <row r="26708" spans="25:25" hidden="1" x14ac:dyDescent="0.25">
      <c r="Y26708" s="501"/>
    </row>
    <row r="26709" spans="25:25" hidden="1" x14ac:dyDescent="0.25">
      <c r="Y26709" s="501"/>
    </row>
    <row r="26710" spans="25:25" hidden="1" x14ac:dyDescent="0.25">
      <c r="Y26710" s="501"/>
    </row>
    <row r="26711" spans="25:25" hidden="1" x14ac:dyDescent="0.25">
      <c r="Y26711" s="501"/>
    </row>
    <row r="26712" spans="25:25" hidden="1" x14ac:dyDescent="0.25">
      <c r="Y26712" s="501"/>
    </row>
    <row r="26713" spans="25:25" hidden="1" x14ac:dyDescent="0.25">
      <c r="Y26713" s="501"/>
    </row>
    <row r="26714" spans="25:25" hidden="1" x14ac:dyDescent="0.25">
      <c r="Y26714" s="501"/>
    </row>
    <row r="26715" spans="25:25" hidden="1" x14ac:dyDescent="0.25">
      <c r="Y26715" s="501"/>
    </row>
    <row r="26716" spans="25:25" hidden="1" x14ac:dyDescent="0.25">
      <c r="Y26716" s="501"/>
    </row>
    <row r="26717" spans="25:25" hidden="1" x14ac:dyDescent="0.25">
      <c r="Y26717" s="501"/>
    </row>
    <row r="26718" spans="25:25" hidden="1" x14ac:dyDescent="0.25">
      <c r="Y26718" s="501"/>
    </row>
    <row r="26719" spans="25:25" hidden="1" x14ac:dyDescent="0.25">
      <c r="Y26719" s="501"/>
    </row>
    <row r="26720" spans="25:25" hidden="1" x14ac:dyDescent="0.25">
      <c r="Y26720" s="501"/>
    </row>
    <row r="26721" spans="25:25" hidden="1" x14ac:dyDescent="0.25">
      <c r="Y26721" s="501"/>
    </row>
    <row r="26722" spans="25:25" hidden="1" x14ac:dyDescent="0.25">
      <c r="Y26722" s="501"/>
    </row>
    <row r="26723" spans="25:25" hidden="1" x14ac:dyDescent="0.25">
      <c r="Y26723" s="501"/>
    </row>
    <row r="26724" spans="25:25" hidden="1" x14ac:dyDescent="0.25">
      <c r="Y26724" s="501"/>
    </row>
    <row r="26725" spans="25:25" hidden="1" x14ac:dyDescent="0.25">
      <c r="Y26725" s="501"/>
    </row>
    <row r="26726" spans="25:25" hidden="1" x14ac:dyDescent="0.25">
      <c r="Y26726" s="501"/>
    </row>
    <row r="26727" spans="25:25" hidden="1" x14ac:dyDescent="0.25">
      <c r="Y26727" s="501"/>
    </row>
    <row r="26728" spans="25:25" hidden="1" x14ac:dyDescent="0.25">
      <c r="Y26728" s="501"/>
    </row>
    <row r="26729" spans="25:25" hidden="1" x14ac:dyDescent="0.25">
      <c r="Y26729" s="501"/>
    </row>
    <row r="26730" spans="25:25" hidden="1" x14ac:dyDescent="0.25">
      <c r="Y26730" s="501"/>
    </row>
    <row r="26731" spans="25:25" hidden="1" x14ac:dyDescent="0.25">
      <c r="Y26731" s="501"/>
    </row>
    <row r="26732" spans="25:25" hidden="1" x14ac:dyDescent="0.25">
      <c r="Y26732" s="501"/>
    </row>
    <row r="26733" spans="25:25" hidden="1" x14ac:dyDescent="0.25">
      <c r="Y26733" s="501"/>
    </row>
    <row r="26734" spans="25:25" hidden="1" x14ac:dyDescent="0.25">
      <c r="Y26734" s="501"/>
    </row>
    <row r="26735" spans="25:25" hidden="1" x14ac:dyDescent="0.25">
      <c r="Y26735" s="501"/>
    </row>
    <row r="26736" spans="25:25" hidden="1" x14ac:dyDescent="0.25">
      <c r="Y26736" s="501"/>
    </row>
    <row r="26737" spans="25:25" hidden="1" x14ac:dyDescent="0.25">
      <c r="Y26737" s="501"/>
    </row>
    <row r="26738" spans="25:25" hidden="1" x14ac:dyDescent="0.25">
      <c r="Y26738" s="501"/>
    </row>
    <row r="26739" spans="25:25" hidden="1" x14ac:dyDescent="0.25">
      <c r="Y26739" s="501"/>
    </row>
    <row r="26740" spans="25:25" hidden="1" x14ac:dyDescent="0.25">
      <c r="Y26740" s="501"/>
    </row>
    <row r="26741" spans="25:25" hidden="1" x14ac:dyDescent="0.25">
      <c r="Y26741" s="501"/>
    </row>
    <row r="26742" spans="25:25" hidden="1" x14ac:dyDescent="0.25">
      <c r="Y26742" s="501"/>
    </row>
    <row r="26743" spans="25:25" hidden="1" x14ac:dyDescent="0.25">
      <c r="Y26743" s="501"/>
    </row>
    <row r="26744" spans="25:25" hidden="1" x14ac:dyDescent="0.25">
      <c r="Y26744" s="501"/>
    </row>
    <row r="26745" spans="25:25" hidden="1" x14ac:dyDescent="0.25">
      <c r="Y26745" s="501"/>
    </row>
    <row r="26746" spans="25:25" hidden="1" x14ac:dyDescent="0.25">
      <c r="Y26746" s="501"/>
    </row>
    <row r="26747" spans="25:25" hidden="1" x14ac:dyDescent="0.25">
      <c r="Y26747" s="501"/>
    </row>
    <row r="26748" spans="25:25" hidden="1" x14ac:dyDescent="0.25">
      <c r="Y26748" s="501"/>
    </row>
    <row r="26749" spans="25:25" hidden="1" x14ac:dyDescent="0.25">
      <c r="Y26749" s="501"/>
    </row>
    <row r="26750" spans="25:25" hidden="1" x14ac:dyDescent="0.25">
      <c r="Y26750" s="501"/>
    </row>
    <row r="26751" spans="25:25" hidden="1" x14ac:dyDescent="0.25">
      <c r="Y26751" s="501"/>
    </row>
    <row r="26752" spans="25:25" hidden="1" x14ac:dyDescent="0.25">
      <c r="Y26752" s="501"/>
    </row>
    <row r="26753" spans="25:25" hidden="1" x14ac:dyDescent="0.25">
      <c r="Y26753" s="501"/>
    </row>
    <row r="26754" spans="25:25" hidden="1" x14ac:dyDescent="0.25">
      <c r="Y26754" s="501"/>
    </row>
    <row r="26755" spans="25:25" hidden="1" x14ac:dyDescent="0.25">
      <c r="Y26755" s="501"/>
    </row>
    <row r="26756" spans="25:25" hidden="1" x14ac:dyDescent="0.25">
      <c r="Y26756" s="501"/>
    </row>
    <row r="26757" spans="25:25" hidden="1" x14ac:dyDescent="0.25">
      <c r="Y26757" s="501"/>
    </row>
    <row r="26758" spans="25:25" hidden="1" x14ac:dyDescent="0.25">
      <c r="Y26758" s="501"/>
    </row>
    <row r="26759" spans="25:25" hidden="1" x14ac:dyDescent="0.25">
      <c r="Y26759" s="501"/>
    </row>
    <row r="26760" spans="25:25" hidden="1" x14ac:dyDescent="0.25">
      <c r="Y26760" s="501"/>
    </row>
    <row r="26761" spans="25:25" hidden="1" x14ac:dyDescent="0.25">
      <c r="Y26761" s="501"/>
    </row>
    <row r="26762" spans="25:25" hidden="1" x14ac:dyDescent="0.25">
      <c r="Y26762" s="501"/>
    </row>
    <row r="26763" spans="25:25" hidden="1" x14ac:dyDescent="0.25">
      <c r="Y26763" s="501"/>
    </row>
    <row r="26764" spans="25:25" hidden="1" x14ac:dyDescent="0.25">
      <c r="Y26764" s="501"/>
    </row>
    <row r="26765" spans="25:25" hidden="1" x14ac:dyDescent="0.25">
      <c r="Y26765" s="501"/>
    </row>
    <row r="26766" spans="25:25" hidden="1" x14ac:dyDescent="0.25">
      <c r="Y26766" s="501"/>
    </row>
    <row r="26767" spans="25:25" hidden="1" x14ac:dyDescent="0.25">
      <c r="Y26767" s="501"/>
    </row>
    <row r="26768" spans="25:25" hidden="1" x14ac:dyDescent="0.25">
      <c r="Y26768" s="501"/>
    </row>
    <row r="26769" spans="25:25" hidden="1" x14ac:dyDescent="0.25">
      <c r="Y26769" s="501"/>
    </row>
    <row r="26770" spans="25:25" hidden="1" x14ac:dyDescent="0.25">
      <c r="Y26770" s="501"/>
    </row>
    <row r="26771" spans="25:25" hidden="1" x14ac:dyDescent="0.25">
      <c r="Y26771" s="501"/>
    </row>
    <row r="26772" spans="25:25" hidden="1" x14ac:dyDescent="0.25">
      <c r="Y26772" s="501"/>
    </row>
    <row r="26773" spans="25:25" hidden="1" x14ac:dyDescent="0.25">
      <c r="Y26773" s="501"/>
    </row>
    <row r="26774" spans="25:25" hidden="1" x14ac:dyDescent="0.25">
      <c r="Y26774" s="501"/>
    </row>
    <row r="26775" spans="25:25" hidden="1" x14ac:dyDescent="0.25">
      <c r="Y26775" s="501"/>
    </row>
    <row r="26776" spans="25:25" hidden="1" x14ac:dyDescent="0.25">
      <c r="Y26776" s="501"/>
    </row>
    <row r="26777" spans="25:25" hidden="1" x14ac:dyDescent="0.25">
      <c r="Y26777" s="501"/>
    </row>
    <row r="26778" spans="25:25" hidden="1" x14ac:dyDescent="0.25">
      <c r="Y26778" s="501"/>
    </row>
    <row r="26779" spans="25:25" hidden="1" x14ac:dyDescent="0.25">
      <c r="Y26779" s="501"/>
    </row>
    <row r="26780" spans="25:25" hidden="1" x14ac:dyDescent="0.25">
      <c r="Y26780" s="501"/>
    </row>
    <row r="26781" spans="25:25" hidden="1" x14ac:dyDescent="0.25">
      <c r="Y26781" s="501"/>
    </row>
    <row r="26782" spans="25:25" hidden="1" x14ac:dyDescent="0.25">
      <c r="Y26782" s="501"/>
    </row>
    <row r="26783" spans="25:25" hidden="1" x14ac:dyDescent="0.25">
      <c r="Y26783" s="501"/>
    </row>
    <row r="26784" spans="25:25" hidden="1" x14ac:dyDescent="0.25">
      <c r="Y26784" s="501"/>
    </row>
    <row r="26785" spans="25:25" hidden="1" x14ac:dyDescent="0.25">
      <c r="Y26785" s="501"/>
    </row>
    <row r="26786" spans="25:25" hidden="1" x14ac:dyDescent="0.25">
      <c r="Y26786" s="501"/>
    </row>
    <row r="26787" spans="25:25" hidden="1" x14ac:dyDescent="0.25">
      <c r="Y26787" s="501"/>
    </row>
    <row r="26788" spans="25:25" hidden="1" x14ac:dyDescent="0.25">
      <c r="Y26788" s="501"/>
    </row>
    <row r="26789" spans="25:25" hidden="1" x14ac:dyDescent="0.25">
      <c r="Y26789" s="501"/>
    </row>
    <row r="26790" spans="25:25" hidden="1" x14ac:dyDescent="0.25">
      <c r="Y26790" s="501"/>
    </row>
    <row r="26791" spans="25:25" hidden="1" x14ac:dyDescent="0.25">
      <c r="Y26791" s="501"/>
    </row>
    <row r="26792" spans="25:25" hidden="1" x14ac:dyDescent="0.25">
      <c r="Y26792" s="501"/>
    </row>
    <row r="26793" spans="25:25" hidden="1" x14ac:dyDescent="0.25">
      <c r="Y26793" s="501"/>
    </row>
    <row r="26794" spans="25:25" hidden="1" x14ac:dyDescent="0.25">
      <c r="Y26794" s="501"/>
    </row>
    <row r="26795" spans="25:25" hidden="1" x14ac:dyDescent="0.25">
      <c r="Y26795" s="501"/>
    </row>
    <row r="26796" spans="25:25" hidden="1" x14ac:dyDescent="0.25">
      <c r="Y26796" s="501"/>
    </row>
    <row r="26797" spans="25:25" hidden="1" x14ac:dyDescent="0.25">
      <c r="Y26797" s="501"/>
    </row>
    <row r="26798" spans="25:25" hidden="1" x14ac:dyDescent="0.25">
      <c r="Y26798" s="501"/>
    </row>
    <row r="26799" spans="25:25" hidden="1" x14ac:dyDescent="0.25">
      <c r="Y26799" s="501"/>
    </row>
    <row r="26800" spans="25:25" hidden="1" x14ac:dyDescent="0.25">
      <c r="Y26800" s="501"/>
    </row>
    <row r="26801" spans="25:25" hidden="1" x14ac:dyDescent="0.25">
      <c r="Y26801" s="501"/>
    </row>
    <row r="26802" spans="25:25" hidden="1" x14ac:dyDescent="0.25">
      <c r="Y26802" s="501"/>
    </row>
    <row r="26803" spans="25:25" hidden="1" x14ac:dyDescent="0.25">
      <c r="Y26803" s="501"/>
    </row>
    <row r="26804" spans="25:25" hidden="1" x14ac:dyDescent="0.25">
      <c r="Y26804" s="501"/>
    </row>
    <row r="26805" spans="25:25" hidden="1" x14ac:dyDescent="0.25">
      <c r="Y26805" s="501"/>
    </row>
    <row r="26806" spans="25:25" hidden="1" x14ac:dyDescent="0.25">
      <c r="Y26806" s="501"/>
    </row>
    <row r="26807" spans="25:25" hidden="1" x14ac:dyDescent="0.25">
      <c r="Y26807" s="501"/>
    </row>
    <row r="26808" spans="25:25" hidden="1" x14ac:dyDescent="0.25">
      <c r="Y26808" s="501"/>
    </row>
    <row r="26809" spans="25:25" hidden="1" x14ac:dyDescent="0.25">
      <c r="Y26809" s="501"/>
    </row>
    <row r="26810" spans="25:25" hidden="1" x14ac:dyDescent="0.25">
      <c r="Y26810" s="501"/>
    </row>
    <row r="26811" spans="25:25" hidden="1" x14ac:dyDescent="0.25">
      <c r="Y26811" s="501"/>
    </row>
    <row r="26812" spans="25:25" hidden="1" x14ac:dyDescent="0.25">
      <c r="Y26812" s="501"/>
    </row>
    <row r="26813" spans="25:25" hidden="1" x14ac:dyDescent="0.25">
      <c r="Y26813" s="501"/>
    </row>
    <row r="26814" spans="25:25" hidden="1" x14ac:dyDescent="0.25">
      <c r="Y26814" s="501"/>
    </row>
    <row r="26815" spans="25:25" hidden="1" x14ac:dyDescent="0.25">
      <c r="Y26815" s="501"/>
    </row>
    <row r="26816" spans="25:25" hidden="1" x14ac:dyDescent="0.25">
      <c r="Y26816" s="501"/>
    </row>
    <row r="26817" spans="25:25" hidden="1" x14ac:dyDescent="0.25">
      <c r="Y26817" s="501"/>
    </row>
    <row r="26818" spans="25:25" hidden="1" x14ac:dyDescent="0.25">
      <c r="Y26818" s="501"/>
    </row>
    <row r="26819" spans="25:25" hidden="1" x14ac:dyDescent="0.25">
      <c r="Y26819" s="501"/>
    </row>
    <row r="26820" spans="25:25" hidden="1" x14ac:dyDescent="0.25">
      <c r="Y26820" s="501"/>
    </row>
    <row r="26821" spans="25:25" hidden="1" x14ac:dyDescent="0.25">
      <c r="Y26821" s="501"/>
    </row>
    <row r="26822" spans="25:25" hidden="1" x14ac:dyDescent="0.25">
      <c r="Y26822" s="501"/>
    </row>
    <row r="26823" spans="25:25" hidden="1" x14ac:dyDescent="0.25">
      <c r="Y26823" s="501"/>
    </row>
    <row r="26824" spans="25:25" hidden="1" x14ac:dyDescent="0.25">
      <c r="Y26824" s="501"/>
    </row>
    <row r="26825" spans="25:25" hidden="1" x14ac:dyDescent="0.25">
      <c r="Y26825" s="501"/>
    </row>
    <row r="26826" spans="25:25" hidden="1" x14ac:dyDescent="0.25">
      <c r="Y26826" s="501"/>
    </row>
    <row r="26827" spans="25:25" hidden="1" x14ac:dyDescent="0.25">
      <c r="Y26827" s="501"/>
    </row>
    <row r="26828" spans="25:25" hidden="1" x14ac:dyDescent="0.25">
      <c r="Y26828" s="501"/>
    </row>
    <row r="26829" spans="25:25" hidden="1" x14ac:dyDescent="0.25">
      <c r="Y26829" s="501"/>
    </row>
    <row r="26830" spans="25:25" hidden="1" x14ac:dyDescent="0.25">
      <c r="Y26830" s="501"/>
    </row>
    <row r="26831" spans="25:25" hidden="1" x14ac:dyDescent="0.25">
      <c r="Y26831" s="501"/>
    </row>
    <row r="26832" spans="25:25" hidden="1" x14ac:dyDescent="0.25">
      <c r="Y26832" s="501"/>
    </row>
    <row r="26833" spans="25:25" hidden="1" x14ac:dyDescent="0.25">
      <c r="Y26833" s="501"/>
    </row>
    <row r="26834" spans="25:25" hidden="1" x14ac:dyDescent="0.25">
      <c r="Y26834" s="501"/>
    </row>
    <row r="26835" spans="25:25" hidden="1" x14ac:dyDescent="0.25">
      <c r="Y26835" s="501"/>
    </row>
    <row r="26836" spans="25:25" hidden="1" x14ac:dyDescent="0.25">
      <c r="Y26836" s="501"/>
    </row>
    <row r="26837" spans="25:25" hidden="1" x14ac:dyDescent="0.25">
      <c r="Y26837" s="501"/>
    </row>
    <row r="26838" spans="25:25" hidden="1" x14ac:dyDescent="0.25">
      <c r="Y26838" s="501"/>
    </row>
    <row r="26839" spans="25:25" hidden="1" x14ac:dyDescent="0.25">
      <c r="Y26839" s="501"/>
    </row>
    <row r="26840" spans="25:25" hidden="1" x14ac:dyDescent="0.25">
      <c r="Y26840" s="501"/>
    </row>
    <row r="26841" spans="25:25" hidden="1" x14ac:dyDescent="0.25">
      <c r="Y26841" s="501"/>
    </row>
    <row r="26842" spans="25:25" hidden="1" x14ac:dyDescent="0.25">
      <c r="Y26842" s="501"/>
    </row>
    <row r="26843" spans="25:25" hidden="1" x14ac:dyDescent="0.25">
      <c r="Y26843" s="501"/>
    </row>
    <row r="26844" spans="25:25" hidden="1" x14ac:dyDescent="0.25">
      <c r="Y26844" s="501"/>
    </row>
    <row r="26845" spans="25:25" hidden="1" x14ac:dyDescent="0.25">
      <c r="Y26845" s="501"/>
    </row>
    <row r="26846" spans="25:25" hidden="1" x14ac:dyDescent="0.25">
      <c r="Y26846" s="501"/>
    </row>
    <row r="26847" spans="25:25" hidden="1" x14ac:dyDescent="0.25">
      <c r="Y26847" s="501"/>
    </row>
    <row r="26848" spans="25:25" hidden="1" x14ac:dyDescent="0.25">
      <c r="Y26848" s="501"/>
    </row>
    <row r="26849" spans="25:25" hidden="1" x14ac:dyDescent="0.25">
      <c r="Y26849" s="501"/>
    </row>
    <row r="26850" spans="25:25" hidden="1" x14ac:dyDescent="0.25">
      <c r="Y26850" s="501"/>
    </row>
    <row r="26851" spans="25:25" hidden="1" x14ac:dyDescent="0.25">
      <c r="Y26851" s="501"/>
    </row>
    <row r="26852" spans="25:25" hidden="1" x14ac:dyDescent="0.25">
      <c r="Y26852" s="501"/>
    </row>
    <row r="26853" spans="25:25" hidden="1" x14ac:dyDescent="0.25">
      <c r="Y26853" s="501"/>
    </row>
    <row r="26854" spans="25:25" hidden="1" x14ac:dyDescent="0.25">
      <c r="Y26854" s="501"/>
    </row>
    <row r="26855" spans="25:25" hidden="1" x14ac:dyDescent="0.25">
      <c r="Y26855" s="501"/>
    </row>
    <row r="26856" spans="25:25" hidden="1" x14ac:dyDescent="0.25">
      <c r="Y26856" s="501"/>
    </row>
    <row r="26857" spans="25:25" hidden="1" x14ac:dyDescent="0.25">
      <c r="Y26857" s="501"/>
    </row>
    <row r="26858" spans="25:25" hidden="1" x14ac:dyDescent="0.25">
      <c r="Y26858" s="501"/>
    </row>
    <row r="26859" spans="25:25" hidden="1" x14ac:dyDescent="0.25">
      <c r="Y26859" s="501"/>
    </row>
    <row r="26860" spans="25:25" hidden="1" x14ac:dyDescent="0.25">
      <c r="Y26860" s="501"/>
    </row>
    <row r="26861" spans="25:25" hidden="1" x14ac:dyDescent="0.25">
      <c r="Y26861" s="501"/>
    </row>
    <row r="26862" spans="25:25" hidden="1" x14ac:dyDescent="0.25">
      <c r="Y26862" s="501"/>
    </row>
    <row r="26863" spans="25:25" hidden="1" x14ac:dyDescent="0.25">
      <c r="Y26863" s="501"/>
    </row>
    <row r="26864" spans="25:25" hidden="1" x14ac:dyDescent="0.25">
      <c r="Y26864" s="501"/>
    </row>
    <row r="26865" spans="25:25" hidden="1" x14ac:dyDescent="0.25">
      <c r="Y26865" s="501"/>
    </row>
    <row r="26866" spans="25:25" hidden="1" x14ac:dyDescent="0.25">
      <c r="Y26866" s="501"/>
    </row>
    <row r="26867" spans="25:25" hidden="1" x14ac:dyDescent="0.25">
      <c r="Y26867" s="501"/>
    </row>
    <row r="26868" spans="25:25" hidden="1" x14ac:dyDescent="0.25">
      <c r="Y26868" s="501"/>
    </row>
    <row r="26869" spans="25:25" hidden="1" x14ac:dyDescent="0.25">
      <c r="Y26869" s="501"/>
    </row>
    <row r="26870" spans="25:25" hidden="1" x14ac:dyDescent="0.25">
      <c r="Y26870" s="501"/>
    </row>
    <row r="26871" spans="25:25" hidden="1" x14ac:dyDescent="0.25">
      <c r="Y26871" s="501"/>
    </row>
    <row r="26872" spans="25:25" hidden="1" x14ac:dyDescent="0.25">
      <c r="Y26872" s="501"/>
    </row>
    <row r="26873" spans="25:25" hidden="1" x14ac:dyDescent="0.25">
      <c r="Y26873" s="501"/>
    </row>
    <row r="26874" spans="25:25" hidden="1" x14ac:dyDescent="0.25">
      <c r="Y26874" s="501"/>
    </row>
    <row r="26875" spans="25:25" hidden="1" x14ac:dyDescent="0.25">
      <c r="Y26875" s="501"/>
    </row>
    <row r="26876" spans="25:25" hidden="1" x14ac:dyDescent="0.25">
      <c r="Y26876" s="501"/>
    </row>
    <row r="26877" spans="25:25" hidden="1" x14ac:dyDescent="0.25">
      <c r="Y26877" s="501"/>
    </row>
    <row r="26878" spans="25:25" hidden="1" x14ac:dyDescent="0.25">
      <c r="Y26878" s="501"/>
    </row>
    <row r="26879" spans="25:25" hidden="1" x14ac:dyDescent="0.25">
      <c r="Y26879" s="501"/>
    </row>
    <row r="26880" spans="25:25" hidden="1" x14ac:dyDescent="0.25">
      <c r="Y26880" s="501"/>
    </row>
    <row r="26881" spans="25:25" hidden="1" x14ac:dyDescent="0.25">
      <c r="Y26881" s="501"/>
    </row>
    <row r="26882" spans="25:25" hidden="1" x14ac:dyDescent="0.25">
      <c r="Y26882" s="501"/>
    </row>
    <row r="26883" spans="25:25" hidden="1" x14ac:dyDescent="0.25">
      <c r="Y26883" s="501"/>
    </row>
    <row r="26884" spans="25:25" hidden="1" x14ac:dyDescent="0.25">
      <c r="Y26884" s="501"/>
    </row>
    <row r="26885" spans="25:25" hidden="1" x14ac:dyDescent="0.25">
      <c r="Y26885" s="501"/>
    </row>
    <row r="26886" spans="25:25" hidden="1" x14ac:dyDescent="0.25">
      <c r="Y26886" s="501"/>
    </row>
    <row r="26887" spans="25:25" hidden="1" x14ac:dyDescent="0.25">
      <c r="Y26887" s="501"/>
    </row>
    <row r="26888" spans="25:25" hidden="1" x14ac:dyDescent="0.25">
      <c r="Y26888" s="501"/>
    </row>
    <row r="26889" spans="25:25" hidden="1" x14ac:dyDescent="0.25">
      <c r="Y26889" s="501"/>
    </row>
    <row r="26890" spans="25:25" hidden="1" x14ac:dyDescent="0.25">
      <c r="Y26890" s="501"/>
    </row>
    <row r="26891" spans="25:25" hidden="1" x14ac:dyDescent="0.25">
      <c r="Y26891" s="501"/>
    </row>
    <row r="26892" spans="25:25" hidden="1" x14ac:dyDescent="0.25">
      <c r="Y26892" s="501"/>
    </row>
    <row r="26893" spans="25:25" hidden="1" x14ac:dyDescent="0.25">
      <c r="Y26893" s="501"/>
    </row>
    <row r="26894" spans="25:25" hidden="1" x14ac:dyDescent="0.25">
      <c r="Y26894" s="501"/>
    </row>
    <row r="26895" spans="25:25" hidden="1" x14ac:dyDescent="0.25">
      <c r="Y26895" s="501"/>
    </row>
    <row r="26896" spans="25:25" hidden="1" x14ac:dyDescent="0.25">
      <c r="Y26896" s="501"/>
    </row>
    <row r="26897" spans="25:25" hidden="1" x14ac:dyDescent="0.25">
      <c r="Y26897" s="501"/>
    </row>
    <row r="26898" spans="25:25" hidden="1" x14ac:dyDescent="0.25">
      <c r="Y26898" s="501"/>
    </row>
    <row r="26899" spans="25:25" hidden="1" x14ac:dyDescent="0.25">
      <c r="Y26899" s="501"/>
    </row>
    <row r="26900" spans="25:25" hidden="1" x14ac:dyDescent="0.25">
      <c r="Y26900" s="501"/>
    </row>
    <row r="26901" spans="25:25" hidden="1" x14ac:dyDescent="0.25">
      <c r="Y26901" s="501"/>
    </row>
    <row r="26902" spans="25:25" hidden="1" x14ac:dyDescent="0.25">
      <c r="Y26902" s="501"/>
    </row>
    <row r="26903" spans="25:25" hidden="1" x14ac:dyDescent="0.25">
      <c r="Y26903" s="501"/>
    </row>
    <row r="26904" spans="25:25" hidden="1" x14ac:dyDescent="0.25">
      <c r="Y26904" s="501"/>
    </row>
    <row r="26905" spans="25:25" hidden="1" x14ac:dyDescent="0.25">
      <c r="Y26905" s="501"/>
    </row>
    <row r="26906" spans="25:25" hidden="1" x14ac:dyDescent="0.25">
      <c r="Y26906" s="501"/>
    </row>
    <row r="26907" spans="25:25" hidden="1" x14ac:dyDescent="0.25">
      <c r="Y26907" s="501"/>
    </row>
    <row r="26908" spans="25:25" hidden="1" x14ac:dyDescent="0.25">
      <c r="Y26908" s="501"/>
    </row>
    <row r="26909" spans="25:25" hidden="1" x14ac:dyDescent="0.25">
      <c r="Y26909" s="501"/>
    </row>
    <row r="26910" spans="25:25" hidden="1" x14ac:dyDescent="0.25">
      <c r="Y26910" s="501"/>
    </row>
    <row r="26911" spans="25:25" hidden="1" x14ac:dyDescent="0.25">
      <c r="Y26911" s="501"/>
    </row>
    <row r="26912" spans="25:25" hidden="1" x14ac:dyDescent="0.25">
      <c r="Y26912" s="501"/>
    </row>
    <row r="26913" spans="25:25" hidden="1" x14ac:dyDescent="0.25">
      <c r="Y26913" s="501"/>
    </row>
    <row r="26914" spans="25:25" hidden="1" x14ac:dyDescent="0.25">
      <c r="Y26914" s="501"/>
    </row>
    <row r="26915" spans="25:25" hidden="1" x14ac:dyDescent="0.25">
      <c r="Y26915" s="501"/>
    </row>
    <row r="26916" spans="25:25" hidden="1" x14ac:dyDescent="0.25">
      <c r="Y26916" s="501"/>
    </row>
    <row r="26917" spans="25:25" hidden="1" x14ac:dyDescent="0.25">
      <c r="Y26917" s="501"/>
    </row>
    <row r="26918" spans="25:25" hidden="1" x14ac:dyDescent="0.25">
      <c r="Y26918" s="501"/>
    </row>
    <row r="26919" spans="25:25" hidden="1" x14ac:dyDescent="0.25">
      <c r="Y26919" s="501"/>
    </row>
    <row r="26920" spans="25:25" hidden="1" x14ac:dyDescent="0.25">
      <c r="Y26920" s="501"/>
    </row>
    <row r="26921" spans="25:25" hidden="1" x14ac:dyDescent="0.25">
      <c r="Y26921" s="501"/>
    </row>
    <row r="26922" spans="25:25" hidden="1" x14ac:dyDescent="0.25">
      <c r="Y26922" s="501"/>
    </row>
    <row r="26923" spans="25:25" hidden="1" x14ac:dyDescent="0.25">
      <c r="Y26923" s="501"/>
    </row>
    <row r="26924" spans="25:25" hidden="1" x14ac:dyDescent="0.25">
      <c r="Y26924" s="501"/>
    </row>
    <row r="26925" spans="25:25" hidden="1" x14ac:dyDescent="0.25">
      <c r="Y26925" s="501"/>
    </row>
    <row r="26926" spans="25:25" hidden="1" x14ac:dyDescent="0.25">
      <c r="Y26926" s="501"/>
    </row>
    <row r="26927" spans="25:25" hidden="1" x14ac:dyDescent="0.25">
      <c r="Y26927" s="501"/>
    </row>
    <row r="26928" spans="25:25" hidden="1" x14ac:dyDescent="0.25">
      <c r="Y26928" s="501"/>
    </row>
    <row r="26929" spans="25:25" hidden="1" x14ac:dyDescent="0.25">
      <c r="Y26929" s="501"/>
    </row>
    <row r="26930" spans="25:25" hidden="1" x14ac:dyDescent="0.25">
      <c r="Y26930" s="501"/>
    </row>
    <row r="26931" spans="25:25" hidden="1" x14ac:dyDescent="0.25">
      <c r="Y26931" s="501"/>
    </row>
    <row r="26932" spans="25:25" hidden="1" x14ac:dyDescent="0.25">
      <c r="Y26932" s="501"/>
    </row>
    <row r="26933" spans="25:25" hidden="1" x14ac:dyDescent="0.25">
      <c r="Y26933" s="501"/>
    </row>
    <row r="26934" spans="25:25" hidden="1" x14ac:dyDescent="0.25">
      <c r="Y26934" s="501"/>
    </row>
    <row r="26935" spans="25:25" hidden="1" x14ac:dyDescent="0.25">
      <c r="Y26935" s="501"/>
    </row>
    <row r="26936" spans="25:25" hidden="1" x14ac:dyDescent="0.25">
      <c r="Y26936" s="501"/>
    </row>
    <row r="26937" spans="25:25" hidden="1" x14ac:dyDescent="0.25">
      <c r="Y26937" s="501"/>
    </row>
    <row r="26938" spans="25:25" hidden="1" x14ac:dyDescent="0.25">
      <c r="Y26938" s="501"/>
    </row>
    <row r="26939" spans="25:25" hidden="1" x14ac:dyDescent="0.25">
      <c r="Y26939" s="501"/>
    </row>
    <row r="26940" spans="25:25" hidden="1" x14ac:dyDescent="0.25">
      <c r="Y26940" s="501"/>
    </row>
    <row r="26941" spans="25:25" hidden="1" x14ac:dyDescent="0.25">
      <c r="Y26941" s="501"/>
    </row>
    <row r="26942" spans="25:25" hidden="1" x14ac:dyDescent="0.25">
      <c r="Y26942" s="501"/>
    </row>
    <row r="26943" spans="25:25" hidden="1" x14ac:dyDescent="0.25">
      <c r="Y26943" s="501"/>
    </row>
    <row r="26944" spans="25:25" hidden="1" x14ac:dyDescent="0.25">
      <c r="Y26944" s="501"/>
    </row>
    <row r="26945" spans="25:25" hidden="1" x14ac:dyDescent="0.25">
      <c r="Y26945" s="501"/>
    </row>
    <row r="26946" spans="25:25" hidden="1" x14ac:dyDescent="0.25">
      <c r="Y26946" s="501"/>
    </row>
    <row r="26947" spans="25:25" hidden="1" x14ac:dyDescent="0.25">
      <c r="Y26947" s="501"/>
    </row>
    <row r="26948" spans="25:25" hidden="1" x14ac:dyDescent="0.25">
      <c r="Y26948" s="501"/>
    </row>
    <row r="26949" spans="25:25" hidden="1" x14ac:dyDescent="0.25">
      <c r="Y26949" s="501"/>
    </row>
    <row r="26950" spans="25:25" hidden="1" x14ac:dyDescent="0.25">
      <c r="Y26950" s="501"/>
    </row>
    <row r="26951" spans="25:25" hidden="1" x14ac:dyDescent="0.25">
      <c r="Y26951" s="501"/>
    </row>
    <row r="26952" spans="25:25" hidden="1" x14ac:dyDescent="0.25">
      <c r="Y26952" s="501"/>
    </row>
    <row r="26953" spans="25:25" hidden="1" x14ac:dyDescent="0.25">
      <c r="Y26953" s="501"/>
    </row>
    <row r="26954" spans="25:25" hidden="1" x14ac:dyDescent="0.25">
      <c r="Y26954" s="501"/>
    </row>
    <row r="26955" spans="25:25" hidden="1" x14ac:dyDescent="0.25">
      <c r="Y26955" s="501"/>
    </row>
    <row r="26956" spans="25:25" hidden="1" x14ac:dyDescent="0.25">
      <c r="Y26956" s="501"/>
    </row>
    <row r="26957" spans="25:25" hidden="1" x14ac:dyDescent="0.25">
      <c r="Y26957" s="501"/>
    </row>
    <row r="26958" spans="25:25" hidden="1" x14ac:dyDescent="0.25">
      <c r="Y26958" s="501"/>
    </row>
    <row r="26959" spans="25:25" hidden="1" x14ac:dyDescent="0.25">
      <c r="Y26959" s="501"/>
    </row>
    <row r="26960" spans="25:25" hidden="1" x14ac:dyDescent="0.25">
      <c r="Y26960" s="501"/>
    </row>
    <row r="26961" spans="25:25" hidden="1" x14ac:dyDescent="0.25">
      <c r="Y26961" s="501"/>
    </row>
    <row r="26962" spans="25:25" hidden="1" x14ac:dyDescent="0.25">
      <c r="Y26962" s="501"/>
    </row>
    <row r="26963" spans="25:25" hidden="1" x14ac:dyDescent="0.25">
      <c r="Y26963" s="501"/>
    </row>
    <row r="26964" spans="25:25" hidden="1" x14ac:dyDescent="0.25">
      <c r="Y26964" s="501"/>
    </row>
    <row r="26965" spans="25:25" hidden="1" x14ac:dyDescent="0.25">
      <c r="Y26965" s="501"/>
    </row>
    <row r="26966" spans="25:25" hidden="1" x14ac:dyDescent="0.25">
      <c r="Y26966" s="501"/>
    </row>
    <row r="26967" spans="25:25" hidden="1" x14ac:dyDescent="0.25">
      <c r="Y26967" s="501"/>
    </row>
    <row r="26968" spans="25:25" hidden="1" x14ac:dyDescent="0.25">
      <c r="Y26968" s="501"/>
    </row>
    <row r="26969" spans="25:25" hidden="1" x14ac:dyDescent="0.25">
      <c r="Y26969" s="501"/>
    </row>
    <row r="26970" spans="25:25" hidden="1" x14ac:dyDescent="0.25">
      <c r="Y26970" s="501"/>
    </row>
    <row r="26971" spans="25:25" hidden="1" x14ac:dyDescent="0.25">
      <c r="Y26971" s="501"/>
    </row>
    <row r="26972" spans="25:25" hidden="1" x14ac:dyDescent="0.25">
      <c r="Y26972" s="501"/>
    </row>
    <row r="26973" spans="25:25" hidden="1" x14ac:dyDescent="0.25">
      <c r="Y26973" s="501"/>
    </row>
    <row r="26974" spans="25:25" hidden="1" x14ac:dyDescent="0.25">
      <c r="Y26974" s="501"/>
    </row>
    <row r="26975" spans="25:25" hidden="1" x14ac:dyDescent="0.25">
      <c r="Y26975" s="501"/>
    </row>
    <row r="26976" spans="25:25" hidden="1" x14ac:dyDescent="0.25">
      <c r="Y26976" s="501"/>
    </row>
    <row r="26977" spans="25:25" hidden="1" x14ac:dyDescent="0.25">
      <c r="Y26977" s="501"/>
    </row>
    <row r="26978" spans="25:25" hidden="1" x14ac:dyDescent="0.25">
      <c r="Y26978" s="501"/>
    </row>
    <row r="26979" spans="25:25" hidden="1" x14ac:dyDescent="0.25">
      <c r="Y26979" s="501"/>
    </row>
    <row r="26980" spans="25:25" hidden="1" x14ac:dyDescent="0.25">
      <c r="Y26980" s="501"/>
    </row>
    <row r="26981" spans="25:25" hidden="1" x14ac:dyDescent="0.25">
      <c r="Y26981" s="501"/>
    </row>
    <row r="26982" spans="25:25" hidden="1" x14ac:dyDescent="0.25">
      <c r="Y26982" s="501"/>
    </row>
    <row r="26983" spans="25:25" hidden="1" x14ac:dyDescent="0.25">
      <c r="Y26983" s="501"/>
    </row>
    <row r="26984" spans="25:25" hidden="1" x14ac:dyDescent="0.25">
      <c r="Y26984" s="501"/>
    </row>
    <row r="26985" spans="25:25" hidden="1" x14ac:dyDescent="0.25">
      <c r="Y26985" s="501"/>
    </row>
    <row r="26986" spans="25:25" hidden="1" x14ac:dyDescent="0.25">
      <c r="Y26986" s="501"/>
    </row>
    <row r="26987" spans="25:25" hidden="1" x14ac:dyDescent="0.25">
      <c r="Y26987" s="501"/>
    </row>
    <row r="26988" spans="25:25" hidden="1" x14ac:dyDescent="0.25">
      <c r="Y26988" s="501"/>
    </row>
    <row r="26989" spans="25:25" hidden="1" x14ac:dyDescent="0.25">
      <c r="Y26989" s="501"/>
    </row>
    <row r="26990" spans="25:25" hidden="1" x14ac:dyDescent="0.25">
      <c r="Y26990" s="501"/>
    </row>
    <row r="26991" spans="25:25" hidden="1" x14ac:dyDescent="0.25">
      <c r="Y26991" s="501"/>
    </row>
    <row r="26992" spans="25:25" hidden="1" x14ac:dyDescent="0.25">
      <c r="Y26992" s="501"/>
    </row>
    <row r="26993" spans="25:25" hidden="1" x14ac:dyDescent="0.25">
      <c r="Y26993" s="501"/>
    </row>
    <row r="26994" spans="25:25" hidden="1" x14ac:dyDescent="0.25">
      <c r="Y26994" s="501"/>
    </row>
    <row r="26995" spans="25:25" hidden="1" x14ac:dyDescent="0.25">
      <c r="Y26995" s="501"/>
    </row>
    <row r="26996" spans="25:25" hidden="1" x14ac:dyDescent="0.25">
      <c r="Y26996" s="501"/>
    </row>
    <row r="26997" spans="25:25" hidden="1" x14ac:dyDescent="0.25">
      <c r="Y26997" s="501"/>
    </row>
    <row r="26998" spans="25:25" hidden="1" x14ac:dyDescent="0.25">
      <c r="Y26998" s="501"/>
    </row>
    <row r="26999" spans="25:25" hidden="1" x14ac:dyDescent="0.25">
      <c r="Y26999" s="501"/>
    </row>
    <row r="27000" spans="25:25" hidden="1" x14ac:dyDescent="0.25">
      <c r="Y27000" s="501"/>
    </row>
    <row r="27001" spans="25:25" hidden="1" x14ac:dyDescent="0.25">
      <c r="Y27001" s="501"/>
    </row>
    <row r="27002" spans="25:25" hidden="1" x14ac:dyDescent="0.25">
      <c r="Y27002" s="501"/>
    </row>
    <row r="27003" spans="25:25" hidden="1" x14ac:dyDescent="0.25">
      <c r="Y27003" s="501"/>
    </row>
    <row r="27004" spans="25:25" hidden="1" x14ac:dyDescent="0.25">
      <c r="Y27004" s="501"/>
    </row>
    <row r="27005" spans="25:25" hidden="1" x14ac:dyDescent="0.25">
      <c r="Y27005" s="501"/>
    </row>
    <row r="27006" spans="25:25" hidden="1" x14ac:dyDescent="0.25">
      <c r="Y27006" s="501"/>
    </row>
    <row r="27007" spans="25:25" hidden="1" x14ac:dyDescent="0.25">
      <c r="Y27007" s="501"/>
    </row>
    <row r="27008" spans="25:25" hidden="1" x14ac:dyDescent="0.25">
      <c r="Y27008" s="501"/>
    </row>
    <row r="27009" spans="25:25" hidden="1" x14ac:dyDescent="0.25">
      <c r="Y27009" s="501"/>
    </row>
    <row r="27010" spans="25:25" hidden="1" x14ac:dyDescent="0.25">
      <c r="Y27010" s="501"/>
    </row>
    <row r="27011" spans="25:25" hidden="1" x14ac:dyDescent="0.25">
      <c r="Y27011" s="501"/>
    </row>
    <row r="27012" spans="25:25" hidden="1" x14ac:dyDescent="0.25">
      <c r="Y27012" s="501"/>
    </row>
    <row r="27013" spans="25:25" hidden="1" x14ac:dyDescent="0.25">
      <c r="Y27013" s="501"/>
    </row>
    <row r="27014" spans="25:25" hidden="1" x14ac:dyDescent="0.25">
      <c r="Y27014" s="501"/>
    </row>
    <row r="27015" spans="25:25" hidden="1" x14ac:dyDescent="0.25">
      <c r="Y27015" s="501"/>
    </row>
    <row r="27016" spans="25:25" hidden="1" x14ac:dyDescent="0.25">
      <c r="Y27016" s="501"/>
    </row>
    <row r="27017" spans="25:25" hidden="1" x14ac:dyDescent="0.25">
      <c r="Y27017" s="501"/>
    </row>
    <row r="27018" spans="25:25" hidden="1" x14ac:dyDescent="0.25">
      <c r="Y27018" s="501"/>
    </row>
    <row r="27019" spans="25:25" hidden="1" x14ac:dyDescent="0.25">
      <c r="Y27019" s="501"/>
    </row>
    <row r="27020" spans="25:25" hidden="1" x14ac:dyDescent="0.25">
      <c r="Y27020" s="501"/>
    </row>
    <row r="27021" spans="25:25" hidden="1" x14ac:dyDescent="0.25">
      <c r="Y27021" s="501"/>
    </row>
    <row r="27022" spans="25:25" hidden="1" x14ac:dyDescent="0.25">
      <c r="Y27022" s="501"/>
    </row>
    <row r="27023" spans="25:25" hidden="1" x14ac:dyDescent="0.25">
      <c r="Y27023" s="501"/>
    </row>
    <row r="27024" spans="25:25" hidden="1" x14ac:dyDescent="0.25">
      <c r="Y27024" s="501"/>
    </row>
    <row r="27025" spans="25:25" hidden="1" x14ac:dyDescent="0.25">
      <c r="Y27025" s="501"/>
    </row>
    <row r="27026" spans="25:25" hidden="1" x14ac:dyDescent="0.25">
      <c r="Y27026" s="501"/>
    </row>
    <row r="27027" spans="25:25" hidden="1" x14ac:dyDescent="0.25">
      <c r="Y27027" s="501"/>
    </row>
    <row r="27028" spans="25:25" hidden="1" x14ac:dyDescent="0.25">
      <c r="Y27028" s="501"/>
    </row>
    <row r="27029" spans="25:25" hidden="1" x14ac:dyDescent="0.25">
      <c r="Y27029" s="501"/>
    </row>
    <row r="27030" spans="25:25" hidden="1" x14ac:dyDescent="0.25">
      <c r="Y27030" s="501"/>
    </row>
    <row r="27031" spans="25:25" hidden="1" x14ac:dyDescent="0.25">
      <c r="Y27031" s="501"/>
    </row>
    <row r="27032" spans="25:25" hidden="1" x14ac:dyDescent="0.25">
      <c r="Y27032" s="501"/>
    </row>
    <row r="27033" spans="25:25" hidden="1" x14ac:dyDescent="0.25">
      <c r="Y27033" s="501"/>
    </row>
    <row r="27034" spans="25:25" hidden="1" x14ac:dyDescent="0.25">
      <c r="Y27034" s="501"/>
    </row>
    <row r="27035" spans="25:25" hidden="1" x14ac:dyDescent="0.25">
      <c r="Y27035" s="501"/>
    </row>
    <row r="27036" spans="25:25" hidden="1" x14ac:dyDescent="0.25">
      <c r="Y27036" s="501"/>
    </row>
    <row r="27037" spans="25:25" hidden="1" x14ac:dyDescent="0.25">
      <c r="Y27037" s="501"/>
    </row>
    <row r="27038" spans="25:25" hidden="1" x14ac:dyDescent="0.25">
      <c r="Y27038" s="501"/>
    </row>
    <row r="27039" spans="25:25" hidden="1" x14ac:dyDescent="0.25">
      <c r="Y27039" s="501"/>
    </row>
    <row r="27040" spans="25:25" hidden="1" x14ac:dyDescent="0.25">
      <c r="Y27040" s="501"/>
    </row>
    <row r="27041" spans="25:25" hidden="1" x14ac:dyDescent="0.25">
      <c r="Y27041" s="501"/>
    </row>
    <row r="27042" spans="25:25" hidden="1" x14ac:dyDescent="0.25">
      <c r="Y27042" s="501"/>
    </row>
    <row r="27043" spans="25:25" hidden="1" x14ac:dyDescent="0.25">
      <c r="Y27043" s="501"/>
    </row>
    <row r="27044" spans="25:25" hidden="1" x14ac:dyDescent="0.25">
      <c r="Y27044" s="501"/>
    </row>
    <row r="27045" spans="25:25" hidden="1" x14ac:dyDescent="0.25">
      <c r="Y27045" s="501"/>
    </row>
    <row r="27046" spans="25:25" hidden="1" x14ac:dyDescent="0.25">
      <c r="Y27046" s="501"/>
    </row>
    <row r="27047" spans="25:25" hidden="1" x14ac:dyDescent="0.25">
      <c r="Y27047" s="501"/>
    </row>
    <row r="27048" spans="25:25" hidden="1" x14ac:dyDescent="0.25">
      <c r="Y27048" s="501"/>
    </row>
    <row r="27049" spans="25:25" hidden="1" x14ac:dyDescent="0.25">
      <c r="Y27049" s="501"/>
    </row>
    <row r="27050" spans="25:25" hidden="1" x14ac:dyDescent="0.25">
      <c r="Y27050" s="501"/>
    </row>
    <row r="27051" spans="25:25" hidden="1" x14ac:dyDescent="0.25">
      <c r="Y27051" s="501"/>
    </row>
    <row r="27052" spans="25:25" hidden="1" x14ac:dyDescent="0.25">
      <c r="Y27052" s="501"/>
    </row>
    <row r="27053" spans="25:25" hidden="1" x14ac:dyDescent="0.25">
      <c r="Y27053" s="501"/>
    </row>
    <row r="27054" spans="25:25" hidden="1" x14ac:dyDescent="0.25">
      <c r="Y27054" s="501"/>
    </row>
    <row r="27055" spans="25:25" hidden="1" x14ac:dyDescent="0.25">
      <c r="Y27055" s="501"/>
    </row>
    <row r="27056" spans="25:25" hidden="1" x14ac:dyDescent="0.25">
      <c r="Y27056" s="501"/>
    </row>
    <row r="27057" spans="25:25" hidden="1" x14ac:dyDescent="0.25">
      <c r="Y27057" s="501"/>
    </row>
    <row r="27058" spans="25:25" hidden="1" x14ac:dyDescent="0.25">
      <c r="Y27058" s="501"/>
    </row>
    <row r="27059" spans="25:25" hidden="1" x14ac:dyDescent="0.25">
      <c r="Y27059" s="501"/>
    </row>
    <row r="27060" spans="25:25" hidden="1" x14ac:dyDescent="0.25">
      <c r="Y27060" s="501"/>
    </row>
    <row r="27061" spans="25:25" hidden="1" x14ac:dyDescent="0.25">
      <c r="Y27061" s="501"/>
    </row>
    <row r="27062" spans="25:25" hidden="1" x14ac:dyDescent="0.25">
      <c r="Y27062" s="501"/>
    </row>
    <row r="27063" spans="25:25" hidden="1" x14ac:dyDescent="0.25">
      <c r="Y27063" s="501"/>
    </row>
    <row r="27064" spans="25:25" hidden="1" x14ac:dyDescent="0.25">
      <c r="Y27064" s="501"/>
    </row>
    <row r="27065" spans="25:25" hidden="1" x14ac:dyDescent="0.25">
      <c r="Y27065" s="501"/>
    </row>
    <row r="27066" spans="25:25" hidden="1" x14ac:dyDescent="0.25">
      <c r="Y27066" s="501"/>
    </row>
    <row r="27067" spans="25:25" hidden="1" x14ac:dyDescent="0.25">
      <c r="Y27067" s="501"/>
    </row>
    <row r="27068" spans="25:25" hidden="1" x14ac:dyDescent="0.25">
      <c r="Y27068" s="501"/>
    </row>
    <row r="27069" spans="25:25" hidden="1" x14ac:dyDescent="0.25">
      <c r="Y27069" s="501"/>
    </row>
    <row r="27070" spans="25:25" hidden="1" x14ac:dyDescent="0.25">
      <c r="Y27070" s="501"/>
    </row>
    <row r="27071" spans="25:25" hidden="1" x14ac:dyDescent="0.25">
      <c r="Y27071" s="501"/>
    </row>
    <row r="27072" spans="25:25" hidden="1" x14ac:dyDescent="0.25">
      <c r="Y27072" s="501"/>
    </row>
    <row r="27073" spans="25:25" hidden="1" x14ac:dyDescent="0.25">
      <c r="Y27073" s="501"/>
    </row>
    <row r="27074" spans="25:25" hidden="1" x14ac:dyDescent="0.25">
      <c r="Y27074" s="501"/>
    </row>
    <row r="27075" spans="25:25" hidden="1" x14ac:dyDescent="0.25">
      <c r="Y27075" s="501"/>
    </row>
    <row r="27076" spans="25:25" hidden="1" x14ac:dyDescent="0.25">
      <c r="Y27076" s="501"/>
    </row>
    <row r="27077" spans="25:25" hidden="1" x14ac:dyDescent="0.25">
      <c r="Y27077" s="501"/>
    </row>
    <row r="27078" spans="25:25" hidden="1" x14ac:dyDescent="0.25">
      <c r="Y27078" s="501"/>
    </row>
    <row r="27079" spans="25:25" hidden="1" x14ac:dyDescent="0.25">
      <c r="Y27079" s="501"/>
    </row>
    <row r="27080" spans="25:25" hidden="1" x14ac:dyDescent="0.25">
      <c r="Y27080" s="501"/>
    </row>
    <row r="27081" spans="25:25" hidden="1" x14ac:dyDescent="0.25">
      <c r="Y27081" s="501"/>
    </row>
    <row r="27082" spans="25:25" hidden="1" x14ac:dyDescent="0.25">
      <c r="Y27082" s="501"/>
    </row>
    <row r="27083" spans="25:25" hidden="1" x14ac:dyDescent="0.25">
      <c r="Y27083" s="501"/>
    </row>
    <row r="27084" spans="25:25" hidden="1" x14ac:dyDescent="0.25">
      <c r="Y27084" s="501"/>
    </row>
    <row r="27085" spans="25:25" hidden="1" x14ac:dyDescent="0.25">
      <c r="Y27085" s="501"/>
    </row>
    <row r="27086" spans="25:25" hidden="1" x14ac:dyDescent="0.25">
      <c r="Y27086" s="501"/>
    </row>
    <row r="27087" spans="25:25" hidden="1" x14ac:dyDescent="0.25">
      <c r="Y27087" s="501"/>
    </row>
    <row r="27088" spans="25:25" hidden="1" x14ac:dyDescent="0.25">
      <c r="Y27088" s="501"/>
    </row>
    <row r="27089" spans="25:25" hidden="1" x14ac:dyDescent="0.25">
      <c r="Y27089" s="501"/>
    </row>
    <row r="27090" spans="25:25" hidden="1" x14ac:dyDescent="0.25">
      <c r="Y27090" s="501"/>
    </row>
    <row r="27091" spans="25:25" hidden="1" x14ac:dyDescent="0.25">
      <c r="Y27091" s="501"/>
    </row>
    <row r="27092" spans="25:25" hidden="1" x14ac:dyDescent="0.25">
      <c r="Y27092" s="501"/>
    </row>
    <row r="27093" spans="25:25" hidden="1" x14ac:dyDescent="0.25">
      <c r="Y27093" s="501"/>
    </row>
    <row r="27094" spans="25:25" hidden="1" x14ac:dyDescent="0.25">
      <c r="Y27094" s="501"/>
    </row>
    <row r="27095" spans="25:25" hidden="1" x14ac:dyDescent="0.25">
      <c r="Y27095" s="501"/>
    </row>
    <row r="27096" spans="25:25" hidden="1" x14ac:dyDescent="0.25">
      <c r="Y27096" s="501"/>
    </row>
    <row r="27097" spans="25:25" hidden="1" x14ac:dyDescent="0.25">
      <c r="Y27097" s="501"/>
    </row>
    <row r="27098" spans="25:25" hidden="1" x14ac:dyDescent="0.25">
      <c r="Y27098" s="501"/>
    </row>
    <row r="27099" spans="25:25" hidden="1" x14ac:dyDescent="0.25">
      <c r="Y27099" s="501"/>
    </row>
    <row r="27100" spans="25:25" hidden="1" x14ac:dyDescent="0.25">
      <c r="Y27100" s="501"/>
    </row>
    <row r="27101" spans="25:25" hidden="1" x14ac:dyDescent="0.25">
      <c r="Y27101" s="501"/>
    </row>
    <row r="27102" spans="25:25" hidden="1" x14ac:dyDescent="0.25">
      <c r="Y27102" s="501"/>
    </row>
    <row r="27103" spans="25:25" hidden="1" x14ac:dyDescent="0.25">
      <c r="Y27103" s="501"/>
    </row>
    <row r="27104" spans="25:25" hidden="1" x14ac:dyDescent="0.25">
      <c r="Y27104" s="501"/>
    </row>
    <row r="27105" spans="25:25" hidden="1" x14ac:dyDescent="0.25">
      <c r="Y27105" s="501"/>
    </row>
    <row r="27106" spans="25:25" hidden="1" x14ac:dyDescent="0.25">
      <c r="Y27106" s="501"/>
    </row>
    <row r="27107" spans="25:25" hidden="1" x14ac:dyDescent="0.25">
      <c r="Y27107" s="501"/>
    </row>
    <row r="27108" spans="25:25" hidden="1" x14ac:dyDescent="0.25">
      <c r="Y27108" s="501"/>
    </row>
    <row r="27109" spans="25:25" hidden="1" x14ac:dyDescent="0.25">
      <c r="Y27109" s="501"/>
    </row>
    <row r="27110" spans="25:25" hidden="1" x14ac:dyDescent="0.25">
      <c r="Y27110" s="501"/>
    </row>
    <row r="27111" spans="25:25" hidden="1" x14ac:dyDescent="0.25">
      <c r="Y27111" s="501"/>
    </row>
    <row r="27112" spans="25:25" hidden="1" x14ac:dyDescent="0.25">
      <c r="Y27112" s="501"/>
    </row>
    <row r="27113" spans="25:25" hidden="1" x14ac:dyDescent="0.25">
      <c r="Y27113" s="501"/>
    </row>
    <row r="27114" spans="25:25" hidden="1" x14ac:dyDescent="0.25">
      <c r="Y27114" s="501"/>
    </row>
    <row r="27115" spans="25:25" hidden="1" x14ac:dyDescent="0.25">
      <c r="Y27115" s="501"/>
    </row>
    <row r="27116" spans="25:25" hidden="1" x14ac:dyDescent="0.25">
      <c r="Y27116" s="501"/>
    </row>
    <row r="27117" spans="25:25" hidden="1" x14ac:dyDescent="0.25">
      <c r="Y27117" s="501"/>
    </row>
    <row r="27118" spans="25:25" hidden="1" x14ac:dyDescent="0.25">
      <c r="Y27118" s="501"/>
    </row>
    <row r="27119" spans="25:25" hidden="1" x14ac:dyDescent="0.25">
      <c r="Y27119" s="501"/>
    </row>
    <row r="27120" spans="25:25" hidden="1" x14ac:dyDescent="0.25">
      <c r="Y27120" s="501"/>
    </row>
    <row r="27121" spans="25:25" hidden="1" x14ac:dyDescent="0.25">
      <c r="Y27121" s="501"/>
    </row>
    <row r="27122" spans="25:25" hidden="1" x14ac:dyDescent="0.25">
      <c r="Y27122" s="501"/>
    </row>
    <row r="27123" spans="25:25" hidden="1" x14ac:dyDescent="0.25">
      <c r="Y27123" s="501"/>
    </row>
    <row r="27124" spans="25:25" hidden="1" x14ac:dyDescent="0.25">
      <c r="Y27124" s="501"/>
    </row>
    <row r="27125" spans="25:25" hidden="1" x14ac:dyDescent="0.25">
      <c r="Y27125" s="501"/>
    </row>
    <row r="27126" spans="25:25" hidden="1" x14ac:dyDescent="0.25">
      <c r="Y27126" s="501"/>
    </row>
    <row r="27127" spans="25:25" hidden="1" x14ac:dyDescent="0.25">
      <c r="Y27127" s="501"/>
    </row>
    <row r="27128" spans="25:25" hidden="1" x14ac:dyDescent="0.25">
      <c r="Y27128" s="501"/>
    </row>
    <row r="27129" spans="25:25" hidden="1" x14ac:dyDescent="0.25">
      <c r="Y27129" s="501"/>
    </row>
    <row r="27130" spans="25:25" hidden="1" x14ac:dyDescent="0.25">
      <c r="Y27130" s="501"/>
    </row>
    <row r="27131" spans="25:25" hidden="1" x14ac:dyDescent="0.25">
      <c r="Y27131" s="501"/>
    </row>
    <row r="27132" spans="25:25" hidden="1" x14ac:dyDescent="0.25">
      <c r="Y27132" s="501"/>
    </row>
    <row r="27133" spans="25:25" hidden="1" x14ac:dyDescent="0.25">
      <c r="Y27133" s="501"/>
    </row>
    <row r="27134" spans="25:25" hidden="1" x14ac:dyDescent="0.25">
      <c r="Y27134" s="501"/>
    </row>
    <row r="27135" spans="25:25" hidden="1" x14ac:dyDescent="0.25">
      <c r="Y27135" s="501"/>
    </row>
    <row r="27136" spans="25:25" hidden="1" x14ac:dyDescent="0.25">
      <c r="Y27136" s="501"/>
    </row>
    <row r="27137" spans="25:25" hidden="1" x14ac:dyDescent="0.25">
      <c r="Y27137" s="501"/>
    </row>
    <row r="27138" spans="25:25" hidden="1" x14ac:dyDescent="0.25">
      <c r="Y27138" s="501"/>
    </row>
    <row r="27139" spans="25:25" hidden="1" x14ac:dyDescent="0.25">
      <c r="Y27139" s="501"/>
    </row>
    <row r="27140" spans="25:25" hidden="1" x14ac:dyDescent="0.25">
      <c r="Y27140" s="501"/>
    </row>
    <row r="27141" spans="25:25" hidden="1" x14ac:dyDescent="0.25">
      <c r="Y27141" s="501"/>
    </row>
    <row r="27142" spans="25:25" hidden="1" x14ac:dyDescent="0.25">
      <c r="Y27142" s="501"/>
    </row>
    <row r="27143" spans="25:25" hidden="1" x14ac:dyDescent="0.25">
      <c r="Y27143" s="501"/>
    </row>
    <row r="27144" spans="25:25" hidden="1" x14ac:dyDescent="0.25">
      <c r="Y27144" s="501"/>
    </row>
    <row r="27145" spans="25:25" hidden="1" x14ac:dyDescent="0.25">
      <c r="Y27145" s="501"/>
    </row>
    <row r="27146" spans="25:25" hidden="1" x14ac:dyDescent="0.25">
      <c r="Y27146" s="501"/>
    </row>
    <row r="27147" spans="25:25" hidden="1" x14ac:dyDescent="0.25">
      <c r="Y27147" s="501"/>
    </row>
    <row r="27148" spans="25:25" hidden="1" x14ac:dyDescent="0.25">
      <c r="Y27148" s="501"/>
    </row>
    <row r="27149" spans="25:25" hidden="1" x14ac:dyDescent="0.25">
      <c r="Y27149" s="501"/>
    </row>
    <row r="27150" spans="25:25" hidden="1" x14ac:dyDescent="0.25">
      <c r="Y27150" s="501"/>
    </row>
    <row r="27151" spans="25:25" hidden="1" x14ac:dyDescent="0.25">
      <c r="Y27151" s="501"/>
    </row>
    <row r="27152" spans="25:25" hidden="1" x14ac:dyDescent="0.25">
      <c r="Y27152" s="501"/>
    </row>
    <row r="27153" spans="25:25" hidden="1" x14ac:dyDescent="0.25">
      <c r="Y27153" s="501"/>
    </row>
    <row r="27154" spans="25:25" hidden="1" x14ac:dyDescent="0.25">
      <c r="Y27154" s="501"/>
    </row>
    <row r="27155" spans="25:25" hidden="1" x14ac:dyDescent="0.25">
      <c r="Y27155" s="501"/>
    </row>
    <row r="27156" spans="25:25" hidden="1" x14ac:dyDescent="0.25">
      <c r="Y27156" s="501"/>
    </row>
    <row r="27157" spans="25:25" hidden="1" x14ac:dyDescent="0.25">
      <c r="Y27157" s="501"/>
    </row>
    <row r="27158" spans="25:25" hidden="1" x14ac:dyDescent="0.25">
      <c r="Y27158" s="501"/>
    </row>
    <row r="27159" spans="25:25" hidden="1" x14ac:dyDescent="0.25">
      <c r="Y27159" s="501"/>
    </row>
    <row r="27160" spans="25:25" hidden="1" x14ac:dyDescent="0.25">
      <c r="Y27160" s="501"/>
    </row>
    <row r="27161" spans="25:25" hidden="1" x14ac:dyDescent="0.25">
      <c r="Y27161" s="501"/>
    </row>
    <row r="27162" spans="25:25" hidden="1" x14ac:dyDescent="0.25">
      <c r="Y27162" s="501"/>
    </row>
    <row r="27163" spans="25:25" hidden="1" x14ac:dyDescent="0.25">
      <c r="Y27163" s="501"/>
    </row>
    <row r="27164" spans="25:25" hidden="1" x14ac:dyDescent="0.25">
      <c r="Y27164" s="501"/>
    </row>
    <row r="27165" spans="25:25" hidden="1" x14ac:dyDescent="0.25">
      <c r="Y27165" s="501"/>
    </row>
    <row r="27166" spans="25:25" hidden="1" x14ac:dyDescent="0.25">
      <c r="Y27166" s="501"/>
    </row>
    <row r="27167" spans="25:25" hidden="1" x14ac:dyDescent="0.25">
      <c r="Y27167" s="501"/>
    </row>
    <row r="27168" spans="25:25" hidden="1" x14ac:dyDescent="0.25">
      <c r="Y27168" s="501"/>
    </row>
    <row r="27169" spans="25:25" hidden="1" x14ac:dyDescent="0.25">
      <c r="Y27169" s="501"/>
    </row>
    <row r="27170" spans="25:25" hidden="1" x14ac:dyDescent="0.25">
      <c r="Y27170" s="501"/>
    </row>
    <row r="27171" spans="25:25" hidden="1" x14ac:dyDescent="0.25">
      <c r="Y27171" s="501"/>
    </row>
    <row r="27172" spans="25:25" hidden="1" x14ac:dyDescent="0.25">
      <c r="Y27172" s="501"/>
    </row>
    <row r="27173" spans="25:25" hidden="1" x14ac:dyDescent="0.25">
      <c r="Y27173" s="501"/>
    </row>
    <row r="27174" spans="25:25" hidden="1" x14ac:dyDescent="0.25">
      <c r="Y27174" s="501"/>
    </row>
    <row r="27175" spans="25:25" hidden="1" x14ac:dyDescent="0.25">
      <c r="Y27175" s="501"/>
    </row>
    <row r="27176" spans="25:25" hidden="1" x14ac:dyDescent="0.25">
      <c r="Y27176" s="501"/>
    </row>
    <row r="27177" spans="25:25" hidden="1" x14ac:dyDescent="0.25">
      <c r="Y27177" s="501"/>
    </row>
    <row r="27178" spans="25:25" hidden="1" x14ac:dyDescent="0.25">
      <c r="Y27178" s="501"/>
    </row>
    <row r="27179" spans="25:25" hidden="1" x14ac:dyDescent="0.25">
      <c r="Y27179" s="501"/>
    </row>
    <row r="27180" spans="25:25" hidden="1" x14ac:dyDescent="0.25">
      <c r="Y27180" s="501"/>
    </row>
    <row r="27181" spans="25:25" hidden="1" x14ac:dyDescent="0.25">
      <c r="Y27181" s="501"/>
    </row>
    <row r="27182" spans="25:25" hidden="1" x14ac:dyDescent="0.25">
      <c r="Y27182" s="501"/>
    </row>
    <row r="27183" spans="25:25" hidden="1" x14ac:dyDescent="0.25">
      <c r="Y27183" s="501"/>
    </row>
    <row r="27184" spans="25:25" hidden="1" x14ac:dyDescent="0.25">
      <c r="Y27184" s="501"/>
    </row>
    <row r="27185" spans="25:25" hidden="1" x14ac:dyDescent="0.25">
      <c r="Y27185" s="501"/>
    </row>
    <row r="27186" spans="25:25" hidden="1" x14ac:dyDescent="0.25">
      <c r="Y27186" s="501"/>
    </row>
    <row r="27187" spans="25:25" hidden="1" x14ac:dyDescent="0.25">
      <c r="Y27187" s="501"/>
    </row>
    <row r="27188" spans="25:25" hidden="1" x14ac:dyDescent="0.25">
      <c r="Y27188" s="501"/>
    </row>
    <row r="27189" spans="25:25" hidden="1" x14ac:dyDescent="0.25">
      <c r="Y27189" s="501"/>
    </row>
    <row r="27190" spans="25:25" hidden="1" x14ac:dyDescent="0.25">
      <c r="Y27190" s="501"/>
    </row>
    <row r="27191" spans="25:25" hidden="1" x14ac:dyDescent="0.25">
      <c r="Y27191" s="501"/>
    </row>
    <row r="27192" spans="25:25" hidden="1" x14ac:dyDescent="0.25">
      <c r="Y27192" s="501"/>
    </row>
    <row r="27193" spans="25:25" hidden="1" x14ac:dyDescent="0.25">
      <c r="Y27193" s="501"/>
    </row>
    <row r="27194" spans="25:25" hidden="1" x14ac:dyDescent="0.25">
      <c r="Y27194" s="501"/>
    </row>
    <row r="27195" spans="25:25" hidden="1" x14ac:dyDescent="0.25">
      <c r="Y27195" s="501"/>
    </row>
    <row r="27196" spans="25:25" hidden="1" x14ac:dyDescent="0.25">
      <c r="Y27196" s="501"/>
    </row>
    <row r="27197" spans="25:25" hidden="1" x14ac:dyDescent="0.25">
      <c r="Y27197" s="501"/>
    </row>
    <row r="27198" spans="25:25" hidden="1" x14ac:dyDescent="0.25">
      <c r="Y27198" s="501"/>
    </row>
    <row r="27199" spans="25:25" hidden="1" x14ac:dyDescent="0.25">
      <c r="Y27199" s="501"/>
    </row>
    <row r="27200" spans="25:25" hidden="1" x14ac:dyDescent="0.25">
      <c r="Y27200" s="501"/>
    </row>
    <row r="27201" spans="25:25" hidden="1" x14ac:dyDescent="0.25">
      <c r="Y27201" s="501"/>
    </row>
    <row r="27202" spans="25:25" hidden="1" x14ac:dyDescent="0.25">
      <c r="Y27202" s="501"/>
    </row>
    <row r="27203" spans="25:25" hidden="1" x14ac:dyDescent="0.25">
      <c r="Y27203" s="501"/>
    </row>
    <row r="27204" spans="25:25" hidden="1" x14ac:dyDescent="0.25">
      <c r="Y27204" s="501"/>
    </row>
    <row r="27205" spans="25:25" hidden="1" x14ac:dyDescent="0.25">
      <c r="Y27205" s="501"/>
    </row>
    <row r="27206" spans="25:25" hidden="1" x14ac:dyDescent="0.25">
      <c r="Y27206" s="501"/>
    </row>
    <row r="27207" spans="25:25" hidden="1" x14ac:dyDescent="0.25">
      <c r="Y27207" s="501"/>
    </row>
    <row r="27208" spans="25:25" hidden="1" x14ac:dyDescent="0.25">
      <c r="Y27208" s="501"/>
    </row>
    <row r="27209" spans="25:25" hidden="1" x14ac:dyDescent="0.25">
      <c r="Y27209" s="501"/>
    </row>
    <row r="27210" spans="25:25" hidden="1" x14ac:dyDescent="0.25">
      <c r="Y27210" s="501"/>
    </row>
    <row r="27211" spans="25:25" hidden="1" x14ac:dyDescent="0.25">
      <c r="Y27211" s="501"/>
    </row>
    <row r="27212" spans="25:25" hidden="1" x14ac:dyDescent="0.25">
      <c r="Y27212" s="501"/>
    </row>
    <row r="27213" spans="25:25" hidden="1" x14ac:dyDescent="0.25">
      <c r="Y27213" s="501"/>
    </row>
    <row r="27214" spans="25:25" hidden="1" x14ac:dyDescent="0.25">
      <c r="Y27214" s="501"/>
    </row>
    <row r="27215" spans="25:25" hidden="1" x14ac:dyDescent="0.25">
      <c r="Y27215" s="501"/>
    </row>
    <row r="27216" spans="25:25" hidden="1" x14ac:dyDescent="0.25">
      <c r="Y27216" s="501"/>
    </row>
    <row r="27217" spans="25:25" hidden="1" x14ac:dyDescent="0.25">
      <c r="Y27217" s="501"/>
    </row>
    <row r="27218" spans="25:25" hidden="1" x14ac:dyDescent="0.25">
      <c r="Y27218" s="501"/>
    </row>
    <row r="27219" spans="25:25" hidden="1" x14ac:dyDescent="0.25">
      <c r="Y27219" s="501"/>
    </row>
    <row r="27220" spans="25:25" hidden="1" x14ac:dyDescent="0.25">
      <c r="Y27220" s="501"/>
    </row>
    <row r="27221" spans="25:25" hidden="1" x14ac:dyDescent="0.25">
      <c r="Y27221" s="501"/>
    </row>
    <row r="27222" spans="25:25" hidden="1" x14ac:dyDescent="0.25">
      <c r="Y27222" s="501"/>
    </row>
    <row r="27223" spans="25:25" hidden="1" x14ac:dyDescent="0.25">
      <c r="Y27223" s="501"/>
    </row>
    <row r="27224" spans="25:25" hidden="1" x14ac:dyDescent="0.25">
      <c r="Y27224" s="501"/>
    </row>
    <row r="27225" spans="25:25" hidden="1" x14ac:dyDescent="0.25">
      <c r="Y27225" s="501"/>
    </row>
    <row r="27226" spans="25:25" hidden="1" x14ac:dyDescent="0.25">
      <c r="Y27226" s="501"/>
    </row>
    <row r="27227" spans="25:25" hidden="1" x14ac:dyDescent="0.25">
      <c r="Y27227" s="501"/>
    </row>
    <row r="27228" spans="25:25" hidden="1" x14ac:dyDescent="0.25">
      <c r="Y27228" s="501"/>
    </row>
    <row r="27229" spans="25:25" hidden="1" x14ac:dyDescent="0.25">
      <c r="Y27229" s="501"/>
    </row>
    <row r="27230" spans="25:25" hidden="1" x14ac:dyDescent="0.25">
      <c r="Y27230" s="501"/>
    </row>
    <row r="27231" spans="25:25" hidden="1" x14ac:dyDescent="0.25">
      <c r="Y27231" s="501"/>
    </row>
    <row r="27232" spans="25:25" hidden="1" x14ac:dyDescent="0.25">
      <c r="Y27232" s="501"/>
    </row>
    <row r="27233" spans="25:25" hidden="1" x14ac:dyDescent="0.25">
      <c r="Y27233" s="501"/>
    </row>
    <row r="27234" spans="25:25" hidden="1" x14ac:dyDescent="0.25">
      <c r="Y27234" s="501"/>
    </row>
    <row r="27235" spans="25:25" hidden="1" x14ac:dyDescent="0.25">
      <c r="Y27235" s="501"/>
    </row>
    <row r="27236" spans="25:25" hidden="1" x14ac:dyDescent="0.25">
      <c r="Y27236" s="501"/>
    </row>
    <row r="27237" spans="25:25" hidden="1" x14ac:dyDescent="0.25">
      <c r="Y27237" s="501"/>
    </row>
    <row r="27238" spans="25:25" hidden="1" x14ac:dyDescent="0.25">
      <c r="Y27238" s="501"/>
    </row>
    <row r="27239" spans="25:25" hidden="1" x14ac:dyDescent="0.25">
      <c r="Y27239" s="501"/>
    </row>
    <row r="27240" spans="25:25" hidden="1" x14ac:dyDescent="0.25">
      <c r="Y27240" s="501"/>
    </row>
    <row r="27241" spans="25:25" hidden="1" x14ac:dyDescent="0.25">
      <c r="Y27241" s="501"/>
    </row>
    <row r="27242" spans="25:25" hidden="1" x14ac:dyDescent="0.25">
      <c r="Y27242" s="501"/>
    </row>
    <row r="27243" spans="25:25" hidden="1" x14ac:dyDescent="0.25">
      <c r="Y27243" s="501"/>
    </row>
    <row r="27244" spans="25:25" hidden="1" x14ac:dyDescent="0.25">
      <c r="Y27244" s="501"/>
    </row>
    <row r="27245" spans="25:25" hidden="1" x14ac:dyDescent="0.25">
      <c r="Y27245" s="501"/>
    </row>
    <row r="27246" spans="25:25" hidden="1" x14ac:dyDescent="0.25">
      <c r="Y27246" s="501"/>
    </row>
    <row r="27247" spans="25:25" hidden="1" x14ac:dyDescent="0.25">
      <c r="Y27247" s="501"/>
    </row>
    <row r="27248" spans="25:25" hidden="1" x14ac:dyDescent="0.25">
      <c r="Y27248" s="501"/>
    </row>
    <row r="27249" spans="25:25" hidden="1" x14ac:dyDescent="0.25">
      <c r="Y27249" s="501"/>
    </row>
    <row r="27250" spans="25:25" hidden="1" x14ac:dyDescent="0.25">
      <c r="Y27250" s="501"/>
    </row>
    <row r="27251" spans="25:25" hidden="1" x14ac:dyDescent="0.25">
      <c r="Y27251" s="501"/>
    </row>
    <row r="27252" spans="25:25" hidden="1" x14ac:dyDescent="0.25">
      <c r="Y27252" s="501"/>
    </row>
    <row r="27253" spans="25:25" hidden="1" x14ac:dyDescent="0.25">
      <c r="Y27253" s="501"/>
    </row>
    <row r="27254" spans="25:25" hidden="1" x14ac:dyDescent="0.25">
      <c r="Y27254" s="501"/>
    </row>
    <row r="27255" spans="25:25" hidden="1" x14ac:dyDescent="0.25">
      <c r="Y27255" s="501"/>
    </row>
    <row r="27256" spans="25:25" hidden="1" x14ac:dyDescent="0.25">
      <c r="Y27256" s="501"/>
    </row>
    <row r="27257" spans="25:25" hidden="1" x14ac:dyDescent="0.25">
      <c r="Y27257" s="501"/>
    </row>
    <row r="27258" spans="25:25" hidden="1" x14ac:dyDescent="0.25">
      <c r="Y27258" s="501"/>
    </row>
    <row r="27259" spans="25:25" hidden="1" x14ac:dyDescent="0.25">
      <c r="Y27259" s="501"/>
    </row>
    <row r="27260" spans="25:25" hidden="1" x14ac:dyDescent="0.25">
      <c r="Y27260" s="501"/>
    </row>
    <row r="27261" spans="25:25" hidden="1" x14ac:dyDescent="0.25">
      <c r="Y27261" s="501"/>
    </row>
    <row r="27262" spans="25:25" hidden="1" x14ac:dyDescent="0.25">
      <c r="Y27262" s="501"/>
    </row>
    <row r="27263" spans="25:25" hidden="1" x14ac:dyDescent="0.25">
      <c r="Y27263" s="501"/>
    </row>
    <row r="27264" spans="25:25" hidden="1" x14ac:dyDescent="0.25">
      <c r="Y27264" s="501"/>
    </row>
    <row r="27265" spans="25:25" hidden="1" x14ac:dyDescent="0.25">
      <c r="Y27265" s="501"/>
    </row>
    <row r="27266" spans="25:25" hidden="1" x14ac:dyDescent="0.25">
      <c r="Y27266" s="501"/>
    </row>
    <row r="27267" spans="25:25" hidden="1" x14ac:dyDescent="0.25">
      <c r="Y27267" s="501"/>
    </row>
    <row r="27268" spans="25:25" hidden="1" x14ac:dyDescent="0.25">
      <c r="Y27268" s="501"/>
    </row>
    <row r="27269" spans="25:25" hidden="1" x14ac:dyDescent="0.25">
      <c r="Y27269" s="501"/>
    </row>
    <row r="27270" spans="25:25" hidden="1" x14ac:dyDescent="0.25">
      <c r="Y27270" s="501"/>
    </row>
    <row r="27271" spans="25:25" hidden="1" x14ac:dyDescent="0.25">
      <c r="Y27271" s="501"/>
    </row>
    <row r="27272" spans="25:25" hidden="1" x14ac:dyDescent="0.25">
      <c r="Y27272" s="501"/>
    </row>
    <row r="27273" spans="25:25" hidden="1" x14ac:dyDescent="0.25">
      <c r="Y27273" s="501"/>
    </row>
    <row r="27274" spans="25:25" hidden="1" x14ac:dyDescent="0.25">
      <c r="Y27274" s="501"/>
    </row>
    <row r="27275" spans="25:25" hidden="1" x14ac:dyDescent="0.25">
      <c r="Y27275" s="501"/>
    </row>
    <row r="27276" spans="25:25" hidden="1" x14ac:dyDescent="0.25">
      <c r="Y27276" s="501"/>
    </row>
    <row r="27277" spans="25:25" hidden="1" x14ac:dyDescent="0.25">
      <c r="Y27277" s="501"/>
    </row>
    <row r="27278" spans="25:25" hidden="1" x14ac:dyDescent="0.25">
      <c r="Y27278" s="501"/>
    </row>
    <row r="27279" spans="25:25" hidden="1" x14ac:dyDescent="0.25">
      <c r="Y27279" s="501"/>
    </row>
    <row r="27280" spans="25:25" hidden="1" x14ac:dyDescent="0.25">
      <c r="Y27280" s="501"/>
    </row>
    <row r="27281" spans="25:25" hidden="1" x14ac:dyDescent="0.25">
      <c r="Y27281" s="501"/>
    </row>
    <row r="27282" spans="25:25" hidden="1" x14ac:dyDescent="0.25">
      <c r="Y27282" s="501"/>
    </row>
    <row r="27283" spans="25:25" hidden="1" x14ac:dyDescent="0.25">
      <c r="Y27283" s="501"/>
    </row>
    <row r="27284" spans="25:25" hidden="1" x14ac:dyDescent="0.25">
      <c r="Y27284" s="501"/>
    </row>
    <row r="27285" spans="25:25" hidden="1" x14ac:dyDescent="0.25">
      <c r="Y27285" s="501"/>
    </row>
    <row r="27286" spans="25:25" hidden="1" x14ac:dyDescent="0.25">
      <c r="Y27286" s="501"/>
    </row>
    <row r="27287" spans="25:25" hidden="1" x14ac:dyDescent="0.25">
      <c r="Y27287" s="501"/>
    </row>
    <row r="27288" spans="25:25" hidden="1" x14ac:dyDescent="0.25">
      <c r="Y27288" s="501"/>
    </row>
    <row r="27289" spans="25:25" hidden="1" x14ac:dyDescent="0.25">
      <c r="Y27289" s="501"/>
    </row>
    <row r="27290" spans="25:25" hidden="1" x14ac:dyDescent="0.25">
      <c r="Y27290" s="501"/>
    </row>
    <row r="27291" spans="25:25" hidden="1" x14ac:dyDescent="0.25">
      <c r="Y27291" s="501"/>
    </row>
    <row r="27292" spans="25:25" hidden="1" x14ac:dyDescent="0.25">
      <c r="Y27292" s="501"/>
    </row>
    <row r="27293" spans="25:25" hidden="1" x14ac:dyDescent="0.25">
      <c r="Y27293" s="501"/>
    </row>
    <row r="27294" spans="25:25" hidden="1" x14ac:dyDescent="0.25">
      <c r="Y27294" s="501"/>
    </row>
    <row r="27295" spans="25:25" hidden="1" x14ac:dyDescent="0.25">
      <c r="Y27295" s="501"/>
    </row>
    <row r="27296" spans="25:25" hidden="1" x14ac:dyDescent="0.25">
      <c r="Y27296" s="501"/>
    </row>
    <row r="27297" spans="25:25" hidden="1" x14ac:dyDescent="0.25">
      <c r="Y27297" s="501"/>
    </row>
    <row r="27298" spans="25:25" hidden="1" x14ac:dyDescent="0.25">
      <c r="Y27298" s="501"/>
    </row>
    <row r="27299" spans="25:25" hidden="1" x14ac:dyDescent="0.25">
      <c r="Y27299" s="501"/>
    </row>
    <row r="27300" spans="25:25" hidden="1" x14ac:dyDescent="0.25">
      <c r="Y27300" s="501"/>
    </row>
    <row r="27301" spans="25:25" hidden="1" x14ac:dyDescent="0.25">
      <c r="Y27301" s="501"/>
    </row>
    <row r="27302" spans="25:25" hidden="1" x14ac:dyDescent="0.25">
      <c r="Y27302" s="501"/>
    </row>
    <row r="27303" spans="25:25" hidden="1" x14ac:dyDescent="0.25">
      <c r="Y27303" s="501"/>
    </row>
    <row r="27304" spans="25:25" hidden="1" x14ac:dyDescent="0.25">
      <c r="Y27304" s="501"/>
    </row>
    <row r="27305" spans="25:25" hidden="1" x14ac:dyDescent="0.25">
      <c r="Y27305" s="501"/>
    </row>
    <row r="27306" spans="25:25" hidden="1" x14ac:dyDescent="0.25">
      <c r="Y27306" s="501"/>
    </row>
    <row r="27307" spans="25:25" hidden="1" x14ac:dyDescent="0.25">
      <c r="Y27307" s="501"/>
    </row>
    <row r="27308" spans="25:25" hidden="1" x14ac:dyDescent="0.25">
      <c r="Y27308" s="501"/>
    </row>
    <row r="27309" spans="25:25" hidden="1" x14ac:dyDescent="0.25">
      <c r="Y27309" s="501"/>
    </row>
    <row r="27310" spans="25:25" hidden="1" x14ac:dyDescent="0.25">
      <c r="Y27310" s="501"/>
    </row>
    <row r="27311" spans="25:25" hidden="1" x14ac:dyDescent="0.25">
      <c r="Y27311" s="501"/>
    </row>
    <row r="27312" spans="25:25" hidden="1" x14ac:dyDescent="0.25">
      <c r="Y27312" s="501"/>
    </row>
    <row r="27313" spans="25:25" hidden="1" x14ac:dyDescent="0.25">
      <c r="Y27313" s="501"/>
    </row>
    <row r="27314" spans="25:25" hidden="1" x14ac:dyDescent="0.25">
      <c r="Y27314" s="501"/>
    </row>
    <row r="27315" spans="25:25" hidden="1" x14ac:dyDescent="0.25">
      <c r="Y27315" s="501"/>
    </row>
    <row r="27316" spans="25:25" hidden="1" x14ac:dyDescent="0.25">
      <c r="Y27316" s="501"/>
    </row>
    <row r="27317" spans="25:25" hidden="1" x14ac:dyDescent="0.25">
      <c r="Y27317" s="501"/>
    </row>
    <row r="27318" spans="25:25" hidden="1" x14ac:dyDescent="0.25">
      <c r="Y27318" s="501"/>
    </row>
    <row r="27319" spans="25:25" hidden="1" x14ac:dyDescent="0.25">
      <c r="Y27319" s="501"/>
    </row>
    <row r="27320" spans="25:25" hidden="1" x14ac:dyDescent="0.25">
      <c r="Y27320" s="501"/>
    </row>
    <row r="27321" spans="25:25" hidden="1" x14ac:dyDescent="0.25">
      <c r="Y27321" s="501"/>
    </row>
    <row r="27322" spans="25:25" hidden="1" x14ac:dyDescent="0.25">
      <c r="Y27322" s="501"/>
    </row>
    <row r="27323" spans="25:25" hidden="1" x14ac:dyDescent="0.25">
      <c r="Y27323" s="501"/>
    </row>
    <row r="27324" spans="25:25" hidden="1" x14ac:dyDescent="0.25">
      <c r="Y27324" s="501"/>
    </row>
    <row r="27325" spans="25:25" hidden="1" x14ac:dyDescent="0.25">
      <c r="Y27325" s="501"/>
    </row>
    <row r="27326" spans="25:25" hidden="1" x14ac:dyDescent="0.25">
      <c r="Y27326" s="501"/>
    </row>
    <row r="27327" spans="25:25" hidden="1" x14ac:dyDescent="0.25">
      <c r="Y27327" s="501"/>
    </row>
    <row r="27328" spans="25:25" hidden="1" x14ac:dyDescent="0.25">
      <c r="Y27328" s="501"/>
    </row>
    <row r="27329" spans="25:25" hidden="1" x14ac:dyDescent="0.25">
      <c r="Y27329" s="501"/>
    </row>
    <row r="27330" spans="25:25" hidden="1" x14ac:dyDescent="0.25">
      <c r="Y27330" s="501"/>
    </row>
    <row r="27331" spans="25:25" hidden="1" x14ac:dyDescent="0.25">
      <c r="Y27331" s="501"/>
    </row>
    <row r="27332" spans="25:25" hidden="1" x14ac:dyDescent="0.25">
      <c r="Y27332" s="501"/>
    </row>
    <row r="27333" spans="25:25" hidden="1" x14ac:dyDescent="0.25">
      <c r="Y27333" s="501"/>
    </row>
    <row r="27334" spans="25:25" hidden="1" x14ac:dyDescent="0.25">
      <c r="Y27334" s="501"/>
    </row>
    <row r="27335" spans="25:25" hidden="1" x14ac:dyDescent="0.25">
      <c r="Y27335" s="501"/>
    </row>
    <row r="27336" spans="25:25" hidden="1" x14ac:dyDescent="0.25">
      <c r="Y27336" s="501"/>
    </row>
    <row r="27337" spans="25:25" hidden="1" x14ac:dyDescent="0.25">
      <c r="Y27337" s="501"/>
    </row>
    <row r="27338" spans="25:25" hidden="1" x14ac:dyDescent="0.25">
      <c r="Y27338" s="501"/>
    </row>
    <row r="27339" spans="25:25" hidden="1" x14ac:dyDescent="0.25">
      <c r="Y27339" s="501"/>
    </row>
    <row r="27340" spans="25:25" hidden="1" x14ac:dyDescent="0.25">
      <c r="Y27340" s="501"/>
    </row>
    <row r="27341" spans="25:25" hidden="1" x14ac:dyDescent="0.25">
      <c r="Y27341" s="501"/>
    </row>
    <row r="27342" spans="25:25" hidden="1" x14ac:dyDescent="0.25">
      <c r="Y27342" s="501"/>
    </row>
    <row r="27343" spans="25:25" hidden="1" x14ac:dyDescent="0.25">
      <c r="Y27343" s="501"/>
    </row>
    <row r="27344" spans="25:25" hidden="1" x14ac:dyDescent="0.25">
      <c r="Y27344" s="501"/>
    </row>
    <row r="27345" spans="25:25" hidden="1" x14ac:dyDescent="0.25">
      <c r="Y27345" s="501"/>
    </row>
    <row r="27346" spans="25:25" hidden="1" x14ac:dyDescent="0.25">
      <c r="Y27346" s="501"/>
    </row>
    <row r="27347" spans="25:25" hidden="1" x14ac:dyDescent="0.25">
      <c r="Y27347" s="501"/>
    </row>
    <row r="27348" spans="25:25" hidden="1" x14ac:dyDescent="0.25">
      <c r="Y27348" s="501"/>
    </row>
    <row r="27349" spans="25:25" hidden="1" x14ac:dyDescent="0.25">
      <c r="Y27349" s="501"/>
    </row>
    <row r="27350" spans="25:25" hidden="1" x14ac:dyDescent="0.25">
      <c r="Y27350" s="501"/>
    </row>
    <row r="27351" spans="25:25" hidden="1" x14ac:dyDescent="0.25">
      <c r="Y27351" s="501"/>
    </row>
    <row r="27352" spans="25:25" hidden="1" x14ac:dyDescent="0.25">
      <c r="Y27352" s="501"/>
    </row>
    <row r="27353" spans="25:25" hidden="1" x14ac:dyDescent="0.25">
      <c r="Y27353" s="501"/>
    </row>
    <row r="27354" spans="25:25" hidden="1" x14ac:dyDescent="0.25">
      <c r="Y27354" s="501"/>
    </row>
    <row r="27355" spans="25:25" hidden="1" x14ac:dyDescent="0.25">
      <c r="Y27355" s="501"/>
    </row>
    <row r="27356" spans="25:25" hidden="1" x14ac:dyDescent="0.25">
      <c r="Y27356" s="501"/>
    </row>
    <row r="27357" spans="25:25" hidden="1" x14ac:dyDescent="0.25">
      <c r="Y27357" s="501"/>
    </row>
    <row r="27358" spans="25:25" hidden="1" x14ac:dyDescent="0.25">
      <c r="Y27358" s="501"/>
    </row>
    <row r="27359" spans="25:25" hidden="1" x14ac:dyDescent="0.25">
      <c r="Y27359" s="501"/>
    </row>
    <row r="27360" spans="25:25" hidden="1" x14ac:dyDescent="0.25">
      <c r="Y27360" s="501"/>
    </row>
    <row r="27361" spans="25:25" hidden="1" x14ac:dyDescent="0.25">
      <c r="Y27361" s="501"/>
    </row>
    <row r="27362" spans="25:25" hidden="1" x14ac:dyDescent="0.25">
      <c r="Y27362" s="501"/>
    </row>
    <row r="27363" spans="25:25" hidden="1" x14ac:dyDescent="0.25">
      <c r="Y27363" s="501"/>
    </row>
    <row r="27364" spans="25:25" hidden="1" x14ac:dyDescent="0.25">
      <c r="Y27364" s="501"/>
    </row>
    <row r="27365" spans="25:25" hidden="1" x14ac:dyDescent="0.25">
      <c r="Y27365" s="501"/>
    </row>
    <row r="27366" spans="25:25" hidden="1" x14ac:dyDescent="0.25">
      <c r="Y27366" s="501"/>
    </row>
    <row r="27367" spans="25:25" hidden="1" x14ac:dyDescent="0.25">
      <c r="Y27367" s="501"/>
    </row>
    <row r="27368" spans="25:25" hidden="1" x14ac:dyDescent="0.25">
      <c r="Y27368" s="501"/>
    </row>
    <row r="27369" spans="25:25" hidden="1" x14ac:dyDescent="0.25">
      <c r="Y27369" s="501"/>
    </row>
    <row r="27370" spans="25:25" hidden="1" x14ac:dyDescent="0.25">
      <c r="Y27370" s="501"/>
    </row>
    <row r="27371" spans="25:25" hidden="1" x14ac:dyDescent="0.25">
      <c r="Y27371" s="501"/>
    </row>
    <row r="27372" spans="25:25" hidden="1" x14ac:dyDescent="0.25">
      <c r="Y27372" s="501"/>
    </row>
    <row r="27373" spans="25:25" hidden="1" x14ac:dyDescent="0.25">
      <c r="Y27373" s="501"/>
    </row>
    <row r="27374" spans="25:25" hidden="1" x14ac:dyDescent="0.25">
      <c r="Y27374" s="501"/>
    </row>
    <row r="27375" spans="25:25" hidden="1" x14ac:dyDescent="0.25">
      <c r="Y27375" s="501"/>
    </row>
    <row r="27376" spans="25:25" hidden="1" x14ac:dyDescent="0.25">
      <c r="Y27376" s="501"/>
    </row>
    <row r="27377" spans="25:25" hidden="1" x14ac:dyDescent="0.25">
      <c r="Y27377" s="501"/>
    </row>
    <row r="27378" spans="25:25" hidden="1" x14ac:dyDescent="0.25">
      <c r="Y27378" s="501"/>
    </row>
    <row r="27379" spans="25:25" hidden="1" x14ac:dyDescent="0.25">
      <c r="Y27379" s="501"/>
    </row>
    <row r="27380" spans="25:25" hidden="1" x14ac:dyDescent="0.25">
      <c r="Y27380" s="501"/>
    </row>
    <row r="27381" spans="25:25" hidden="1" x14ac:dyDescent="0.25">
      <c r="Y27381" s="501"/>
    </row>
    <row r="27382" spans="25:25" hidden="1" x14ac:dyDescent="0.25">
      <c r="Y27382" s="501"/>
    </row>
    <row r="27383" spans="25:25" hidden="1" x14ac:dyDescent="0.25">
      <c r="Y27383" s="501"/>
    </row>
    <row r="27384" spans="25:25" hidden="1" x14ac:dyDescent="0.25">
      <c r="Y27384" s="501"/>
    </row>
    <row r="27385" spans="25:25" hidden="1" x14ac:dyDescent="0.25">
      <c r="Y27385" s="501"/>
    </row>
    <row r="27386" spans="25:25" hidden="1" x14ac:dyDescent="0.25">
      <c r="Y27386" s="501"/>
    </row>
    <row r="27387" spans="25:25" hidden="1" x14ac:dyDescent="0.25">
      <c r="Y27387" s="501"/>
    </row>
    <row r="27388" spans="25:25" hidden="1" x14ac:dyDescent="0.25">
      <c r="Y27388" s="501"/>
    </row>
    <row r="27389" spans="25:25" hidden="1" x14ac:dyDescent="0.25">
      <c r="Y27389" s="501"/>
    </row>
    <row r="27390" spans="25:25" hidden="1" x14ac:dyDescent="0.25">
      <c r="Y27390" s="501"/>
    </row>
    <row r="27391" spans="25:25" hidden="1" x14ac:dyDescent="0.25">
      <c r="Y27391" s="501"/>
    </row>
    <row r="27392" spans="25:25" hidden="1" x14ac:dyDescent="0.25">
      <c r="Y27392" s="501"/>
    </row>
    <row r="27393" spans="25:25" hidden="1" x14ac:dyDescent="0.25">
      <c r="Y27393" s="501"/>
    </row>
    <row r="27394" spans="25:25" hidden="1" x14ac:dyDescent="0.25">
      <c r="Y27394" s="501"/>
    </row>
    <row r="27395" spans="25:25" hidden="1" x14ac:dyDescent="0.25">
      <c r="Y27395" s="501"/>
    </row>
    <row r="27396" spans="25:25" hidden="1" x14ac:dyDescent="0.25">
      <c r="Y27396" s="501"/>
    </row>
    <row r="27397" spans="25:25" hidden="1" x14ac:dyDescent="0.25">
      <c r="Y27397" s="501"/>
    </row>
    <row r="27398" spans="25:25" hidden="1" x14ac:dyDescent="0.25">
      <c r="Y27398" s="501"/>
    </row>
    <row r="27399" spans="25:25" hidden="1" x14ac:dyDescent="0.25">
      <c r="Y27399" s="501"/>
    </row>
    <row r="27400" spans="25:25" hidden="1" x14ac:dyDescent="0.25">
      <c r="Y27400" s="501"/>
    </row>
    <row r="27401" spans="25:25" hidden="1" x14ac:dyDescent="0.25">
      <c r="Y27401" s="501"/>
    </row>
    <row r="27402" spans="25:25" hidden="1" x14ac:dyDescent="0.25">
      <c r="Y27402" s="501"/>
    </row>
    <row r="27403" spans="25:25" hidden="1" x14ac:dyDescent="0.25">
      <c r="Y27403" s="501"/>
    </row>
    <row r="27404" spans="25:25" hidden="1" x14ac:dyDescent="0.25">
      <c r="Y27404" s="501"/>
    </row>
    <row r="27405" spans="25:25" hidden="1" x14ac:dyDescent="0.25">
      <c r="Y27405" s="501"/>
    </row>
    <row r="27406" spans="25:25" hidden="1" x14ac:dyDescent="0.25">
      <c r="Y27406" s="501"/>
    </row>
    <row r="27407" spans="25:25" hidden="1" x14ac:dyDescent="0.25">
      <c r="Y27407" s="501"/>
    </row>
    <row r="27408" spans="25:25" hidden="1" x14ac:dyDescent="0.25">
      <c r="Y27408" s="501"/>
    </row>
    <row r="27409" spans="25:25" hidden="1" x14ac:dyDescent="0.25">
      <c r="Y27409" s="501"/>
    </row>
    <row r="27410" spans="25:25" hidden="1" x14ac:dyDescent="0.25">
      <c r="Y27410" s="501"/>
    </row>
    <row r="27411" spans="25:25" hidden="1" x14ac:dyDescent="0.25">
      <c r="Y27411" s="501"/>
    </row>
    <row r="27412" spans="25:25" hidden="1" x14ac:dyDescent="0.25">
      <c r="Y27412" s="501"/>
    </row>
    <row r="27413" spans="25:25" hidden="1" x14ac:dyDescent="0.25">
      <c r="Y27413" s="501"/>
    </row>
    <row r="27414" spans="25:25" hidden="1" x14ac:dyDescent="0.25">
      <c r="Y27414" s="501"/>
    </row>
    <row r="27415" spans="25:25" hidden="1" x14ac:dyDescent="0.25">
      <c r="Y27415" s="501"/>
    </row>
    <row r="27416" spans="25:25" hidden="1" x14ac:dyDescent="0.25">
      <c r="Y27416" s="501"/>
    </row>
    <row r="27417" spans="25:25" hidden="1" x14ac:dyDescent="0.25">
      <c r="Y27417" s="501"/>
    </row>
    <row r="27418" spans="25:25" hidden="1" x14ac:dyDescent="0.25">
      <c r="Y27418" s="501"/>
    </row>
    <row r="27419" spans="25:25" hidden="1" x14ac:dyDescent="0.25">
      <c r="Y27419" s="501"/>
    </row>
    <row r="27420" spans="25:25" hidden="1" x14ac:dyDescent="0.25">
      <c r="Y27420" s="501"/>
    </row>
    <row r="27421" spans="25:25" hidden="1" x14ac:dyDescent="0.25">
      <c r="Y27421" s="501"/>
    </row>
    <row r="27422" spans="25:25" hidden="1" x14ac:dyDescent="0.25">
      <c r="Y27422" s="501"/>
    </row>
    <row r="27423" spans="25:25" hidden="1" x14ac:dyDescent="0.25">
      <c r="Y27423" s="501"/>
    </row>
    <row r="27424" spans="25:25" hidden="1" x14ac:dyDescent="0.25">
      <c r="Y27424" s="501"/>
    </row>
    <row r="27425" spans="25:25" hidden="1" x14ac:dyDescent="0.25">
      <c r="Y27425" s="501"/>
    </row>
    <row r="27426" spans="25:25" hidden="1" x14ac:dyDescent="0.25">
      <c r="Y27426" s="501"/>
    </row>
    <row r="27427" spans="25:25" hidden="1" x14ac:dyDescent="0.25">
      <c r="Y27427" s="501"/>
    </row>
    <row r="27428" spans="25:25" hidden="1" x14ac:dyDescent="0.25">
      <c r="Y27428" s="501"/>
    </row>
    <row r="27429" spans="25:25" hidden="1" x14ac:dyDescent="0.25">
      <c r="Y27429" s="501"/>
    </row>
    <row r="27430" spans="25:25" hidden="1" x14ac:dyDescent="0.25">
      <c r="Y27430" s="501"/>
    </row>
    <row r="27431" spans="25:25" hidden="1" x14ac:dyDescent="0.25">
      <c r="Y27431" s="501"/>
    </row>
    <row r="27432" spans="25:25" hidden="1" x14ac:dyDescent="0.25">
      <c r="Y27432" s="501"/>
    </row>
    <row r="27433" spans="25:25" hidden="1" x14ac:dyDescent="0.25">
      <c r="Y27433" s="501"/>
    </row>
    <row r="27434" spans="25:25" hidden="1" x14ac:dyDescent="0.25">
      <c r="Y27434" s="501"/>
    </row>
    <row r="27435" spans="25:25" hidden="1" x14ac:dyDescent="0.25">
      <c r="Y27435" s="501"/>
    </row>
    <row r="27436" spans="25:25" hidden="1" x14ac:dyDescent="0.25">
      <c r="Y27436" s="501"/>
    </row>
    <row r="27437" spans="25:25" hidden="1" x14ac:dyDescent="0.25">
      <c r="Y27437" s="501"/>
    </row>
    <row r="27438" spans="25:25" hidden="1" x14ac:dyDescent="0.25">
      <c r="Y27438" s="501"/>
    </row>
    <row r="27439" spans="25:25" hidden="1" x14ac:dyDescent="0.25">
      <c r="Y27439" s="501"/>
    </row>
    <row r="27440" spans="25:25" hidden="1" x14ac:dyDescent="0.25">
      <c r="Y27440" s="501"/>
    </row>
    <row r="27441" spans="25:25" hidden="1" x14ac:dyDescent="0.25">
      <c r="Y27441" s="501"/>
    </row>
    <row r="27442" spans="25:25" hidden="1" x14ac:dyDescent="0.25">
      <c r="Y27442" s="501"/>
    </row>
    <row r="27443" spans="25:25" hidden="1" x14ac:dyDescent="0.25">
      <c r="Y27443" s="501"/>
    </row>
    <row r="27444" spans="25:25" hidden="1" x14ac:dyDescent="0.25">
      <c r="Y27444" s="501"/>
    </row>
    <row r="27445" spans="25:25" hidden="1" x14ac:dyDescent="0.25">
      <c r="Y27445" s="501"/>
    </row>
    <row r="27446" spans="25:25" hidden="1" x14ac:dyDescent="0.25">
      <c r="Y27446" s="501"/>
    </row>
    <row r="27447" spans="25:25" hidden="1" x14ac:dyDescent="0.25">
      <c r="Y27447" s="501"/>
    </row>
    <row r="27448" spans="25:25" hidden="1" x14ac:dyDescent="0.25">
      <c r="Y27448" s="501"/>
    </row>
    <row r="27449" spans="25:25" hidden="1" x14ac:dyDescent="0.25">
      <c r="Y27449" s="501"/>
    </row>
    <row r="27450" spans="25:25" hidden="1" x14ac:dyDescent="0.25">
      <c r="Y27450" s="501"/>
    </row>
    <row r="27451" spans="25:25" hidden="1" x14ac:dyDescent="0.25">
      <c r="Y27451" s="501"/>
    </row>
    <row r="27452" spans="25:25" hidden="1" x14ac:dyDescent="0.25">
      <c r="Y27452" s="501"/>
    </row>
    <row r="27453" spans="25:25" hidden="1" x14ac:dyDescent="0.25">
      <c r="Y27453" s="501"/>
    </row>
    <row r="27454" spans="25:25" hidden="1" x14ac:dyDescent="0.25">
      <c r="Y27454" s="501"/>
    </row>
    <row r="27455" spans="25:25" hidden="1" x14ac:dyDescent="0.25">
      <c r="Y27455" s="501"/>
    </row>
    <row r="27456" spans="25:25" hidden="1" x14ac:dyDescent="0.25">
      <c r="Y27456" s="501"/>
    </row>
    <row r="27457" spans="25:25" hidden="1" x14ac:dyDescent="0.25">
      <c r="Y27457" s="501"/>
    </row>
    <row r="27458" spans="25:25" hidden="1" x14ac:dyDescent="0.25">
      <c r="Y27458" s="501"/>
    </row>
    <row r="27459" spans="25:25" hidden="1" x14ac:dyDescent="0.25">
      <c r="Y27459" s="501"/>
    </row>
    <row r="27460" spans="25:25" hidden="1" x14ac:dyDescent="0.25">
      <c r="Y27460" s="501"/>
    </row>
    <row r="27461" spans="25:25" hidden="1" x14ac:dyDescent="0.25">
      <c r="Y27461" s="501"/>
    </row>
    <row r="27462" spans="25:25" hidden="1" x14ac:dyDescent="0.25">
      <c r="Y27462" s="501"/>
    </row>
    <row r="27463" spans="25:25" hidden="1" x14ac:dyDescent="0.25">
      <c r="Y27463" s="501"/>
    </row>
    <row r="27464" spans="25:25" hidden="1" x14ac:dyDescent="0.25">
      <c r="Y27464" s="501"/>
    </row>
    <row r="27465" spans="25:25" hidden="1" x14ac:dyDescent="0.25">
      <c r="Y27465" s="501"/>
    </row>
    <row r="27466" spans="25:25" hidden="1" x14ac:dyDescent="0.25">
      <c r="Y27466" s="501"/>
    </row>
    <row r="27467" spans="25:25" hidden="1" x14ac:dyDescent="0.25">
      <c r="Y27467" s="501"/>
    </row>
    <row r="27468" spans="25:25" hidden="1" x14ac:dyDescent="0.25">
      <c r="Y27468" s="501"/>
    </row>
    <row r="27469" spans="25:25" hidden="1" x14ac:dyDescent="0.25">
      <c r="Y27469" s="501"/>
    </row>
    <row r="27470" spans="25:25" hidden="1" x14ac:dyDescent="0.25">
      <c r="Y27470" s="501"/>
    </row>
    <row r="27471" spans="25:25" hidden="1" x14ac:dyDescent="0.25">
      <c r="Y27471" s="501"/>
    </row>
    <row r="27472" spans="25:25" hidden="1" x14ac:dyDescent="0.25">
      <c r="Y27472" s="501"/>
    </row>
    <row r="27473" spans="25:25" hidden="1" x14ac:dyDescent="0.25">
      <c r="Y27473" s="501"/>
    </row>
    <row r="27474" spans="25:25" hidden="1" x14ac:dyDescent="0.25">
      <c r="Y27474" s="501"/>
    </row>
    <row r="27475" spans="25:25" hidden="1" x14ac:dyDescent="0.25">
      <c r="Y27475" s="501"/>
    </row>
    <row r="27476" spans="25:25" hidden="1" x14ac:dyDescent="0.25">
      <c r="Y27476" s="501"/>
    </row>
    <row r="27477" spans="25:25" hidden="1" x14ac:dyDescent="0.25">
      <c r="Y27477" s="501"/>
    </row>
    <row r="27478" spans="25:25" hidden="1" x14ac:dyDescent="0.25">
      <c r="Y27478" s="501"/>
    </row>
    <row r="27479" spans="25:25" hidden="1" x14ac:dyDescent="0.25">
      <c r="Y27479" s="501"/>
    </row>
    <row r="27480" spans="25:25" hidden="1" x14ac:dyDescent="0.25">
      <c r="Y27480" s="501"/>
    </row>
    <row r="27481" spans="25:25" hidden="1" x14ac:dyDescent="0.25">
      <c r="Y27481" s="501"/>
    </row>
    <row r="27482" spans="25:25" hidden="1" x14ac:dyDescent="0.25">
      <c r="Y27482" s="501"/>
    </row>
    <row r="27483" spans="25:25" hidden="1" x14ac:dyDescent="0.25">
      <c r="Y27483" s="501"/>
    </row>
    <row r="27484" spans="25:25" hidden="1" x14ac:dyDescent="0.25">
      <c r="Y27484" s="501"/>
    </row>
    <row r="27485" spans="25:25" hidden="1" x14ac:dyDescent="0.25">
      <c r="Y27485" s="501"/>
    </row>
    <row r="27486" spans="25:25" hidden="1" x14ac:dyDescent="0.25">
      <c r="Y27486" s="501"/>
    </row>
    <row r="27487" spans="25:25" hidden="1" x14ac:dyDescent="0.25">
      <c r="Y27487" s="501"/>
    </row>
    <row r="27488" spans="25:25" hidden="1" x14ac:dyDescent="0.25">
      <c r="Y27488" s="501"/>
    </row>
    <row r="27489" spans="25:25" hidden="1" x14ac:dyDescent="0.25">
      <c r="Y27489" s="501"/>
    </row>
    <row r="27490" spans="25:25" hidden="1" x14ac:dyDescent="0.25">
      <c r="Y27490" s="501"/>
    </row>
    <row r="27491" spans="25:25" hidden="1" x14ac:dyDescent="0.25">
      <c r="Y27491" s="501"/>
    </row>
    <row r="27492" spans="25:25" hidden="1" x14ac:dyDescent="0.25">
      <c r="Y27492" s="501"/>
    </row>
    <row r="27493" spans="25:25" hidden="1" x14ac:dyDescent="0.25">
      <c r="Y27493" s="501"/>
    </row>
    <row r="27494" spans="25:25" hidden="1" x14ac:dyDescent="0.25">
      <c r="Y27494" s="501"/>
    </row>
    <row r="27495" spans="25:25" hidden="1" x14ac:dyDescent="0.25">
      <c r="Y27495" s="501"/>
    </row>
    <row r="27496" spans="25:25" hidden="1" x14ac:dyDescent="0.25">
      <c r="Y27496" s="501"/>
    </row>
    <row r="27497" spans="25:25" hidden="1" x14ac:dyDescent="0.25">
      <c r="Y27497" s="501"/>
    </row>
    <row r="27498" spans="25:25" hidden="1" x14ac:dyDescent="0.25">
      <c r="Y27498" s="501"/>
    </row>
    <row r="27499" spans="25:25" hidden="1" x14ac:dyDescent="0.25">
      <c r="Y27499" s="501"/>
    </row>
    <row r="27500" spans="25:25" hidden="1" x14ac:dyDescent="0.25">
      <c r="Y27500" s="501"/>
    </row>
    <row r="27501" spans="25:25" hidden="1" x14ac:dyDescent="0.25">
      <c r="Y27501" s="501"/>
    </row>
    <row r="27502" spans="25:25" hidden="1" x14ac:dyDescent="0.25">
      <c r="Y27502" s="501"/>
    </row>
    <row r="27503" spans="25:25" hidden="1" x14ac:dyDescent="0.25">
      <c r="Y27503" s="501"/>
    </row>
    <row r="27504" spans="25:25" hidden="1" x14ac:dyDescent="0.25">
      <c r="Y27504" s="501"/>
    </row>
    <row r="27505" spans="25:25" hidden="1" x14ac:dyDescent="0.25">
      <c r="Y27505" s="501"/>
    </row>
    <row r="27506" spans="25:25" hidden="1" x14ac:dyDescent="0.25">
      <c r="Y27506" s="501"/>
    </row>
    <row r="27507" spans="25:25" hidden="1" x14ac:dyDescent="0.25">
      <c r="Y27507" s="501"/>
    </row>
    <row r="27508" spans="25:25" hidden="1" x14ac:dyDescent="0.25">
      <c r="Y27508" s="501"/>
    </row>
    <row r="27509" spans="25:25" hidden="1" x14ac:dyDescent="0.25">
      <c r="Y27509" s="501"/>
    </row>
    <row r="27510" spans="25:25" hidden="1" x14ac:dyDescent="0.25">
      <c r="Y27510" s="501"/>
    </row>
    <row r="27511" spans="25:25" hidden="1" x14ac:dyDescent="0.25">
      <c r="Y27511" s="501"/>
    </row>
    <row r="27512" spans="25:25" hidden="1" x14ac:dyDescent="0.25">
      <c r="Y27512" s="501"/>
    </row>
    <row r="27513" spans="25:25" hidden="1" x14ac:dyDescent="0.25">
      <c r="Y27513" s="501"/>
    </row>
    <row r="27514" spans="25:25" hidden="1" x14ac:dyDescent="0.25">
      <c r="Y27514" s="501"/>
    </row>
    <row r="27515" spans="25:25" hidden="1" x14ac:dyDescent="0.25">
      <c r="Y27515" s="501"/>
    </row>
    <row r="27516" spans="25:25" hidden="1" x14ac:dyDescent="0.25">
      <c r="Y27516" s="501"/>
    </row>
    <row r="27517" spans="25:25" hidden="1" x14ac:dyDescent="0.25">
      <c r="Y27517" s="501"/>
    </row>
    <row r="27518" spans="25:25" hidden="1" x14ac:dyDescent="0.25">
      <c r="Y27518" s="501"/>
    </row>
    <row r="27519" spans="25:25" hidden="1" x14ac:dyDescent="0.25">
      <c r="Y27519" s="501"/>
    </row>
    <row r="27520" spans="25:25" hidden="1" x14ac:dyDescent="0.25">
      <c r="Y27520" s="501"/>
    </row>
    <row r="27521" spans="25:25" hidden="1" x14ac:dyDescent="0.25">
      <c r="Y27521" s="501"/>
    </row>
    <row r="27522" spans="25:25" hidden="1" x14ac:dyDescent="0.25">
      <c r="Y27522" s="501"/>
    </row>
    <row r="27523" spans="25:25" hidden="1" x14ac:dyDescent="0.25">
      <c r="Y27523" s="501"/>
    </row>
    <row r="27524" spans="25:25" hidden="1" x14ac:dyDescent="0.25">
      <c r="Y27524" s="501"/>
    </row>
    <row r="27525" spans="25:25" hidden="1" x14ac:dyDescent="0.25">
      <c r="Y27525" s="501"/>
    </row>
    <row r="27526" spans="25:25" hidden="1" x14ac:dyDescent="0.25">
      <c r="Y27526" s="501"/>
    </row>
    <row r="27527" spans="25:25" hidden="1" x14ac:dyDescent="0.25">
      <c r="Y27527" s="501"/>
    </row>
    <row r="27528" spans="25:25" hidden="1" x14ac:dyDescent="0.25">
      <c r="Y27528" s="501"/>
    </row>
    <row r="27529" spans="25:25" hidden="1" x14ac:dyDescent="0.25">
      <c r="Y27529" s="501"/>
    </row>
    <row r="27530" spans="25:25" hidden="1" x14ac:dyDescent="0.25">
      <c r="Y27530" s="501"/>
    </row>
    <row r="27531" spans="25:25" hidden="1" x14ac:dyDescent="0.25">
      <c r="Y27531" s="501"/>
    </row>
    <row r="27532" spans="25:25" hidden="1" x14ac:dyDescent="0.25">
      <c r="Y27532" s="501"/>
    </row>
    <row r="27533" spans="25:25" hidden="1" x14ac:dyDescent="0.25">
      <c r="Y27533" s="501"/>
    </row>
    <row r="27534" spans="25:25" hidden="1" x14ac:dyDescent="0.25">
      <c r="Y27534" s="501"/>
    </row>
    <row r="27535" spans="25:25" hidden="1" x14ac:dyDescent="0.25">
      <c r="Y27535" s="501"/>
    </row>
    <row r="27536" spans="25:25" hidden="1" x14ac:dyDescent="0.25">
      <c r="Y27536" s="501"/>
    </row>
    <row r="27537" spans="25:25" hidden="1" x14ac:dyDescent="0.25">
      <c r="Y27537" s="501"/>
    </row>
    <row r="27538" spans="25:25" hidden="1" x14ac:dyDescent="0.25">
      <c r="Y27538" s="501"/>
    </row>
    <row r="27539" spans="25:25" hidden="1" x14ac:dyDescent="0.25">
      <c r="Y27539" s="501"/>
    </row>
    <row r="27540" spans="25:25" hidden="1" x14ac:dyDescent="0.25">
      <c r="Y27540" s="501"/>
    </row>
    <row r="27541" spans="25:25" hidden="1" x14ac:dyDescent="0.25">
      <c r="Y27541" s="501"/>
    </row>
    <row r="27542" spans="25:25" hidden="1" x14ac:dyDescent="0.25">
      <c r="Y27542" s="501"/>
    </row>
    <row r="27543" spans="25:25" hidden="1" x14ac:dyDescent="0.25">
      <c r="Y27543" s="501"/>
    </row>
    <row r="27544" spans="25:25" hidden="1" x14ac:dyDescent="0.25">
      <c r="Y27544" s="501"/>
    </row>
    <row r="27545" spans="25:25" hidden="1" x14ac:dyDescent="0.25">
      <c r="Y27545" s="501"/>
    </row>
    <row r="27546" spans="25:25" hidden="1" x14ac:dyDescent="0.25">
      <c r="Y27546" s="501"/>
    </row>
    <row r="27547" spans="25:25" hidden="1" x14ac:dyDescent="0.25">
      <c r="Y27547" s="501"/>
    </row>
    <row r="27548" spans="25:25" hidden="1" x14ac:dyDescent="0.25">
      <c r="Y27548" s="501"/>
    </row>
    <row r="27549" spans="25:25" hidden="1" x14ac:dyDescent="0.25">
      <c r="Y27549" s="501"/>
    </row>
    <row r="27550" spans="25:25" hidden="1" x14ac:dyDescent="0.25">
      <c r="Y27550" s="501"/>
    </row>
    <row r="27551" spans="25:25" hidden="1" x14ac:dyDescent="0.25">
      <c r="Y27551" s="501"/>
    </row>
    <row r="27552" spans="25:25" hidden="1" x14ac:dyDescent="0.25">
      <c r="Y27552" s="501"/>
    </row>
    <row r="27553" spans="25:25" hidden="1" x14ac:dyDescent="0.25">
      <c r="Y27553" s="501"/>
    </row>
    <row r="27554" spans="25:25" hidden="1" x14ac:dyDescent="0.25">
      <c r="Y27554" s="501"/>
    </row>
    <row r="27555" spans="25:25" hidden="1" x14ac:dyDescent="0.25">
      <c r="Y27555" s="501"/>
    </row>
    <row r="27556" spans="25:25" hidden="1" x14ac:dyDescent="0.25">
      <c r="Y27556" s="501"/>
    </row>
    <row r="27557" spans="25:25" hidden="1" x14ac:dyDescent="0.25">
      <c r="Y27557" s="501"/>
    </row>
    <row r="27558" spans="25:25" hidden="1" x14ac:dyDescent="0.25">
      <c r="Y27558" s="501"/>
    </row>
    <row r="27559" spans="25:25" hidden="1" x14ac:dyDescent="0.25">
      <c r="Y27559" s="501"/>
    </row>
    <row r="27560" spans="25:25" hidden="1" x14ac:dyDescent="0.25">
      <c r="Y27560" s="501"/>
    </row>
    <row r="27561" spans="25:25" hidden="1" x14ac:dyDescent="0.25">
      <c r="Y27561" s="501"/>
    </row>
    <row r="27562" spans="25:25" hidden="1" x14ac:dyDescent="0.25">
      <c r="Y27562" s="501"/>
    </row>
    <row r="27563" spans="25:25" hidden="1" x14ac:dyDescent="0.25">
      <c r="Y27563" s="501"/>
    </row>
    <row r="27564" spans="25:25" hidden="1" x14ac:dyDescent="0.25">
      <c r="Y27564" s="501"/>
    </row>
    <row r="27565" spans="25:25" hidden="1" x14ac:dyDescent="0.25">
      <c r="Y27565" s="501"/>
    </row>
    <row r="27566" spans="25:25" hidden="1" x14ac:dyDescent="0.25">
      <c r="Y27566" s="501"/>
    </row>
    <row r="27567" spans="25:25" hidden="1" x14ac:dyDescent="0.25">
      <c r="Y27567" s="501"/>
    </row>
    <row r="27568" spans="25:25" hidden="1" x14ac:dyDescent="0.25">
      <c r="Y27568" s="501"/>
    </row>
    <row r="27569" spans="25:25" hidden="1" x14ac:dyDescent="0.25">
      <c r="Y27569" s="501"/>
    </row>
    <row r="27570" spans="25:25" hidden="1" x14ac:dyDescent="0.25">
      <c r="Y27570" s="501"/>
    </row>
    <row r="27571" spans="25:25" hidden="1" x14ac:dyDescent="0.25">
      <c r="Y27571" s="501"/>
    </row>
    <row r="27572" spans="25:25" hidden="1" x14ac:dyDescent="0.25">
      <c r="Y27572" s="501"/>
    </row>
    <row r="27573" spans="25:25" hidden="1" x14ac:dyDescent="0.25">
      <c r="Y27573" s="501"/>
    </row>
    <row r="27574" spans="25:25" hidden="1" x14ac:dyDescent="0.25">
      <c r="Y27574" s="501"/>
    </row>
    <row r="27575" spans="25:25" hidden="1" x14ac:dyDescent="0.25">
      <c r="Y27575" s="501"/>
    </row>
    <row r="27576" spans="25:25" hidden="1" x14ac:dyDescent="0.25">
      <c r="Y27576" s="501"/>
    </row>
    <row r="27577" spans="25:25" hidden="1" x14ac:dyDescent="0.25">
      <c r="Y27577" s="501"/>
    </row>
    <row r="27578" spans="25:25" hidden="1" x14ac:dyDescent="0.25">
      <c r="Y27578" s="501"/>
    </row>
    <row r="27579" spans="25:25" hidden="1" x14ac:dyDescent="0.25">
      <c r="Y27579" s="501"/>
    </row>
    <row r="27580" spans="25:25" hidden="1" x14ac:dyDescent="0.25">
      <c r="Y27580" s="501"/>
    </row>
    <row r="27581" spans="25:25" hidden="1" x14ac:dyDescent="0.25">
      <c r="Y27581" s="501"/>
    </row>
    <row r="27582" spans="25:25" hidden="1" x14ac:dyDescent="0.25">
      <c r="Y27582" s="501"/>
    </row>
    <row r="27583" spans="25:25" hidden="1" x14ac:dyDescent="0.25">
      <c r="Y27583" s="501"/>
    </row>
    <row r="27584" spans="25:25" hidden="1" x14ac:dyDescent="0.25">
      <c r="Y27584" s="501"/>
    </row>
    <row r="27585" spans="25:25" hidden="1" x14ac:dyDescent="0.25">
      <c r="Y27585" s="501"/>
    </row>
    <row r="27586" spans="25:25" hidden="1" x14ac:dyDescent="0.25">
      <c r="Y27586" s="501"/>
    </row>
    <row r="27587" spans="25:25" hidden="1" x14ac:dyDescent="0.25">
      <c r="Y27587" s="501"/>
    </row>
    <row r="27588" spans="25:25" hidden="1" x14ac:dyDescent="0.25">
      <c r="Y27588" s="501"/>
    </row>
    <row r="27589" spans="25:25" hidden="1" x14ac:dyDescent="0.25">
      <c r="Y27589" s="501"/>
    </row>
    <row r="27590" spans="25:25" hidden="1" x14ac:dyDescent="0.25">
      <c r="Y27590" s="501"/>
    </row>
    <row r="27591" spans="25:25" hidden="1" x14ac:dyDescent="0.25">
      <c r="Y27591" s="501"/>
    </row>
    <row r="27592" spans="25:25" hidden="1" x14ac:dyDescent="0.25">
      <c r="Y27592" s="501"/>
    </row>
    <row r="27593" spans="25:25" hidden="1" x14ac:dyDescent="0.25">
      <c r="Y27593" s="501"/>
    </row>
    <row r="27594" spans="25:25" hidden="1" x14ac:dyDescent="0.25">
      <c r="Y27594" s="501"/>
    </row>
    <row r="27595" spans="25:25" hidden="1" x14ac:dyDescent="0.25">
      <c r="Y27595" s="501"/>
    </row>
    <row r="27596" spans="25:25" hidden="1" x14ac:dyDescent="0.25">
      <c r="Y27596" s="501"/>
    </row>
    <row r="27597" spans="25:25" hidden="1" x14ac:dyDescent="0.25">
      <c r="Y27597" s="501"/>
    </row>
    <row r="27598" spans="25:25" hidden="1" x14ac:dyDescent="0.25">
      <c r="Y27598" s="501"/>
    </row>
    <row r="27599" spans="25:25" hidden="1" x14ac:dyDescent="0.25">
      <c r="Y27599" s="501"/>
    </row>
    <row r="27600" spans="25:25" hidden="1" x14ac:dyDescent="0.25">
      <c r="Y27600" s="501"/>
    </row>
    <row r="27601" spans="25:25" hidden="1" x14ac:dyDescent="0.25">
      <c r="Y27601" s="501"/>
    </row>
    <row r="27602" spans="25:25" hidden="1" x14ac:dyDescent="0.25">
      <c r="Y27602" s="501"/>
    </row>
    <row r="27603" spans="25:25" hidden="1" x14ac:dyDescent="0.25">
      <c r="Y27603" s="501"/>
    </row>
    <row r="27604" spans="25:25" hidden="1" x14ac:dyDescent="0.25">
      <c r="Y27604" s="501"/>
    </row>
    <row r="27605" spans="25:25" hidden="1" x14ac:dyDescent="0.25">
      <c r="Y27605" s="501"/>
    </row>
    <row r="27606" spans="25:25" hidden="1" x14ac:dyDescent="0.25">
      <c r="Y27606" s="501"/>
    </row>
    <row r="27607" spans="25:25" hidden="1" x14ac:dyDescent="0.25">
      <c r="Y27607" s="501"/>
    </row>
    <row r="27608" spans="25:25" hidden="1" x14ac:dyDescent="0.25">
      <c r="Y27608" s="501"/>
    </row>
    <row r="27609" spans="25:25" hidden="1" x14ac:dyDescent="0.25">
      <c r="Y27609" s="501"/>
    </row>
    <row r="27610" spans="25:25" hidden="1" x14ac:dyDescent="0.25">
      <c r="Y27610" s="501"/>
    </row>
    <row r="27611" spans="25:25" hidden="1" x14ac:dyDescent="0.25">
      <c r="Y27611" s="501"/>
    </row>
    <row r="27612" spans="25:25" hidden="1" x14ac:dyDescent="0.25">
      <c r="Y27612" s="501"/>
    </row>
    <row r="27613" spans="25:25" hidden="1" x14ac:dyDescent="0.25">
      <c r="Y27613" s="501"/>
    </row>
    <row r="27614" spans="25:25" hidden="1" x14ac:dyDescent="0.25">
      <c r="Y27614" s="501"/>
    </row>
    <row r="27615" spans="25:25" hidden="1" x14ac:dyDescent="0.25">
      <c r="Y27615" s="501"/>
    </row>
    <row r="27616" spans="25:25" hidden="1" x14ac:dyDescent="0.25">
      <c r="Y27616" s="501"/>
    </row>
    <row r="27617" spans="25:25" hidden="1" x14ac:dyDescent="0.25">
      <c r="Y27617" s="501"/>
    </row>
    <row r="27618" spans="25:25" hidden="1" x14ac:dyDescent="0.25">
      <c r="Y27618" s="501"/>
    </row>
    <row r="27619" spans="25:25" hidden="1" x14ac:dyDescent="0.25">
      <c r="Y27619" s="501"/>
    </row>
    <row r="27620" spans="25:25" hidden="1" x14ac:dyDescent="0.25">
      <c r="Y27620" s="501"/>
    </row>
    <row r="27621" spans="25:25" hidden="1" x14ac:dyDescent="0.25">
      <c r="Y27621" s="501"/>
    </row>
    <row r="27622" spans="25:25" hidden="1" x14ac:dyDescent="0.25">
      <c r="Y27622" s="501"/>
    </row>
    <row r="27623" spans="25:25" hidden="1" x14ac:dyDescent="0.25">
      <c r="Y27623" s="501"/>
    </row>
    <row r="27624" spans="25:25" hidden="1" x14ac:dyDescent="0.25">
      <c r="Y27624" s="501"/>
    </row>
    <row r="27625" spans="25:25" hidden="1" x14ac:dyDescent="0.25">
      <c r="Y27625" s="501"/>
    </row>
    <row r="27626" spans="25:25" hidden="1" x14ac:dyDescent="0.25">
      <c r="Y27626" s="501"/>
    </row>
    <row r="27627" spans="25:25" hidden="1" x14ac:dyDescent="0.25">
      <c r="Y27627" s="501"/>
    </row>
    <row r="27628" spans="25:25" hidden="1" x14ac:dyDescent="0.25">
      <c r="Y27628" s="501"/>
    </row>
    <row r="27629" spans="25:25" hidden="1" x14ac:dyDescent="0.25">
      <c r="Y27629" s="501"/>
    </row>
    <row r="27630" spans="25:25" hidden="1" x14ac:dyDescent="0.25">
      <c r="Y27630" s="501"/>
    </row>
    <row r="27631" spans="25:25" hidden="1" x14ac:dyDescent="0.25">
      <c r="Y27631" s="501"/>
    </row>
    <row r="27632" spans="25:25" hidden="1" x14ac:dyDescent="0.25">
      <c r="Y27632" s="501"/>
    </row>
    <row r="27633" spans="25:25" hidden="1" x14ac:dyDescent="0.25">
      <c r="Y27633" s="501"/>
    </row>
    <row r="27634" spans="25:25" hidden="1" x14ac:dyDescent="0.25">
      <c r="Y27634" s="501"/>
    </row>
    <row r="27635" spans="25:25" hidden="1" x14ac:dyDescent="0.25">
      <c r="Y27635" s="501"/>
    </row>
    <row r="27636" spans="25:25" hidden="1" x14ac:dyDescent="0.25">
      <c r="Y27636" s="501"/>
    </row>
    <row r="27637" spans="25:25" hidden="1" x14ac:dyDescent="0.25">
      <c r="Y27637" s="501"/>
    </row>
    <row r="27638" spans="25:25" hidden="1" x14ac:dyDescent="0.25">
      <c r="Y27638" s="501"/>
    </row>
    <row r="27639" spans="25:25" hidden="1" x14ac:dyDescent="0.25">
      <c r="Y27639" s="501"/>
    </row>
    <row r="27640" spans="25:25" hidden="1" x14ac:dyDescent="0.25">
      <c r="Y27640" s="501"/>
    </row>
    <row r="27641" spans="25:25" hidden="1" x14ac:dyDescent="0.25">
      <c r="Y27641" s="501"/>
    </row>
    <row r="27642" spans="25:25" hidden="1" x14ac:dyDescent="0.25">
      <c r="Y27642" s="501"/>
    </row>
    <row r="27643" spans="25:25" hidden="1" x14ac:dyDescent="0.25">
      <c r="Y27643" s="501"/>
    </row>
    <row r="27644" spans="25:25" hidden="1" x14ac:dyDescent="0.25">
      <c r="Y27644" s="501"/>
    </row>
    <row r="27645" spans="25:25" hidden="1" x14ac:dyDescent="0.25">
      <c r="Y27645" s="501"/>
    </row>
    <row r="27646" spans="25:25" hidden="1" x14ac:dyDescent="0.25">
      <c r="Y27646" s="501"/>
    </row>
    <row r="27647" spans="25:25" hidden="1" x14ac:dyDescent="0.25">
      <c r="Y27647" s="501"/>
    </row>
    <row r="27648" spans="25:25" hidden="1" x14ac:dyDescent="0.25">
      <c r="Y27648" s="501"/>
    </row>
    <row r="27649" spans="25:25" hidden="1" x14ac:dyDescent="0.25">
      <c r="Y27649" s="501"/>
    </row>
    <row r="27650" spans="25:25" hidden="1" x14ac:dyDescent="0.25">
      <c r="Y27650" s="501"/>
    </row>
    <row r="27651" spans="25:25" hidden="1" x14ac:dyDescent="0.25">
      <c r="Y27651" s="501"/>
    </row>
    <row r="27652" spans="25:25" hidden="1" x14ac:dyDescent="0.25">
      <c r="Y27652" s="501"/>
    </row>
    <row r="27653" spans="25:25" hidden="1" x14ac:dyDescent="0.25">
      <c r="Y27653" s="501"/>
    </row>
    <row r="27654" spans="25:25" hidden="1" x14ac:dyDescent="0.25">
      <c r="Y27654" s="501"/>
    </row>
    <row r="27655" spans="25:25" hidden="1" x14ac:dyDescent="0.25">
      <c r="Y27655" s="501"/>
    </row>
    <row r="27656" spans="25:25" hidden="1" x14ac:dyDescent="0.25">
      <c r="Y27656" s="501"/>
    </row>
    <row r="27657" spans="25:25" hidden="1" x14ac:dyDescent="0.25">
      <c r="Y27657" s="501"/>
    </row>
    <row r="27658" spans="25:25" hidden="1" x14ac:dyDescent="0.25">
      <c r="Y27658" s="501"/>
    </row>
    <row r="27659" spans="25:25" hidden="1" x14ac:dyDescent="0.25">
      <c r="Y27659" s="501"/>
    </row>
    <row r="27660" spans="25:25" hidden="1" x14ac:dyDescent="0.25">
      <c r="Y27660" s="501"/>
    </row>
    <row r="27661" spans="25:25" hidden="1" x14ac:dyDescent="0.25">
      <c r="Y27661" s="501"/>
    </row>
    <row r="27662" spans="25:25" hidden="1" x14ac:dyDescent="0.25">
      <c r="Y27662" s="501"/>
    </row>
    <row r="27663" spans="25:25" hidden="1" x14ac:dyDescent="0.25">
      <c r="Y27663" s="501"/>
    </row>
    <row r="27664" spans="25:25" hidden="1" x14ac:dyDescent="0.25">
      <c r="Y27664" s="501"/>
    </row>
    <row r="27665" spans="25:25" hidden="1" x14ac:dyDescent="0.25">
      <c r="Y27665" s="501"/>
    </row>
    <row r="27666" spans="25:25" hidden="1" x14ac:dyDescent="0.25">
      <c r="Y27666" s="501"/>
    </row>
    <row r="27667" spans="25:25" hidden="1" x14ac:dyDescent="0.25">
      <c r="Y27667" s="501"/>
    </row>
    <row r="27668" spans="25:25" hidden="1" x14ac:dyDescent="0.25">
      <c r="Y27668" s="501"/>
    </row>
    <row r="27669" spans="25:25" hidden="1" x14ac:dyDescent="0.25">
      <c r="Y27669" s="501"/>
    </row>
    <row r="27670" spans="25:25" hidden="1" x14ac:dyDescent="0.25">
      <c r="Y27670" s="501"/>
    </row>
    <row r="27671" spans="25:25" hidden="1" x14ac:dyDescent="0.25">
      <c r="Y27671" s="501"/>
    </row>
    <row r="27672" spans="25:25" hidden="1" x14ac:dyDescent="0.25">
      <c r="Y27672" s="501"/>
    </row>
    <row r="27673" spans="25:25" hidden="1" x14ac:dyDescent="0.25">
      <c r="Y27673" s="501"/>
    </row>
    <row r="27674" spans="25:25" hidden="1" x14ac:dyDescent="0.25">
      <c r="Y27674" s="501"/>
    </row>
    <row r="27675" spans="25:25" hidden="1" x14ac:dyDescent="0.25">
      <c r="Y27675" s="501"/>
    </row>
    <row r="27676" spans="25:25" hidden="1" x14ac:dyDescent="0.25">
      <c r="Y27676" s="501"/>
    </row>
    <row r="27677" spans="25:25" hidden="1" x14ac:dyDescent="0.25">
      <c r="Y27677" s="501"/>
    </row>
    <row r="27678" spans="25:25" hidden="1" x14ac:dyDescent="0.25">
      <c r="Y27678" s="501"/>
    </row>
    <row r="27679" spans="25:25" hidden="1" x14ac:dyDescent="0.25">
      <c r="Y27679" s="501"/>
    </row>
    <row r="27680" spans="25:25" hidden="1" x14ac:dyDescent="0.25">
      <c r="Y27680" s="501"/>
    </row>
    <row r="27681" spans="25:25" hidden="1" x14ac:dyDescent="0.25">
      <c r="Y27681" s="501"/>
    </row>
    <row r="27682" spans="25:25" hidden="1" x14ac:dyDescent="0.25">
      <c r="Y27682" s="501"/>
    </row>
    <row r="27683" spans="25:25" hidden="1" x14ac:dyDescent="0.25">
      <c r="Y27683" s="501"/>
    </row>
    <row r="27684" spans="25:25" hidden="1" x14ac:dyDescent="0.25">
      <c r="Y27684" s="501"/>
    </row>
    <row r="27685" spans="25:25" hidden="1" x14ac:dyDescent="0.25">
      <c r="Y27685" s="501"/>
    </row>
    <row r="27686" spans="25:25" hidden="1" x14ac:dyDescent="0.25">
      <c r="Y27686" s="501"/>
    </row>
    <row r="27687" spans="25:25" hidden="1" x14ac:dyDescent="0.25">
      <c r="Y27687" s="501"/>
    </row>
    <row r="27688" spans="25:25" hidden="1" x14ac:dyDescent="0.25">
      <c r="Y27688" s="501"/>
    </row>
    <row r="27689" spans="25:25" hidden="1" x14ac:dyDescent="0.25">
      <c r="Y27689" s="501"/>
    </row>
    <row r="27690" spans="25:25" hidden="1" x14ac:dyDescent="0.25">
      <c r="Y27690" s="501"/>
    </row>
    <row r="27691" spans="25:25" hidden="1" x14ac:dyDescent="0.25">
      <c r="Y27691" s="501"/>
    </row>
    <row r="27692" spans="25:25" hidden="1" x14ac:dyDescent="0.25">
      <c r="Y27692" s="501"/>
    </row>
    <row r="27693" spans="25:25" hidden="1" x14ac:dyDescent="0.25">
      <c r="Y27693" s="501"/>
    </row>
    <row r="27694" spans="25:25" hidden="1" x14ac:dyDescent="0.25">
      <c r="Y27694" s="501"/>
    </row>
    <row r="27695" spans="25:25" hidden="1" x14ac:dyDescent="0.25">
      <c r="Y27695" s="501"/>
    </row>
    <row r="27696" spans="25:25" hidden="1" x14ac:dyDescent="0.25">
      <c r="Y27696" s="501"/>
    </row>
    <row r="27697" spans="25:25" hidden="1" x14ac:dyDescent="0.25">
      <c r="Y27697" s="501"/>
    </row>
    <row r="27698" spans="25:25" hidden="1" x14ac:dyDescent="0.25">
      <c r="Y27698" s="501"/>
    </row>
    <row r="27699" spans="25:25" hidden="1" x14ac:dyDescent="0.25">
      <c r="Y27699" s="501"/>
    </row>
    <row r="27700" spans="25:25" hidden="1" x14ac:dyDescent="0.25">
      <c r="Y27700" s="501"/>
    </row>
    <row r="27701" spans="25:25" hidden="1" x14ac:dyDescent="0.25">
      <c r="Y27701" s="501"/>
    </row>
    <row r="27702" spans="25:25" hidden="1" x14ac:dyDescent="0.25">
      <c r="Y27702" s="501"/>
    </row>
    <row r="27703" spans="25:25" hidden="1" x14ac:dyDescent="0.25">
      <c r="Y27703" s="501"/>
    </row>
    <row r="27704" spans="25:25" hidden="1" x14ac:dyDescent="0.25">
      <c r="Y27704" s="501"/>
    </row>
    <row r="27705" spans="25:25" hidden="1" x14ac:dyDescent="0.25">
      <c r="Y27705" s="501"/>
    </row>
    <row r="27706" spans="25:25" hidden="1" x14ac:dyDescent="0.25">
      <c r="Y27706" s="501"/>
    </row>
    <row r="27707" spans="25:25" hidden="1" x14ac:dyDescent="0.25">
      <c r="Y27707" s="501"/>
    </row>
    <row r="27708" spans="25:25" hidden="1" x14ac:dyDescent="0.25">
      <c r="Y27708" s="501"/>
    </row>
    <row r="27709" spans="25:25" hidden="1" x14ac:dyDescent="0.25">
      <c r="Y27709" s="501"/>
    </row>
    <row r="27710" spans="25:25" hidden="1" x14ac:dyDescent="0.25">
      <c r="Y27710" s="501"/>
    </row>
    <row r="27711" spans="25:25" hidden="1" x14ac:dyDescent="0.25">
      <c r="Y27711" s="501"/>
    </row>
    <row r="27712" spans="25:25" hidden="1" x14ac:dyDescent="0.25">
      <c r="Y27712" s="501"/>
    </row>
    <row r="27713" spans="25:25" hidden="1" x14ac:dyDescent="0.25">
      <c r="Y27713" s="501"/>
    </row>
    <row r="27714" spans="25:25" hidden="1" x14ac:dyDescent="0.25">
      <c r="Y27714" s="501"/>
    </row>
    <row r="27715" spans="25:25" hidden="1" x14ac:dyDescent="0.25">
      <c r="Y27715" s="501"/>
    </row>
    <row r="27716" spans="25:25" hidden="1" x14ac:dyDescent="0.25">
      <c r="Y27716" s="501"/>
    </row>
    <row r="27717" spans="25:25" hidden="1" x14ac:dyDescent="0.25">
      <c r="Y27717" s="501"/>
    </row>
    <row r="27718" spans="25:25" hidden="1" x14ac:dyDescent="0.25">
      <c r="Y27718" s="501"/>
    </row>
    <row r="27719" spans="25:25" hidden="1" x14ac:dyDescent="0.25">
      <c r="Y27719" s="501"/>
    </row>
    <row r="27720" spans="25:25" hidden="1" x14ac:dyDescent="0.25">
      <c r="Y27720" s="501"/>
    </row>
    <row r="27721" spans="25:25" hidden="1" x14ac:dyDescent="0.25">
      <c r="Y27721" s="501"/>
    </row>
    <row r="27722" spans="25:25" hidden="1" x14ac:dyDescent="0.25">
      <c r="Y27722" s="501"/>
    </row>
    <row r="27723" spans="25:25" hidden="1" x14ac:dyDescent="0.25">
      <c r="Y27723" s="501"/>
    </row>
    <row r="27724" spans="25:25" hidden="1" x14ac:dyDescent="0.25">
      <c r="Y27724" s="501"/>
    </row>
    <row r="27725" spans="25:25" hidden="1" x14ac:dyDescent="0.25">
      <c r="Y27725" s="501"/>
    </row>
    <row r="27726" spans="25:25" hidden="1" x14ac:dyDescent="0.25">
      <c r="Y27726" s="501"/>
    </row>
    <row r="27727" spans="25:25" hidden="1" x14ac:dyDescent="0.25">
      <c r="Y27727" s="501"/>
    </row>
    <row r="27728" spans="25:25" hidden="1" x14ac:dyDescent="0.25">
      <c r="Y27728" s="501"/>
    </row>
    <row r="27729" spans="25:25" hidden="1" x14ac:dyDescent="0.25">
      <c r="Y27729" s="501"/>
    </row>
    <row r="27730" spans="25:25" hidden="1" x14ac:dyDescent="0.25">
      <c r="Y27730" s="501"/>
    </row>
    <row r="27731" spans="25:25" hidden="1" x14ac:dyDescent="0.25">
      <c r="Y27731" s="501"/>
    </row>
    <row r="27732" spans="25:25" hidden="1" x14ac:dyDescent="0.25">
      <c r="Y27732" s="501"/>
    </row>
    <row r="27733" spans="25:25" hidden="1" x14ac:dyDescent="0.25">
      <c r="Y27733" s="501"/>
    </row>
    <row r="27734" spans="25:25" hidden="1" x14ac:dyDescent="0.25">
      <c r="Y27734" s="501"/>
    </row>
    <row r="27735" spans="25:25" hidden="1" x14ac:dyDescent="0.25">
      <c r="Y27735" s="501"/>
    </row>
    <row r="27736" spans="25:25" hidden="1" x14ac:dyDescent="0.25">
      <c r="Y27736" s="501"/>
    </row>
    <row r="27737" spans="25:25" hidden="1" x14ac:dyDescent="0.25">
      <c r="Y27737" s="501"/>
    </row>
    <row r="27738" spans="25:25" hidden="1" x14ac:dyDescent="0.25">
      <c r="Y27738" s="501"/>
    </row>
    <row r="27739" spans="25:25" hidden="1" x14ac:dyDescent="0.25">
      <c r="Y27739" s="501"/>
    </row>
    <row r="27740" spans="25:25" hidden="1" x14ac:dyDescent="0.25">
      <c r="Y27740" s="501"/>
    </row>
    <row r="27741" spans="25:25" hidden="1" x14ac:dyDescent="0.25">
      <c r="Y27741" s="501"/>
    </row>
    <row r="27742" spans="25:25" hidden="1" x14ac:dyDescent="0.25">
      <c r="Y27742" s="501"/>
    </row>
    <row r="27743" spans="25:25" hidden="1" x14ac:dyDescent="0.25">
      <c r="Y27743" s="501"/>
    </row>
    <row r="27744" spans="25:25" hidden="1" x14ac:dyDescent="0.25">
      <c r="Y27744" s="501"/>
    </row>
    <row r="27745" spans="25:25" hidden="1" x14ac:dyDescent="0.25">
      <c r="Y27745" s="501"/>
    </row>
    <row r="27746" spans="25:25" hidden="1" x14ac:dyDescent="0.25">
      <c r="Y27746" s="501"/>
    </row>
    <row r="27747" spans="25:25" hidden="1" x14ac:dyDescent="0.25">
      <c r="Y27747" s="501"/>
    </row>
    <row r="27748" spans="25:25" hidden="1" x14ac:dyDescent="0.25">
      <c r="Y27748" s="501"/>
    </row>
    <row r="27749" spans="25:25" hidden="1" x14ac:dyDescent="0.25">
      <c r="Y27749" s="501"/>
    </row>
    <row r="27750" spans="25:25" hidden="1" x14ac:dyDescent="0.25">
      <c r="Y27750" s="501"/>
    </row>
    <row r="27751" spans="25:25" hidden="1" x14ac:dyDescent="0.25">
      <c r="Y27751" s="501"/>
    </row>
    <row r="27752" spans="25:25" hidden="1" x14ac:dyDescent="0.25">
      <c r="Y27752" s="501"/>
    </row>
    <row r="27753" spans="25:25" hidden="1" x14ac:dyDescent="0.25">
      <c r="Y27753" s="501"/>
    </row>
    <row r="27754" spans="25:25" hidden="1" x14ac:dyDescent="0.25">
      <c r="Y27754" s="501"/>
    </row>
    <row r="27755" spans="25:25" hidden="1" x14ac:dyDescent="0.25">
      <c r="Y27755" s="501"/>
    </row>
    <row r="27756" spans="25:25" hidden="1" x14ac:dyDescent="0.25">
      <c r="Y27756" s="501"/>
    </row>
    <row r="27757" spans="25:25" hidden="1" x14ac:dyDescent="0.25">
      <c r="Y27757" s="501"/>
    </row>
    <row r="27758" spans="25:25" hidden="1" x14ac:dyDescent="0.25">
      <c r="Y27758" s="501"/>
    </row>
    <row r="27759" spans="25:25" hidden="1" x14ac:dyDescent="0.25">
      <c r="Y27759" s="501"/>
    </row>
    <row r="27760" spans="25:25" hidden="1" x14ac:dyDescent="0.25">
      <c r="Y27760" s="501"/>
    </row>
    <row r="27761" spans="25:25" hidden="1" x14ac:dyDescent="0.25">
      <c r="Y27761" s="501"/>
    </row>
    <row r="27762" spans="25:25" hidden="1" x14ac:dyDescent="0.25">
      <c r="Y27762" s="501"/>
    </row>
    <row r="27763" spans="25:25" hidden="1" x14ac:dyDescent="0.25">
      <c r="Y27763" s="501"/>
    </row>
    <row r="27764" spans="25:25" hidden="1" x14ac:dyDescent="0.25">
      <c r="Y27764" s="501"/>
    </row>
    <row r="27765" spans="25:25" hidden="1" x14ac:dyDescent="0.25">
      <c r="Y27765" s="501"/>
    </row>
    <row r="27766" spans="25:25" hidden="1" x14ac:dyDescent="0.25">
      <c r="Y27766" s="501"/>
    </row>
    <row r="27767" spans="25:25" hidden="1" x14ac:dyDescent="0.25">
      <c r="Y27767" s="501"/>
    </row>
    <row r="27768" spans="25:25" hidden="1" x14ac:dyDescent="0.25">
      <c r="Y27768" s="501"/>
    </row>
    <row r="27769" spans="25:25" hidden="1" x14ac:dyDescent="0.25">
      <c r="Y27769" s="501"/>
    </row>
    <row r="27770" spans="25:25" hidden="1" x14ac:dyDescent="0.25">
      <c r="Y27770" s="501"/>
    </row>
    <row r="27771" spans="25:25" hidden="1" x14ac:dyDescent="0.25">
      <c r="Y27771" s="501"/>
    </row>
    <row r="27772" spans="25:25" hidden="1" x14ac:dyDescent="0.25">
      <c r="Y27772" s="501"/>
    </row>
    <row r="27773" spans="25:25" hidden="1" x14ac:dyDescent="0.25">
      <c r="Y27773" s="501"/>
    </row>
    <row r="27774" spans="25:25" hidden="1" x14ac:dyDescent="0.25">
      <c r="Y27774" s="501"/>
    </row>
    <row r="27775" spans="25:25" hidden="1" x14ac:dyDescent="0.25">
      <c r="Y27775" s="501"/>
    </row>
    <row r="27776" spans="25:25" hidden="1" x14ac:dyDescent="0.25">
      <c r="Y27776" s="501"/>
    </row>
    <row r="27777" spans="25:25" hidden="1" x14ac:dyDescent="0.25">
      <c r="Y27777" s="501"/>
    </row>
    <row r="27778" spans="25:25" hidden="1" x14ac:dyDescent="0.25">
      <c r="Y27778" s="501"/>
    </row>
    <row r="27779" spans="25:25" hidden="1" x14ac:dyDescent="0.25">
      <c r="Y27779" s="501"/>
    </row>
    <row r="27780" spans="25:25" hidden="1" x14ac:dyDescent="0.25">
      <c r="Y27780" s="501"/>
    </row>
    <row r="27781" spans="25:25" hidden="1" x14ac:dyDescent="0.25">
      <c r="Y27781" s="501"/>
    </row>
    <row r="27782" spans="25:25" hidden="1" x14ac:dyDescent="0.25">
      <c r="Y27782" s="501"/>
    </row>
    <row r="27783" spans="25:25" hidden="1" x14ac:dyDescent="0.25">
      <c r="Y27783" s="501"/>
    </row>
    <row r="27784" spans="25:25" hidden="1" x14ac:dyDescent="0.25">
      <c r="Y27784" s="501"/>
    </row>
    <row r="27785" spans="25:25" hidden="1" x14ac:dyDescent="0.25">
      <c r="Y27785" s="501"/>
    </row>
    <row r="27786" spans="25:25" hidden="1" x14ac:dyDescent="0.25">
      <c r="Y27786" s="501"/>
    </row>
    <row r="27787" spans="25:25" hidden="1" x14ac:dyDescent="0.25">
      <c r="Y27787" s="501"/>
    </row>
    <row r="27788" spans="25:25" hidden="1" x14ac:dyDescent="0.25">
      <c r="Y27788" s="501"/>
    </row>
    <row r="27789" spans="25:25" hidden="1" x14ac:dyDescent="0.25">
      <c r="Y27789" s="501"/>
    </row>
    <row r="27790" spans="25:25" hidden="1" x14ac:dyDescent="0.25">
      <c r="Y27790" s="501"/>
    </row>
    <row r="27791" spans="25:25" hidden="1" x14ac:dyDescent="0.25">
      <c r="Y27791" s="501"/>
    </row>
    <row r="27792" spans="25:25" hidden="1" x14ac:dyDescent="0.25">
      <c r="Y27792" s="501"/>
    </row>
    <row r="27793" spans="25:25" hidden="1" x14ac:dyDescent="0.25">
      <c r="Y27793" s="501"/>
    </row>
    <row r="27794" spans="25:25" hidden="1" x14ac:dyDescent="0.25">
      <c r="Y27794" s="501"/>
    </row>
    <row r="27795" spans="25:25" hidden="1" x14ac:dyDescent="0.25">
      <c r="Y27795" s="501"/>
    </row>
    <row r="27796" spans="25:25" hidden="1" x14ac:dyDescent="0.25">
      <c r="Y27796" s="501"/>
    </row>
    <row r="27797" spans="25:25" hidden="1" x14ac:dyDescent="0.25">
      <c r="Y27797" s="501"/>
    </row>
    <row r="27798" spans="25:25" hidden="1" x14ac:dyDescent="0.25">
      <c r="Y27798" s="501"/>
    </row>
    <row r="27799" spans="25:25" hidden="1" x14ac:dyDescent="0.25">
      <c r="Y27799" s="501"/>
    </row>
    <row r="27800" spans="25:25" hidden="1" x14ac:dyDescent="0.25">
      <c r="Y27800" s="501"/>
    </row>
    <row r="27801" spans="25:25" hidden="1" x14ac:dyDescent="0.25">
      <c r="Y27801" s="501"/>
    </row>
    <row r="27802" spans="25:25" hidden="1" x14ac:dyDescent="0.25">
      <c r="Y27802" s="501"/>
    </row>
    <row r="27803" spans="25:25" hidden="1" x14ac:dyDescent="0.25">
      <c r="Y27803" s="501"/>
    </row>
    <row r="27804" spans="25:25" hidden="1" x14ac:dyDescent="0.25">
      <c r="Y27804" s="501"/>
    </row>
    <row r="27805" spans="25:25" hidden="1" x14ac:dyDescent="0.25">
      <c r="Y27805" s="501"/>
    </row>
    <row r="27806" spans="25:25" hidden="1" x14ac:dyDescent="0.25">
      <c r="Y27806" s="501"/>
    </row>
    <row r="27807" spans="25:25" hidden="1" x14ac:dyDescent="0.25">
      <c r="Y27807" s="501"/>
    </row>
    <row r="27808" spans="25:25" hidden="1" x14ac:dyDescent="0.25">
      <c r="Y27808" s="501"/>
    </row>
    <row r="27809" spans="25:25" hidden="1" x14ac:dyDescent="0.25">
      <c r="Y27809" s="501"/>
    </row>
    <row r="27810" spans="25:25" hidden="1" x14ac:dyDescent="0.25">
      <c r="Y27810" s="501"/>
    </row>
    <row r="27811" spans="25:25" hidden="1" x14ac:dyDescent="0.25">
      <c r="Y27811" s="501"/>
    </row>
    <row r="27812" spans="25:25" hidden="1" x14ac:dyDescent="0.25">
      <c r="Y27812" s="501"/>
    </row>
    <row r="27813" spans="25:25" hidden="1" x14ac:dyDescent="0.25">
      <c r="Y27813" s="501"/>
    </row>
    <row r="27814" spans="25:25" hidden="1" x14ac:dyDescent="0.25">
      <c r="Y27814" s="501"/>
    </row>
    <row r="27815" spans="25:25" hidden="1" x14ac:dyDescent="0.25">
      <c r="Y27815" s="501"/>
    </row>
    <row r="27816" spans="25:25" hidden="1" x14ac:dyDescent="0.25">
      <c r="Y27816" s="501"/>
    </row>
    <row r="27817" spans="25:25" hidden="1" x14ac:dyDescent="0.25">
      <c r="Y27817" s="501"/>
    </row>
    <row r="27818" spans="25:25" hidden="1" x14ac:dyDescent="0.25">
      <c r="Y27818" s="501"/>
    </row>
    <row r="27819" spans="25:25" hidden="1" x14ac:dyDescent="0.25">
      <c r="Y27819" s="501"/>
    </row>
    <row r="27820" spans="25:25" hidden="1" x14ac:dyDescent="0.25">
      <c r="Y27820" s="501"/>
    </row>
    <row r="27821" spans="25:25" hidden="1" x14ac:dyDescent="0.25">
      <c r="Y27821" s="501"/>
    </row>
    <row r="27822" spans="25:25" hidden="1" x14ac:dyDescent="0.25">
      <c r="Y27822" s="501"/>
    </row>
    <row r="27823" spans="25:25" hidden="1" x14ac:dyDescent="0.25">
      <c r="Y27823" s="501"/>
    </row>
    <row r="27824" spans="25:25" hidden="1" x14ac:dyDescent="0.25">
      <c r="Y27824" s="501"/>
    </row>
    <row r="27825" spans="25:25" hidden="1" x14ac:dyDescent="0.25">
      <c r="Y27825" s="501"/>
    </row>
    <row r="27826" spans="25:25" hidden="1" x14ac:dyDescent="0.25">
      <c r="Y27826" s="501"/>
    </row>
    <row r="27827" spans="25:25" hidden="1" x14ac:dyDescent="0.25">
      <c r="Y27827" s="501"/>
    </row>
    <row r="27828" spans="25:25" hidden="1" x14ac:dyDescent="0.25">
      <c r="Y27828" s="501"/>
    </row>
    <row r="27829" spans="25:25" hidden="1" x14ac:dyDescent="0.25">
      <c r="Y27829" s="501"/>
    </row>
    <row r="27830" spans="25:25" hidden="1" x14ac:dyDescent="0.25">
      <c r="Y27830" s="501"/>
    </row>
    <row r="27831" spans="25:25" hidden="1" x14ac:dyDescent="0.25">
      <c r="Y27831" s="501"/>
    </row>
    <row r="27832" spans="25:25" hidden="1" x14ac:dyDescent="0.25">
      <c r="Y27832" s="501"/>
    </row>
    <row r="27833" spans="25:25" hidden="1" x14ac:dyDescent="0.25">
      <c r="Y27833" s="501"/>
    </row>
    <row r="27834" spans="25:25" hidden="1" x14ac:dyDescent="0.25">
      <c r="Y27834" s="501"/>
    </row>
    <row r="27835" spans="25:25" hidden="1" x14ac:dyDescent="0.25">
      <c r="Y27835" s="501"/>
    </row>
    <row r="27836" spans="25:25" hidden="1" x14ac:dyDescent="0.25">
      <c r="Y27836" s="501"/>
    </row>
    <row r="27837" spans="25:25" hidden="1" x14ac:dyDescent="0.25">
      <c r="Y27837" s="501"/>
    </row>
    <row r="27838" spans="25:25" hidden="1" x14ac:dyDescent="0.25">
      <c r="Y27838" s="501"/>
    </row>
    <row r="27839" spans="25:25" hidden="1" x14ac:dyDescent="0.25">
      <c r="Y27839" s="501"/>
    </row>
    <row r="27840" spans="25:25" hidden="1" x14ac:dyDescent="0.25">
      <c r="Y27840" s="501"/>
    </row>
    <row r="27841" spans="25:25" hidden="1" x14ac:dyDescent="0.25">
      <c r="Y27841" s="501"/>
    </row>
    <row r="27842" spans="25:25" hidden="1" x14ac:dyDescent="0.25">
      <c r="Y27842" s="501"/>
    </row>
    <row r="27843" spans="25:25" hidden="1" x14ac:dyDescent="0.25">
      <c r="Y27843" s="501"/>
    </row>
    <row r="27844" spans="25:25" hidden="1" x14ac:dyDescent="0.25">
      <c r="Y27844" s="501"/>
    </row>
    <row r="27845" spans="25:25" hidden="1" x14ac:dyDescent="0.25">
      <c r="Y27845" s="501"/>
    </row>
    <row r="27846" spans="25:25" hidden="1" x14ac:dyDescent="0.25">
      <c r="Y27846" s="501"/>
    </row>
    <row r="27847" spans="25:25" hidden="1" x14ac:dyDescent="0.25">
      <c r="Y27847" s="501"/>
    </row>
    <row r="27848" spans="25:25" hidden="1" x14ac:dyDescent="0.25">
      <c r="Y27848" s="501"/>
    </row>
    <row r="27849" spans="25:25" hidden="1" x14ac:dyDescent="0.25">
      <c r="Y27849" s="501"/>
    </row>
    <row r="27850" spans="25:25" hidden="1" x14ac:dyDescent="0.25">
      <c r="Y27850" s="501"/>
    </row>
    <row r="27851" spans="25:25" hidden="1" x14ac:dyDescent="0.25">
      <c r="Y27851" s="501"/>
    </row>
    <row r="27852" spans="25:25" hidden="1" x14ac:dyDescent="0.25">
      <c r="Y27852" s="501"/>
    </row>
    <row r="27853" spans="25:25" hidden="1" x14ac:dyDescent="0.25">
      <c r="Y27853" s="501"/>
    </row>
    <row r="27854" spans="25:25" hidden="1" x14ac:dyDescent="0.25">
      <c r="Y27854" s="501"/>
    </row>
    <row r="27855" spans="25:25" hidden="1" x14ac:dyDescent="0.25">
      <c r="Y27855" s="501"/>
    </row>
    <row r="27856" spans="25:25" hidden="1" x14ac:dyDescent="0.25">
      <c r="Y27856" s="501"/>
    </row>
    <row r="27857" spans="25:25" hidden="1" x14ac:dyDescent="0.25">
      <c r="Y27857" s="501"/>
    </row>
    <row r="27858" spans="25:25" hidden="1" x14ac:dyDescent="0.25">
      <c r="Y27858" s="501"/>
    </row>
    <row r="27859" spans="25:25" hidden="1" x14ac:dyDescent="0.25">
      <c r="Y27859" s="501"/>
    </row>
    <row r="27860" spans="25:25" hidden="1" x14ac:dyDescent="0.25">
      <c r="Y27860" s="501"/>
    </row>
    <row r="27861" spans="25:25" hidden="1" x14ac:dyDescent="0.25">
      <c r="Y27861" s="501"/>
    </row>
    <row r="27862" spans="25:25" hidden="1" x14ac:dyDescent="0.25">
      <c r="Y27862" s="501"/>
    </row>
    <row r="27863" spans="25:25" hidden="1" x14ac:dyDescent="0.25">
      <c r="Y27863" s="501"/>
    </row>
    <row r="27864" spans="25:25" hidden="1" x14ac:dyDescent="0.25">
      <c r="Y27864" s="501"/>
    </row>
    <row r="27865" spans="25:25" hidden="1" x14ac:dyDescent="0.25">
      <c r="Y27865" s="501"/>
    </row>
    <row r="27866" spans="25:25" hidden="1" x14ac:dyDescent="0.25">
      <c r="Y27866" s="501"/>
    </row>
    <row r="27867" spans="25:25" hidden="1" x14ac:dyDescent="0.25">
      <c r="Y27867" s="501"/>
    </row>
    <row r="27868" spans="25:25" hidden="1" x14ac:dyDescent="0.25">
      <c r="Y27868" s="501"/>
    </row>
    <row r="27869" spans="25:25" hidden="1" x14ac:dyDescent="0.25">
      <c r="Y27869" s="501"/>
    </row>
    <row r="27870" spans="25:25" hidden="1" x14ac:dyDescent="0.25">
      <c r="Y27870" s="501"/>
    </row>
    <row r="27871" spans="25:25" hidden="1" x14ac:dyDescent="0.25">
      <c r="Y27871" s="501"/>
    </row>
    <row r="27872" spans="25:25" hidden="1" x14ac:dyDescent="0.25">
      <c r="Y27872" s="501"/>
    </row>
    <row r="27873" spans="25:25" hidden="1" x14ac:dyDescent="0.25">
      <c r="Y27873" s="501"/>
    </row>
    <row r="27874" spans="25:25" hidden="1" x14ac:dyDescent="0.25">
      <c r="Y27874" s="501"/>
    </row>
    <row r="27875" spans="25:25" hidden="1" x14ac:dyDescent="0.25">
      <c r="Y27875" s="501"/>
    </row>
    <row r="27876" spans="25:25" hidden="1" x14ac:dyDescent="0.25">
      <c r="Y27876" s="501"/>
    </row>
    <row r="27877" spans="25:25" hidden="1" x14ac:dyDescent="0.25">
      <c r="Y27877" s="501"/>
    </row>
    <row r="27878" spans="25:25" hidden="1" x14ac:dyDescent="0.25">
      <c r="Y27878" s="501"/>
    </row>
    <row r="27879" spans="25:25" hidden="1" x14ac:dyDescent="0.25">
      <c r="Y27879" s="501"/>
    </row>
    <row r="27880" spans="25:25" hidden="1" x14ac:dyDescent="0.25">
      <c r="Y27880" s="501"/>
    </row>
    <row r="27881" spans="25:25" hidden="1" x14ac:dyDescent="0.25">
      <c r="Y27881" s="501"/>
    </row>
    <row r="27882" spans="25:25" hidden="1" x14ac:dyDescent="0.25">
      <c r="Y27882" s="501"/>
    </row>
    <row r="27883" spans="25:25" hidden="1" x14ac:dyDescent="0.25">
      <c r="Y27883" s="501"/>
    </row>
    <row r="27884" spans="25:25" hidden="1" x14ac:dyDescent="0.25">
      <c r="Y27884" s="501"/>
    </row>
    <row r="27885" spans="25:25" hidden="1" x14ac:dyDescent="0.25">
      <c r="Y27885" s="501"/>
    </row>
    <row r="27886" spans="25:25" hidden="1" x14ac:dyDescent="0.25">
      <c r="Y27886" s="501"/>
    </row>
    <row r="27887" spans="25:25" hidden="1" x14ac:dyDescent="0.25">
      <c r="Y27887" s="501"/>
    </row>
    <row r="27888" spans="25:25" hidden="1" x14ac:dyDescent="0.25">
      <c r="Y27888" s="501"/>
    </row>
    <row r="27889" spans="25:25" hidden="1" x14ac:dyDescent="0.25">
      <c r="Y27889" s="501"/>
    </row>
    <row r="27890" spans="25:25" hidden="1" x14ac:dyDescent="0.25">
      <c r="Y27890" s="501"/>
    </row>
    <row r="27891" spans="25:25" hidden="1" x14ac:dyDescent="0.25">
      <c r="Y27891" s="501"/>
    </row>
    <row r="27892" spans="25:25" hidden="1" x14ac:dyDescent="0.25">
      <c r="Y27892" s="501"/>
    </row>
    <row r="27893" spans="25:25" hidden="1" x14ac:dyDescent="0.25">
      <c r="Y27893" s="501"/>
    </row>
    <row r="27894" spans="25:25" hidden="1" x14ac:dyDescent="0.25">
      <c r="Y27894" s="501"/>
    </row>
    <row r="27895" spans="25:25" hidden="1" x14ac:dyDescent="0.25">
      <c r="Y27895" s="501"/>
    </row>
    <row r="27896" spans="25:25" hidden="1" x14ac:dyDescent="0.25">
      <c r="Y27896" s="501"/>
    </row>
    <row r="27897" spans="25:25" hidden="1" x14ac:dyDescent="0.25">
      <c r="Y27897" s="501"/>
    </row>
    <row r="27898" spans="25:25" hidden="1" x14ac:dyDescent="0.25">
      <c r="Y27898" s="501"/>
    </row>
    <row r="27899" spans="25:25" hidden="1" x14ac:dyDescent="0.25">
      <c r="Y27899" s="501"/>
    </row>
    <row r="27900" spans="25:25" hidden="1" x14ac:dyDescent="0.25">
      <c r="Y27900" s="501"/>
    </row>
    <row r="27901" spans="25:25" hidden="1" x14ac:dyDescent="0.25">
      <c r="Y27901" s="501"/>
    </row>
    <row r="27902" spans="25:25" hidden="1" x14ac:dyDescent="0.25">
      <c r="Y27902" s="501"/>
    </row>
    <row r="27903" spans="25:25" hidden="1" x14ac:dyDescent="0.25">
      <c r="Y27903" s="501"/>
    </row>
    <row r="27904" spans="25:25" hidden="1" x14ac:dyDescent="0.25">
      <c r="Y27904" s="501"/>
    </row>
    <row r="27905" spans="25:25" hidden="1" x14ac:dyDescent="0.25">
      <c r="Y27905" s="501"/>
    </row>
    <row r="27906" spans="25:25" hidden="1" x14ac:dyDescent="0.25">
      <c r="Y27906" s="501"/>
    </row>
    <row r="27907" spans="25:25" hidden="1" x14ac:dyDescent="0.25">
      <c r="Y27907" s="501"/>
    </row>
    <row r="27908" spans="25:25" hidden="1" x14ac:dyDescent="0.25">
      <c r="Y27908" s="501"/>
    </row>
    <row r="27909" spans="25:25" hidden="1" x14ac:dyDescent="0.25">
      <c r="Y27909" s="501"/>
    </row>
    <row r="27910" spans="25:25" hidden="1" x14ac:dyDescent="0.25">
      <c r="Y27910" s="501"/>
    </row>
    <row r="27911" spans="25:25" hidden="1" x14ac:dyDescent="0.25">
      <c r="Y27911" s="501"/>
    </row>
    <row r="27912" spans="25:25" hidden="1" x14ac:dyDescent="0.25">
      <c r="Y27912" s="501"/>
    </row>
    <row r="27913" spans="25:25" hidden="1" x14ac:dyDescent="0.25">
      <c r="Y27913" s="501"/>
    </row>
    <row r="27914" spans="25:25" hidden="1" x14ac:dyDescent="0.25">
      <c r="Y27914" s="501"/>
    </row>
    <row r="27915" spans="25:25" hidden="1" x14ac:dyDescent="0.25">
      <c r="Y27915" s="501"/>
    </row>
    <row r="27916" spans="25:25" hidden="1" x14ac:dyDescent="0.25">
      <c r="Y27916" s="501"/>
    </row>
    <row r="27917" spans="25:25" hidden="1" x14ac:dyDescent="0.25">
      <c r="Y27917" s="501"/>
    </row>
    <row r="27918" spans="25:25" hidden="1" x14ac:dyDescent="0.25">
      <c r="Y27918" s="501"/>
    </row>
    <row r="27919" spans="25:25" hidden="1" x14ac:dyDescent="0.25">
      <c r="Y27919" s="501"/>
    </row>
    <row r="27920" spans="25:25" hidden="1" x14ac:dyDescent="0.25">
      <c r="Y27920" s="501"/>
    </row>
    <row r="27921" spans="25:25" hidden="1" x14ac:dyDescent="0.25">
      <c r="Y27921" s="501"/>
    </row>
    <row r="27922" spans="25:25" hidden="1" x14ac:dyDescent="0.25">
      <c r="Y27922" s="501"/>
    </row>
    <row r="27923" spans="25:25" hidden="1" x14ac:dyDescent="0.25">
      <c r="Y27923" s="501"/>
    </row>
    <row r="27924" spans="25:25" hidden="1" x14ac:dyDescent="0.25">
      <c r="Y27924" s="501"/>
    </row>
    <row r="27925" spans="25:25" hidden="1" x14ac:dyDescent="0.25">
      <c r="Y27925" s="501"/>
    </row>
    <row r="27926" spans="25:25" hidden="1" x14ac:dyDescent="0.25">
      <c r="Y27926" s="501"/>
    </row>
    <row r="27927" spans="25:25" hidden="1" x14ac:dyDescent="0.25">
      <c r="Y27927" s="501"/>
    </row>
    <row r="27928" spans="25:25" hidden="1" x14ac:dyDescent="0.25">
      <c r="Y27928" s="501"/>
    </row>
    <row r="27929" spans="25:25" hidden="1" x14ac:dyDescent="0.25">
      <c r="Y27929" s="501"/>
    </row>
    <row r="27930" spans="25:25" hidden="1" x14ac:dyDescent="0.25">
      <c r="Y27930" s="501"/>
    </row>
    <row r="27931" spans="25:25" hidden="1" x14ac:dyDescent="0.25">
      <c r="Y27931" s="501"/>
    </row>
    <row r="27932" spans="25:25" hidden="1" x14ac:dyDescent="0.25">
      <c r="Y27932" s="501"/>
    </row>
    <row r="27933" spans="25:25" hidden="1" x14ac:dyDescent="0.25">
      <c r="Y27933" s="501"/>
    </row>
    <row r="27934" spans="25:25" hidden="1" x14ac:dyDescent="0.25">
      <c r="Y27934" s="501"/>
    </row>
    <row r="27935" spans="25:25" hidden="1" x14ac:dyDescent="0.25">
      <c r="Y27935" s="501"/>
    </row>
    <row r="27936" spans="25:25" hidden="1" x14ac:dyDescent="0.25">
      <c r="Y27936" s="501"/>
    </row>
    <row r="27937" spans="25:25" hidden="1" x14ac:dyDescent="0.25">
      <c r="Y27937" s="501"/>
    </row>
    <row r="27938" spans="25:25" hidden="1" x14ac:dyDescent="0.25">
      <c r="Y27938" s="501"/>
    </row>
    <row r="27939" spans="25:25" hidden="1" x14ac:dyDescent="0.25">
      <c r="Y27939" s="501"/>
    </row>
    <row r="27940" spans="25:25" hidden="1" x14ac:dyDescent="0.25">
      <c r="Y27940" s="501"/>
    </row>
    <row r="27941" spans="25:25" hidden="1" x14ac:dyDescent="0.25">
      <c r="Y27941" s="501"/>
    </row>
    <row r="27942" spans="25:25" hidden="1" x14ac:dyDescent="0.25">
      <c r="Y27942" s="501"/>
    </row>
    <row r="27943" spans="25:25" hidden="1" x14ac:dyDescent="0.25">
      <c r="Y27943" s="501"/>
    </row>
    <row r="27944" spans="25:25" hidden="1" x14ac:dyDescent="0.25">
      <c r="Y27944" s="501"/>
    </row>
    <row r="27945" spans="25:25" hidden="1" x14ac:dyDescent="0.25">
      <c r="Y27945" s="501"/>
    </row>
    <row r="27946" spans="25:25" hidden="1" x14ac:dyDescent="0.25">
      <c r="Y27946" s="501"/>
    </row>
    <row r="27947" spans="25:25" hidden="1" x14ac:dyDescent="0.25">
      <c r="Y27947" s="501"/>
    </row>
    <row r="27948" spans="25:25" hidden="1" x14ac:dyDescent="0.25">
      <c r="Y27948" s="501"/>
    </row>
    <row r="27949" spans="25:25" hidden="1" x14ac:dyDescent="0.25">
      <c r="Y27949" s="501"/>
    </row>
    <row r="27950" spans="25:25" hidden="1" x14ac:dyDescent="0.25">
      <c r="Y27950" s="501"/>
    </row>
    <row r="27951" spans="25:25" hidden="1" x14ac:dyDescent="0.25">
      <c r="Y27951" s="501"/>
    </row>
    <row r="27952" spans="25:25" hidden="1" x14ac:dyDescent="0.25">
      <c r="Y27952" s="501"/>
    </row>
    <row r="27953" spans="25:25" hidden="1" x14ac:dyDescent="0.25">
      <c r="Y27953" s="501"/>
    </row>
    <row r="27954" spans="25:25" hidden="1" x14ac:dyDescent="0.25">
      <c r="Y27954" s="501"/>
    </row>
    <row r="27955" spans="25:25" hidden="1" x14ac:dyDescent="0.25">
      <c r="Y27955" s="501"/>
    </row>
    <row r="27956" spans="25:25" hidden="1" x14ac:dyDescent="0.25">
      <c r="Y27956" s="501"/>
    </row>
    <row r="27957" spans="25:25" hidden="1" x14ac:dyDescent="0.25">
      <c r="Y27957" s="501"/>
    </row>
    <row r="27958" spans="25:25" hidden="1" x14ac:dyDescent="0.25">
      <c r="Y27958" s="501"/>
    </row>
    <row r="27959" spans="25:25" hidden="1" x14ac:dyDescent="0.25">
      <c r="Y27959" s="501"/>
    </row>
    <row r="27960" spans="25:25" hidden="1" x14ac:dyDescent="0.25">
      <c r="Y27960" s="501"/>
    </row>
    <row r="27961" spans="25:25" hidden="1" x14ac:dyDescent="0.25">
      <c r="Y27961" s="501"/>
    </row>
    <row r="27962" spans="25:25" hidden="1" x14ac:dyDescent="0.25">
      <c r="Y27962" s="501"/>
    </row>
    <row r="27963" spans="25:25" hidden="1" x14ac:dyDescent="0.25">
      <c r="Y27963" s="501"/>
    </row>
    <row r="27964" spans="25:25" hidden="1" x14ac:dyDescent="0.25">
      <c r="Y27964" s="501"/>
    </row>
    <row r="27965" spans="25:25" hidden="1" x14ac:dyDescent="0.25">
      <c r="Y27965" s="501"/>
    </row>
    <row r="27966" spans="25:25" hidden="1" x14ac:dyDescent="0.25">
      <c r="Y27966" s="501"/>
    </row>
    <row r="27967" spans="25:25" hidden="1" x14ac:dyDescent="0.25">
      <c r="Y27967" s="501"/>
    </row>
    <row r="27968" spans="25:25" hidden="1" x14ac:dyDescent="0.25">
      <c r="Y27968" s="501"/>
    </row>
    <row r="27969" spans="25:25" hidden="1" x14ac:dyDescent="0.25">
      <c r="Y27969" s="501"/>
    </row>
    <row r="27970" spans="25:25" hidden="1" x14ac:dyDescent="0.25">
      <c r="Y27970" s="501"/>
    </row>
    <row r="27971" spans="25:25" hidden="1" x14ac:dyDescent="0.25">
      <c r="Y27971" s="501"/>
    </row>
    <row r="27972" spans="25:25" hidden="1" x14ac:dyDescent="0.25">
      <c r="Y27972" s="501"/>
    </row>
    <row r="27973" spans="25:25" hidden="1" x14ac:dyDescent="0.25">
      <c r="Y27973" s="501"/>
    </row>
    <row r="27974" spans="25:25" hidden="1" x14ac:dyDescent="0.25">
      <c r="Y27974" s="501"/>
    </row>
    <row r="27975" spans="25:25" hidden="1" x14ac:dyDescent="0.25">
      <c r="Y27975" s="501"/>
    </row>
    <row r="27976" spans="25:25" hidden="1" x14ac:dyDescent="0.25">
      <c r="Y27976" s="501"/>
    </row>
    <row r="27977" spans="25:25" hidden="1" x14ac:dyDescent="0.25">
      <c r="Y27977" s="501"/>
    </row>
    <row r="27978" spans="25:25" hidden="1" x14ac:dyDescent="0.25">
      <c r="Y27978" s="501"/>
    </row>
    <row r="27979" spans="25:25" hidden="1" x14ac:dyDescent="0.25">
      <c r="Y27979" s="501"/>
    </row>
    <row r="27980" spans="25:25" hidden="1" x14ac:dyDescent="0.25">
      <c r="Y27980" s="501"/>
    </row>
    <row r="27981" spans="25:25" hidden="1" x14ac:dyDescent="0.25">
      <c r="Y27981" s="501"/>
    </row>
    <row r="27982" spans="25:25" hidden="1" x14ac:dyDescent="0.25">
      <c r="Y27982" s="501"/>
    </row>
    <row r="27983" spans="25:25" hidden="1" x14ac:dyDescent="0.25">
      <c r="Y27983" s="501"/>
    </row>
    <row r="27984" spans="25:25" hidden="1" x14ac:dyDescent="0.25">
      <c r="Y27984" s="501"/>
    </row>
    <row r="27985" spans="25:25" hidden="1" x14ac:dyDescent="0.25">
      <c r="Y27985" s="501"/>
    </row>
    <row r="27986" spans="25:25" hidden="1" x14ac:dyDescent="0.25">
      <c r="Y27986" s="501"/>
    </row>
    <row r="27987" spans="25:25" hidden="1" x14ac:dyDescent="0.25">
      <c r="Y27987" s="501"/>
    </row>
    <row r="27988" spans="25:25" hidden="1" x14ac:dyDescent="0.25">
      <c r="Y27988" s="501"/>
    </row>
    <row r="27989" spans="25:25" hidden="1" x14ac:dyDescent="0.25">
      <c r="Y27989" s="501"/>
    </row>
    <row r="27990" spans="25:25" hidden="1" x14ac:dyDescent="0.25">
      <c r="Y27990" s="501"/>
    </row>
    <row r="27991" spans="25:25" hidden="1" x14ac:dyDescent="0.25">
      <c r="Y27991" s="501"/>
    </row>
    <row r="27992" spans="25:25" hidden="1" x14ac:dyDescent="0.25">
      <c r="Y27992" s="501"/>
    </row>
    <row r="27993" spans="25:25" hidden="1" x14ac:dyDescent="0.25">
      <c r="Y27993" s="501"/>
    </row>
    <row r="27994" spans="25:25" hidden="1" x14ac:dyDescent="0.25">
      <c r="Y27994" s="501"/>
    </row>
    <row r="27995" spans="25:25" hidden="1" x14ac:dyDescent="0.25">
      <c r="Y27995" s="501"/>
    </row>
    <row r="27996" spans="25:25" hidden="1" x14ac:dyDescent="0.25">
      <c r="Y27996" s="501"/>
    </row>
    <row r="27997" spans="25:25" hidden="1" x14ac:dyDescent="0.25">
      <c r="Y27997" s="501"/>
    </row>
    <row r="27998" spans="25:25" hidden="1" x14ac:dyDescent="0.25">
      <c r="Y27998" s="501"/>
    </row>
    <row r="27999" spans="25:25" hidden="1" x14ac:dyDescent="0.25">
      <c r="Y27999" s="501"/>
    </row>
    <row r="28000" spans="25:25" hidden="1" x14ac:dyDescent="0.25">
      <c r="Y28000" s="501"/>
    </row>
    <row r="28001" spans="25:25" hidden="1" x14ac:dyDescent="0.25">
      <c r="Y28001" s="501"/>
    </row>
    <row r="28002" spans="25:25" hidden="1" x14ac:dyDescent="0.25">
      <c r="Y28002" s="501"/>
    </row>
    <row r="28003" spans="25:25" hidden="1" x14ac:dyDescent="0.25">
      <c r="Y28003" s="501"/>
    </row>
    <row r="28004" spans="25:25" hidden="1" x14ac:dyDescent="0.25">
      <c r="Y28004" s="501"/>
    </row>
    <row r="28005" spans="25:25" hidden="1" x14ac:dyDescent="0.25">
      <c r="Y28005" s="501"/>
    </row>
    <row r="28006" spans="25:25" hidden="1" x14ac:dyDescent="0.25">
      <c r="Y28006" s="501"/>
    </row>
    <row r="28007" spans="25:25" hidden="1" x14ac:dyDescent="0.25">
      <c r="Y28007" s="501"/>
    </row>
    <row r="28008" spans="25:25" hidden="1" x14ac:dyDescent="0.25">
      <c r="Y28008" s="501"/>
    </row>
    <row r="28009" spans="25:25" hidden="1" x14ac:dyDescent="0.25">
      <c r="Y28009" s="501"/>
    </row>
    <row r="28010" spans="25:25" hidden="1" x14ac:dyDescent="0.25">
      <c r="Y28010" s="501"/>
    </row>
    <row r="28011" spans="25:25" hidden="1" x14ac:dyDescent="0.25">
      <c r="Y28011" s="501"/>
    </row>
    <row r="28012" spans="25:25" hidden="1" x14ac:dyDescent="0.25">
      <c r="Y28012" s="501"/>
    </row>
    <row r="28013" spans="25:25" hidden="1" x14ac:dyDescent="0.25">
      <c r="Y28013" s="501"/>
    </row>
    <row r="28014" spans="25:25" hidden="1" x14ac:dyDescent="0.25">
      <c r="Y28014" s="501"/>
    </row>
    <row r="28015" spans="25:25" hidden="1" x14ac:dyDescent="0.25">
      <c r="Y28015" s="501"/>
    </row>
    <row r="28016" spans="25:25" hidden="1" x14ac:dyDescent="0.25">
      <c r="Y28016" s="501"/>
    </row>
    <row r="28017" spans="25:25" hidden="1" x14ac:dyDescent="0.25">
      <c r="Y28017" s="501"/>
    </row>
    <row r="28018" spans="25:25" hidden="1" x14ac:dyDescent="0.25">
      <c r="Y28018" s="501"/>
    </row>
    <row r="28019" spans="25:25" hidden="1" x14ac:dyDescent="0.25">
      <c r="Y28019" s="501"/>
    </row>
    <row r="28020" spans="25:25" hidden="1" x14ac:dyDescent="0.25">
      <c r="Y28020" s="501"/>
    </row>
    <row r="28021" spans="25:25" hidden="1" x14ac:dyDescent="0.25">
      <c r="Y28021" s="501"/>
    </row>
    <row r="28022" spans="25:25" hidden="1" x14ac:dyDescent="0.25">
      <c r="Y28022" s="501"/>
    </row>
    <row r="28023" spans="25:25" hidden="1" x14ac:dyDescent="0.25">
      <c r="Y28023" s="501"/>
    </row>
    <row r="28024" spans="25:25" hidden="1" x14ac:dyDescent="0.25">
      <c r="Y28024" s="501"/>
    </row>
    <row r="28025" spans="25:25" hidden="1" x14ac:dyDescent="0.25">
      <c r="Y28025" s="501"/>
    </row>
    <row r="28026" spans="25:25" hidden="1" x14ac:dyDescent="0.25">
      <c r="Y28026" s="501"/>
    </row>
    <row r="28027" spans="25:25" hidden="1" x14ac:dyDescent="0.25">
      <c r="Y28027" s="501"/>
    </row>
    <row r="28028" spans="25:25" hidden="1" x14ac:dyDescent="0.25">
      <c r="Y28028" s="501"/>
    </row>
    <row r="28029" spans="25:25" hidden="1" x14ac:dyDescent="0.25">
      <c r="Y28029" s="501"/>
    </row>
    <row r="28030" spans="25:25" hidden="1" x14ac:dyDescent="0.25">
      <c r="Y28030" s="501"/>
    </row>
    <row r="28031" spans="25:25" hidden="1" x14ac:dyDescent="0.25">
      <c r="Y28031" s="501"/>
    </row>
    <row r="28032" spans="25:25" hidden="1" x14ac:dyDescent="0.25">
      <c r="Y28032" s="501"/>
    </row>
    <row r="28033" spans="25:25" hidden="1" x14ac:dyDescent="0.25">
      <c r="Y28033" s="501"/>
    </row>
    <row r="28034" spans="25:25" hidden="1" x14ac:dyDescent="0.25">
      <c r="Y28034" s="501"/>
    </row>
    <row r="28035" spans="25:25" hidden="1" x14ac:dyDescent="0.25">
      <c r="Y28035" s="501"/>
    </row>
    <row r="28036" spans="25:25" hidden="1" x14ac:dyDescent="0.25">
      <c r="Y28036" s="501"/>
    </row>
    <row r="28037" spans="25:25" hidden="1" x14ac:dyDescent="0.25">
      <c r="Y28037" s="501"/>
    </row>
    <row r="28038" spans="25:25" hidden="1" x14ac:dyDescent="0.25">
      <c r="Y28038" s="501"/>
    </row>
    <row r="28039" spans="25:25" hidden="1" x14ac:dyDescent="0.25">
      <c r="Y28039" s="501"/>
    </row>
    <row r="28040" spans="25:25" hidden="1" x14ac:dyDescent="0.25">
      <c r="Y28040" s="501"/>
    </row>
    <row r="28041" spans="25:25" hidden="1" x14ac:dyDescent="0.25">
      <c r="Y28041" s="501"/>
    </row>
    <row r="28042" spans="25:25" hidden="1" x14ac:dyDescent="0.25">
      <c r="Y28042" s="501"/>
    </row>
    <row r="28043" spans="25:25" hidden="1" x14ac:dyDescent="0.25">
      <c r="Y28043" s="501"/>
    </row>
    <row r="28044" spans="25:25" hidden="1" x14ac:dyDescent="0.25">
      <c r="Y28044" s="501"/>
    </row>
    <row r="28045" spans="25:25" hidden="1" x14ac:dyDescent="0.25">
      <c r="Y28045" s="501"/>
    </row>
    <row r="28046" spans="25:25" hidden="1" x14ac:dyDescent="0.25">
      <c r="Y28046" s="501"/>
    </row>
    <row r="28047" spans="25:25" hidden="1" x14ac:dyDescent="0.25">
      <c r="Y28047" s="501"/>
    </row>
    <row r="28048" spans="25:25" hidden="1" x14ac:dyDescent="0.25">
      <c r="Y28048" s="501"/>
    </row>
    <row r="28049" spans="25:25" hidden="1" x14ac:dyDescent="0.25">
      <c r="Y28049" s="501"/>
    </row>
    <row r="28050" spans="25:25" hidden="1" x14ac:dyDescent="0.25">
      <c r="Y28050" s="501"/>
    </row>
    <row r="28051" spans="25:25" hidden="1" x14ac:dyDescent="0.25">
      <c r="Y28051" s="501"/>
    </row>
    <row r="28052" spans="25:25" hidden="1" x14ac:dyDescent="0.25">
      <c r="Y28052" s="501"/>
    </row>
    <row r="28053" spans="25:25" hidden="1" x14ac:dyDescent="0.25">
      <c r="Y28053" s="501"/>
    </row>
    <row r="28054" spans="25:25" hidden="1" x14ac:dyDescent="0.25">
      <c r="Y28054" s="501"/>
    </row>
    <row r="28055" spans="25:25" hidden="1" x14ac:dyDescent="0.25">
      <c r="Y28055" s="501"/>
    </row>
    <row r="28056" spans="25:25" hidden="1" x14ac:dyDescent="0.25">
      <c r="Y28056" s="501"/>
    </row>
    <row r="28057" spans="25:25" hidden="1" x14ac:dyDescent="0.25">
      <c r="Y28057" s="501"/>
    </row>
    <row r="28058" spans="25:25" hidden="1" x14ac:dyDescent="0.25">
      <c r="Y28058" s="501"/>
    </row>
    <row r="28059" spans="25:25" hidden="1" x14ac:dyDescent="0.25">
      <c r="Y28059" s="501"/>
    </row>
    <row r="28060" spans="25:25" hidden="1" x14ac:dyDescent="0.25">
      <c r="Y28060" s="501"/>
    </row>
    <row r="28061" spans="25:25" hidden="1" x14ac:dyDescent="0.25">
      <c r="Y28061" s="501"/>
    </row>
    <row r="28062" spans="25:25" hidden="1" x14ac:dyDescent="0.25">
      <c r="Y28062" s="501"/>
    </row>
    <row r="28063" spans="25:25" hidden="1" x14ac:dyDescent="0.25">
      <c r="Y28063" s="501"/>
    </row>
    <row r="28064" spans="25:25" hidden="1" x14ac:dyDescent="0.25">
      <c r="Y28064" s="501"/>
    </row>
    <row r="28065" spans="25:25" hidden="1" x14ac:dyDescent="0.25">
      <c r="Y28065" s="501"/>
    </row>
    <row r="28066" spans="25:25" hidden="1" x14ac:dyDescent="0.25">
      <c r="Y28066" s="501"/>
    </row>
    <row r="28067" spans="25:25" hidden="1" x14ac:dyDescent="0.25">
      <c r="Y28067" s="501"/>
    </row>
    <row r="28068" spans="25:25" hidden="1" x14ac:dyDescent="0.25">
      <c r="Y28068" s="501"/>
    </row>
    <row r="28069" spans="25:25" hidden="1" x14ac:dyDescent="0.25">
      <c r="Y28069" s="501"/>
    </row>
    <row r="28070" spans="25:25" hidden="1" x14ac:dyDescent="0.25">
      <c r="Y28070" s="501"/>
    </row>
    <row r="28071" spans="25:25" hidden="1" x14ac:dyDescent="0.25">
      <c r="Y28071" s="501"/>
    </row>
    <row r="28072" spans="25:25" hidden="1" x14ac:dyDescent="0.25">
      <c r="Y28072" s="501"/>
    </row>
    <row r="28073" spans="25:25" hidden="1" x14ac:dyDescent="0.25">
      <c r="Y28073" s="501"/>
    </row>
    <row r="28074" spans="25:25" hidden="1" x14ac:dyDescent="0.25">
      <c r="Y28074" s="501"/>
    </row>
    <row r="28075" spans="25:25" hidden="1" x14ac:dyDescent="0.25">
      <c r="Y28075" s="501"/>
    </row>
    <row r="28076" spans="25:25" hidden="1" x14ac:dyDescent="0.25">
      <c r="Y28076" s="501"/>
    </row>
    <row r="28077" spans="25:25" hidden="1" x14ac:dyDescent="0.25">
      <c r="Y28077" s="501"/>
    </row>
    <row r="28078" spans="25:25" hidden="1" x14ac:dyDescent="0.25">
      <c r="Y28078" s="501"/>
    </row>
    <row r="28079" spans="25:25" hidden="1" x14ac:dyDescent="0.25">
      <c r="Y28079" s="501"/>
    </row>
    <row r="28080" spans="25:25" hidden="1" x14ac:dyDescent="0.25">
      <c r="Y28080" s="501"/>
    </row>
    <row r="28081" spans="25:25" hidden="1" x14ac:dyDescent="0.25">
      <c r="Y28081" s="501"/>
    </row>
    <row r="28082" spans="25:25" hidden="1" x14ac:dyDescent="0.25">
      <c r="Y28082" s="501"/>
    </row>
    <row r="28083" spans="25:25" hidden="1" x14ac:dyDescent="0.25">
      <c r="Y28083" s="501"/>
    </row>
    <row r="28084" spans="25:25" hidden="1" x14ac:dyDescent="0.25">
      <c r="Y28084" s="501"/>
    </row>
    <row r="28085" spans="25:25" hidden="1" x14ac:dyDescent="0.25">
      <c r="Y28085" s="501"/>
    </row>
    <row r="28086" spans="25:25" hidden="1" x14ac:dyDescent="0.25">
      <c r="Y28086" s="501"/>
    </row>
    <row r="28087" spans="25:25" hidden="1" x14ac:dyDescent="0.25">
      <c r="Y28087" s="501"/>
    </row>
    <row r="28088" spans="25:25" hidden="1" x14ac:dyDescent="0.25">
      <c r="Y28088" s="501"/>
    </row>
    <row r="28089" spans="25:25" hidden="1" x14ac:dyDescent="0.25">
      <c r="Y28089" s="501"/>
    </row>
    <row r="28090" spans="25:25" hidden="1" x14ac:dyDescent="0.25">
      <c r="Y28090" s="501"/>
    </row>
    <row r="28091" spans="25:25" hidden="1" x14ac:dyDescent="0.25">
      <c r="Y28091" s="501"/>
    </row>
    <row r="28092" spans="25:25" hidden="1" x14ac:dyDescent="0.25">
      <c r="Y28092" s="501"/>
    </row>
    <row r="28093" spans="25:25" hidden="1" x14ac:dyDescent="0.25">
      <c r="Y28093" s="501"/>
    </row>
    <row r="28094" spans="25:25" hidden="1" x14ac:dyDescent="0.25">
      <c r="Y28094" s="501"/>
    </row>
    <row r="28095" spans="25:25" hidden="1" x14ac:dyDescent="0.25">
      <c r="Y28095" s="501"/>
    </row>
    <row r="28096" spans="25:25" hidden="1" x14ac:dyDescent="0.25">
      <c r="Y28096" s="501"/>
    </row>
    <row r="28097" spans="25:25" hidden="1" x14ac:dyDescent="0.25">
      <c r="Y28097" s="501"/>
    </row>
    <row r="28098" spans="25:25" hidden="1" x14ac:dyDescent="0.25">
      <c r="Y28098" s="501"/>
    </row>
    <row r="28099" spans="25:25" hidden="1" x14ac:dyDescent="0.25">
      <c r="Y28099" s="501"/>
    </row>
    <row r="28100" spans="25:25" hidden="1" x14ac:dyDescent="0.25">
      <c r="Y28100" s="501"/>
    </row>
    <row r="28101" spans="25:25" hidden="1" x14ac:dyDescent="0.25">
      <c r="Y28101" s="501"/>
    </row>
    <row r="28102" spans="25:25" hidden="1" x14ac:dyDescent="0.25">
      <c r="Y28102" s="501"/>
    </row>
    <row r="28103" spans="25:25" hidden="1" x14ac:dyDescent="0.25">
      <c r="Y28103" s="501"/>
    </row>
    <row r="28104" spans="25:25" hidden="1" x14ac:dyDescent="0.25">
      <c r="Y28104" s="501"/>
    </row>
    <row r="28105" spans="25:25" hidden="1" x14ac:dyDescent="0.25">
      <c r="Y28105" s="501"/>
    </row>
    <row r="28106" spans="25:25" hidden="1" x14ac:dyDescent="0.25">
      <c r="Y28106" s="501"/>
    </row>
    <row r="28107" spans="25:25" hidden="1" x14ac:dyDescent="0.25">
      <c r="Y28107" s="501"/>
    </row>
    <row r="28108" spans="25:25" hidden="1" x14ac:dyDescent="0.25">
      <c r="Y28108" s="501"/>
    </row>
    <row r="28109" spans="25:25" hidden="1" x14ac:dyDescent="0.25">
      <c r="Y28109" s="501"/>
    </row>
    <row r="28110" spans="25:25" hidden="1" x14ac:dyDescent="0.25">
      <c r="Y28110" s="501"/>
    </row>
    <row r="28111" spans="25:25" hidden="1" x14ac:dyDescent="0.25">
      <c r="Y28111" s="501"/>
    </row>
    <row r="28112" spans="25:25" hidden="1" x14ac:dyDescent="0.25">
      <c r="Y28112" s="501"/>
    </row>
    <row r="28113" spans="25:25" hidden="1" x14ac:dyDescent="0.25">
      <c r="Y28113" s="501"/>
    </row>
    <row r="28114" spans="25:25" hidden="1" x14ac:dyDescent="0.25">
      <c r="Y28114" s="501"/>
    </row>
    <row r="28115" spans="25:25" hidden="1" x14ac:dyDescent="0.25">
      <c r="Y28115" s="501"/>
    </row>
    <row r="28116" spans="25:25" hidden="1" x14ac:dyDescent="0.25">
      <c r="Y28116" s="501"/>
    </row>
    <row r="28117" spans="25:25" hidden="1" x14ac:dyDescent="0.25">
      <c r="Y28117" s="501"/>
    </row>
    <row r="28118" spans="25:25" hidden="1" x14ac:dyDescent="0.25">
      <c r="Y28118" s="501"/>
    </row>
    <row r="28119" spans="25:25" hidden="1" x14ac:dyDescent="0.25">
      <c r="Y28119" s="501"/>
    </row>
    <row r="28120" spans="25:25" hidden="1" x14ac:dyDescent="0.25">
      <c r="Y28120" s="501"/>
    </row>
    <row r="28121" spans="25:25" hidden="1" x14ac:dyDescent="0.25">
      <c r="Y28121" s="501"/>
    </row>
    <row r="28122" spans="25:25" hidden="1" x14ac:dyDescent="0.25">
      <c r="Y28122" s="501"/>
    </row>
    <row r="28123" spans="25:25" hidden="1" x14ac:dyDescent="0.25">
      <c r="Y28123" s="501"/>
    </row>
    <row r="28124" spans="25:25" hidden="1" x14ac:dyDescent="0.25">
      <c r="Y28124" s="501"/>
    </row>
    <row r="28125" spans="25:25" hidden="1" x14ac:dyDescent="0.25">
      <c r="Y28125" s="501"/>
    </row>
    <row r="28126" spans="25:25" hidden="1" x14ac:dyDescent="0.25">
      <c r="Y28126" s="501"/>
    </row>
    <row r="28127" spans="25:25" hidden="1" x14ac:dyDescent="0.25">
      <c r="Y28127" s="501"/>
    </row>
    <row r="28128" spans="25:25" hidden="1" x14ac:dyDescent="0.25">
      <c r="Y28128" s="501"/>
    </row>
    <row r="28129" spans="25:25" hidden="1" x14ac:dyDescent="0.25">
      <c r="Y28129" s="501"/>
    </row>
    <row r="28130" spans="25:25" hidden="1" x14ac:dyDescent="0.25">
      <c r="Y28130" s="501"/>
    </row>
    <row r="28131" spans="25:25" hidden="1" x14ac:dyDescent="0.25">
      <c r="Y28131" s="501"/>
    </row>
    <row r="28132" spans="25:25" hidden="1" x14ac:dyDescent="0.25">
      <c r="Y28132" s="501"/>
    </row>
    <row r="28133" spans="25:25" hidden="1" x14ac:dyDescent="0.25">
      <c r="Y28133" s="501"/>
    </row>
    <row r="28134" spans="25:25" hidden="1" x14ac:dyDescent="0.25">
      <c r="Y28134" s="501"/>
    </row>
    <row r="28135" spans="25:25" hidden="1" x14ac:dyDescent="0.25">
      <c r="Y28135" s="501"/>
    </row>
    <row r="28136" spans="25:25" hidden="1" x14ac:dyDescent="0.25">
      <c r="Y28136" s="501"/>
    </row>
    <row r="28137" spans="25:25" hidden="1" x14ac:dyDescent="0.25">
      <c r="Y28137" s="501"/>
    </row>
    <row r="28138" spans="25:25" hidden="1" x14ac:dyDescent="0.25">
      <c r="Y28138" s="501"/>
    </row>
    <row r="28139" spans="25:25" hidden="1" x14ac:dyDescent="0.25">
      <c r="Y28139" s="501"/>
    </row>
    <row r="28140" spans="25:25" hidden="1" x14ac:dyDescent="0.25">
      <c r="Y28140" s="501"/>
    </row>
    <row r="28141" spans="25:25" hidden="1" x14ac:dyDescent="0.25">
      <c r="Y28141" s="501"/>
    </row>
    <row r="28142" spans="25:25" hidden="1" x14ac:dyDescent="0.25">
      <c r="Y28142" s="501"/>
    </row>
    <row r="28143" spans="25:25" hidden="1" x14ac:dyDescent="0.25">
      <c r="Y28143" s="501"/>
    </row>
    <row r="28144" spans="25:25" hidden="1" x14ac:dyDescent="0.25">
      <c r="Y28144" s="501"/>
    </row>
    <row r="28145" spans="25:25" hidden="1" x14ac:dyDescent="0.25">
      <c r="Y28145" s="501"/>
    </row>
    <row r="28146" spans="25:25" hidden="1" x14ac:dyDescent="0.25">
      <c r="Y28146" s="501"/>
    </row>
    <row r="28147" spans="25:25" hidden="1" x14ac:dyDescent="0.25">
      <c r="Y28147" s="501"/>
    </row>
    <row r="28148" spans="25:25" hidden="1" x14ac:dyDescent="0.25">
      <c r="Y28148" s="501"/>
    </row>
    <row r="28149" spans="25:25" hidden="1" x14ac:dyDescent="0.25">
      <c r="Y28149" s="501"/>
    </row>
    <row r="28150" spans="25:25" hidden="1" x14ac:dyDescent="0.25">
      <c r="Y28150" s="501"/>
    </row>
    <row r="28151" spans="25:25" hidden="1" x14ac:dyDescent="0.25">
      <c r="Y28151" s="501"/>
    </row>
    <row r="28152" spans="25:25" hidden="1" x14ac:dyDescent="0.25">
      <c r="Y28152" s="501"/>
    </row>
    <row r="28153" spans="25:25" hidden="1" x14ac:dyDescent="0.25">
      <c r="Y28153" s="501"/>
    </row>
    <row r="28154" spans="25:25" hidden="1" x14ac:dyDescent="0.25">
      <c r="Y28154" s="501"/>
    </row>
    <row r="28155" spans="25:25" hidden="1" x14ac:dyDescent="0.25">
      <c r="Y28155" s="501"/>
    </row>
    <row r="28156" spans="25:25" hidden="1" x14ac:dyDescent="0.25">
      <c r="Y28156" s="501"/>
    </row>
    <row r="28157" spans="25:25" hidden="1" x14ac:dyDescent="0.25">
      <c r="Y28157" s="501"/>
    </row>
    <row r="28158" spans="25:25" hidden="1" x14ac:dyDescent="0.25">
      <c r="Y28158" s="501"/>
    </row>
    <row r="28159" spans="25:25" hidden="1" x14ac:dyDescent="0.25">
      <c r="Y28159" s="501"/>
    </row>
    <row r="28160" spans="25:25" hidden="1" x14ac:dyDescent="0.25">
      <c r="Y28160" s="501"/>
    </row>
    <row r="28161" spans="25:25" hidden="1" x14ac:dyDescent="0.25">
      <c r="Y28161" s="501"/>
    </row>
    <row r="28162" spans="25:25" hidden="1" x14ac:dyDescent="0.25">
      <c r="Y28162" s="501"/>
    </row>
    <row r="28163" spans="25:25" hidden="1" x14ac:dyDescent="0.25">
      <c r="Y28163" s="501"/>
    </row>
    <row r="28164" spans="25:25" hidden="1" x14ac:dyDescent="0.25">
      <c r="Y28164" s="501"/>
    </row>
    <row r="28165" spans="25:25" hidden="1" x14ac:dyDescent="0.25">
      <c r="Y28165" s="501"/>
    </row>
    <row r="28166" spans="25:25" hidden="1" x14ac:dyDescent="0.25">
      <c r="Y28166" s="501"/>
    </row>
    <row r="28167" spans="25:25" hidden="1" x14ac:dyDescent="0.25">
      <c r="Y28167" s="501"/>
    </row>
    <row r="28168" spans="25:25" hidden="1" x14ac:dyDescent="0.25">
      <c r="Y28168" s="501"/>
    </row>
    <row r="28169" spans="25:25" hidden="1" x14ac:dyDescent="0.25">
      <c r="Y28169" s="501"/>
    </row>
    <row r="28170" spans="25:25" hidden="1" x14ac:dyDescent="0.25">
      <c r="Y28170" s="501"/>
    </row>
    <row r="28171" spans="25:25" hidden="1" x14ac:dyDescent="0.25">
      <c r="Y28171" s="501"/>
    </row>
    <row r="28172" spans="25:25" hidden="1" x14ac:dyDescent="0.25">
      <c r="Y28172" s="501"/>
    </row>
    <row r="28173" spans="25:25" hidden="1" x14ac:dyDescent="0.25">
      <c r="Y28173" s="501"/>
    </row>
    <row r="28174" spans="25:25" hidden="1" x14ac:dyDescent="0.25">
      <c r="Y28174" s="501"/>
    </row>
    <row r="28175" spans="25:25" hidden="1" x14ac:dyDescent="0.25">
      <c r="Y28175" s="501"/>
    </row>
    <row r="28176" spans="25:25" hidden="1" x14ac:dyDescent="0.25">
      <c r="Y28176" s="501"/>
    </row>
    <row r="28177" spans="25:25" hidden="1" x14ac:dyDescent="0.25">
      <c r="Y28177" s="501"/>
    </row>
    <row r="28178" spans="25:25" hidden="1" x14ac:dyDescent="0.25">
      <c r="Y28178" s="501"/>
    </row>
    <row r="28179" spans="25:25" hidden="1" x14ac:dyDescent="0.25">
      <c r="Y28179" s="501"/>
    </row>
    <row r="28180" spans="25:25" hidden="1" x14ac:dyDescent="0.25">
      <c r="Y28180" s="501"/>
    </row>
    <row r="28181" spans="25:25" hidden="1" x14ac:dyDescent="0.25">
      <c r="Y28181" s="501"/>
    </row>
    <row r="28182" spans="25:25" hidden="1" x14ac:dyDescent="0.25">
      <c r="Y28182" s="501"/>
    </row>
    <row r="28183" spans="25:25" hidden="1" x14ac:dyDescent="0.25">
      <c r="Y28183" s="501"/>
    </row>
    <row r="28184" spans="25:25" hidden="1" x14ac:dyDescent="0.25">
      <c r="Y28184" s="501"/>
    </row>
    <row r="28185" spans="25:25" hidden="1" x14ac:dyDescent="0.25">
      <c r="Y28185" s="501"/>
    </row>
    <row r="28186" spans="25:25" hidden="1" x14ac:dyDescent="0.25">
      <c r="Y28186" s="501"/>
    </row>
    <row r="28187" spans="25:25" hidden="1" x14ac:dyDescent="0.25">
      <c r="Y28187" s="501"/>
    </row>
    <row r="28188" spans="25:25" hidden="1" x14ac:dyDescent="0.25">
      <c r="Y28188" s="501"/>
    </row>
    <row r="28189" spans="25:25" hidden="1" x14ac:dyDescent="0.25">
      <c r="Y28189" s="501"/>
    </row>
    <row r="28190" spans="25:25" hidden="1" x14ac:dyDescent="0.25">
      <c r="Y28190" s="501"/>
    </row>
    <row r="28191" spans="25:25" hidden="1" x14ac:dyDescent="0.25">
      <c r="Y28191" s="501"/>
    </row>
    <row r="28192" spans="25:25" hidden="1" x14ac:dyDescent="0.25">
      <c r="Y28192" s="501"/>
    </row>
    <row r="28193" spans="25:25" hidden="1" x14ac:dyDescent="0.25">
      <c r="Y28193" s="501"/>
    </row>
    <row r="28194" spans="25:25" hidden="1" x14ac:dyDescent="0.25">
      <c r="Y28194" s="501"/>
    </row>
    <row r="28195" spans="25:25" hidden="1" x14ac:dyDescent="0.25">
      <c r="Y28195" s="501"/>
    </row>
    <row r="28196" spans="25:25" hidden="1" x14ac:dyDescent="0.25">
      <c r="Y28196" s="501"/>
    </row>
    <row r="28197" spans="25:25" hidden="1" x14ac:dyDescent="0.25">
      <c r="Y28197" s="501"/>
    </row>
    <row r="28198" spans="25:25" hidden="1" x14ac:dyDescent="0.25">
      <c r="Y28198" s="501"/>
    </row>
    <row r="28199" spans="25:25" hidden="1" x14ac:dyDescent="0.25">
      <c r="Y28199" s="501"/>
    </row>
    <row r="28200" spans="25:25" hidden="1" x14ac:dyDescent="0.25">
      <c r="Y28200" s="501"/>
    </row>
    <row r="28201" spans="25:25" hidden="1" x14ac:dyDescent="0.25">
      <c r="Y28201" s="501"/>
    </row>
    <row r="28202" spans="25:25" hidden="1" x14ac:dyDescent="0.25">
      <c r="Y28202" s="501"/>
    </row>
    <row r="28203" spans="25:25" hidden="1" x14ac:dyDescent="0.25">
      <c r="Y28203" s="501"/>
    </row>
    <row r="28204" spans="25:25" hidden="1" x14ac:dyDescent="0.25">
      <c r="Y28204" s="501"/>
    </row>
    <row r="28205" spans="25:25" hidden="1" x14ac:dyDescent="0.25">
      <c r="Y28205" s="501"/>
    </row>
    <row r="28206" spans="25:25" hidden="1" x14ac:dyDescent="0.25">
      <c r="Y28206" s="501"/>
    </row>
    <row r="28207" spans="25:25" hidden="1" x14ac:dyDescent="0.25">
      <c r="Y28207" s="501"/>
    </row>
    <row r="28208" spans="25:25" hidden="1" x14ac:dyDescent="0.25">
      <c r="Y28208" s="501"/>
    </row>
    <row r="28209" spans="25:25" hidden="1" x14ac:dyDescent="0.25">
      <c r="Y28209" s="501"/>
    </row>
    <row r="28210" spans="25:25" hidden="1" x14ac:dyDescent="0.25">
      <c r="Y28210" s="501"/>
    </row>
    <row r="28211" spans="25:25" hidden="1" x14ac:dyDescent="0.25">
      <c r="Y28211" s="501"/>
    </row>
    <row r="28212" spans="25:25" hidden="1" x14ac:dyDescent="0.25">
      <c r="Y28212" s="501"/>
    </row>
    <row r="28213" spans="25:25" hidden="1" x14ac:dyDescent="0.25">
      <c r="Y28213" s="501"/>
    </row>
    <row r="28214" spans="25:25" hidden="1" x14ac:dyDescent="0.25">
      <c r="Y28214" s="501"/>
    </row>
    <row r="28215" spans="25:25" hidden="1" x14ac:dyDescent="0.25">
      <c r="Y28215" s="501"/>
    </row>
    <row r="28216" spans="25:25" hidden="1" x14ac:dyDescent="0.25">
      <c r="Y28216" s="501"/>
    </row>
    <row r="28217" spans="25:25" hidden="1" x14ac:dyDescent="0.25">
      <c r="Y28217" s="501"/>
    </row>
    <row r="28218" spans="25:25" hidden="1" x14ac:dyDescent="0.25">
      <c r="Y28218" s="501"/>
    </row>
    <row r="28219" spans="25:25" hidden="1" x14ac:dyDescent="0.25">
      <c r="Y28219" s="501"/>
    </row>
    <row r="28220" spans="25:25" hidden="1" x14ac:dyDescent="0.25">
      <c r="Y28220" s="501"/>
    </row>
    <row r="28221" spans="25:25" hidden="1" x14ac:dyDescent="0.25">
      <c r="Y28221" s="501"/>
    </row>
    <row r="28222" spans="25:25" hidden="1" x14ac:dyDescent="0.25">
      <c r="Y28222" s="501"/>
    </row>
    <row r="28223" spans="25:25" hidden="1" x14ac:dyDescent="0.25">
      <c r="Y28223" s="501"/>
    </row>
    <row r="28224" spans="25:25" hidden="1" x14ac:dyDescent="0.25">
      <c r="Y28224" s="501"/>
    </row>
    <row r="28225" spans="25:25" hidden="1" x14ac:dyDescent="0.25">
      <c r="Y28225" s="501"/>
    </row>
    <row r="28226" spans="25:25" hidden="1" x14ac:dyDescent="0.25">
      <c r="Y28226" s="501"/>
    </row>
    <row r="28227" spans="25:25" hidden="1" x14ac:dyDescent="0.25">
      <c r="Y28227" s="501"/>
    </row>
    <row r="28228" spans="25:25" hidden="1" x14ac:dyDescent="0.25">
      <c r="Y28228" s="501"/>
    </row>
    <row r="28229" spans="25:25" hidden="1" x14ac:dyDescent="0.25">
      <c r="Y28229" s="501"/>
    </row>
    <row r="28230" spans="25:25" hidden="1" x14ac:dyDescent="0.25">
      <c r="Y28230" s="501"/>
    </row>
    <row r="28231" spans="25:25" hidden="1" x14ac:dyDescent="0.25">
      <c r="Y28231" s="501"/>
    </row>
    <row r="28232" spans="25:25" hidden="1" x14ac:dyDescent="0.25">
      <c r="Y28232" s="501"/>
    </row>
    <row r="28233" spans="25:25" hidden="1" x14ac:dyDescent="0.25">
      <c r="Y28233" s="501"/>
    </row>
    <row r="28234" spans="25:25" hidden="1" x14ac:dyDescent="0.25">
      <c r="Y28234" s="501"/>
    </row>
    <row r="28235" spans="25:25" hidden="1" x14ac:dyDescent="0.25">
      <c r="Y28235" s="501"/>
    </row>
    <row r="28236" spans="25:25" hidden="1" x14ac:dyDescent="0.25">
      <c r="Y28236" s="501"/>
    </row>
    <row r="28237" spans="25:25" hidden="1" x14ac:dyDescent="0.25">
      <c r="Y28237" s="501"/>
    </row>
    <row r="28238" spans="25:25" hidden="1" x14ac:dyDescent="0.25">
      <c r="Y28238" s="501"/>
    </row>
    <row r="28239" spans="25:25" hidden="1" x14ac:dyDescent="0.25">
      <c r="Y28239" s="501"/>
    </row>
    <row r="28240" spans="25:25" hidden="1" x14ac:dyDescent="0.25">
      <c r="Y28240" s="501"/>
    </row>
    <row r="28241" spans="25:25" hidden="1" x14ac:dyDescent="0.25">
      <c r="Y28241" s="501"/>
    </row>
    <row r="28242" spans="25:25" hidden="1" x14ac:dyDescent="0.25">
      <c r="Y28242" s="501"/>
    </row>
    <row r="28243" spans="25:25" hidden="1" x14ac:dyDescent="0.25">
      <c r="Y28243" s="501"/>
    </row>
    <row r="28244" spans="25:25" hidden="1" x14ac:dyDescent="0.25">
      <c r="Y28244" s="501"/>
    </row>
    <row r="28245" spans="25:25" hidden="1" x14ac:dyDescent="0.25">
      <c r="Y28245" s="501"/>
    </row>
    <row r="28246" spans="25:25" hidden="1" x14ac:dyDescent="0.25">
      <c r="Y28246" s="501"/>
    </row>
    <row r="28247" spans="25:25" hidden="1" x14ac:dyDescent="0.25">
      <c r="Y28247" s="501"/>
    </row>
    <row r="28248" spans="25:25" hidden="1" x14ac:dyDescent="0.25">
      <c r="Y28248" s="501"/>
    </row>
    <row r="28249" spans="25:25" hidden="1" x14ac:dyDescent="0.25">
      <c r="Y28249" s="501"/>
    </row>
    <row r="28250" spans="25:25" hidden="1" x14ac:dyDescent="0.25">
      <c r="Y28250" s="501"/>
    </row>
    <row r="28251" spans="25:25" hidden="1" x14ac:dyDescent="0.25">
      <c r="Y28251" s="501"/>
    </row>
    <row r="28252" spans="25:25" hidden="1" x14ac:dyDescent="0.25">
      <c r="Y28252" s="501"/>
    </row>
    <row r="28253" spans="25:25" hidden="1" x14ac:dyDescent="0.25">
      <c r="Y28253" s="501"/>
    </row>
    <row r="28254" spans="25:25" hidden="1" x14ac:dyDescent="0.25">
      <c r="Y28254" s="501"/>
    </row>
    <row r="28255" spans="25:25" hidden="1" x14ac:dyDescent="0.25">
      <c r="Y28255" s="501"/>
    </row>
    <row r="28256" spans="25:25" hidden="1" x14ac:dyDescent="0.25">
      <c r="Y28256" s="501"/>
    </row>
    <row r="28257" spans="25:25" hidden="1" x14ac:dyDescent="0.25">
      <c r="Y28257" s="501"/>
    </row>
    <row r="28258" spans="25:25" hidden="1" x14ac:dyDescent="0.25">
      <c r="Y28258" s="501"/>
    </row>
    <row r="28259" spans="25:25" hidden="1" x14ac:dyDescent="0.25">
      <c r="Y28259" s="501"/>
    </row>
    <row r="28260" spans="25:25" hidden="1" x14ac:dyDescent="0.25">
      <c r="Y28260" s="501"/>
    </row>
    <row r="28261" spans="25:25" hidden="1" x14ac:dyDescent="0.25">
      <c r="Y28261" s="501"/>
    </row>
    <row r="28262" spans="25:25" hidden="1" x14ac:dyDescent="0.25">
      <c r="Y28262" s="501"/>
    </row>
    <row r="28263" spans="25:25" hidden="1" x14ac:dyDescent="0.25">
      <c r="Y28263" s="501"/>
    </row>
    <row r="28264" spans="25:25" hidden="1" x14ac:dyDescent="0.25">
      <c r="Y28264" s="501"/>
    </row>
    <row r="28265" spans="25:25" hidden="1" x14ac:dyDescent="0.25">
      <c r="Y28265" s="501"/>
    </row>
    <row r="28266" spans="25:25" hidden="1" x14ac:dyDescent="0.25">
      <c r="Y28266" s="501"/>
    </row>
    <row r="28267" spans="25:25" hidden="1" x14ac:dyDescent="0.25">
      <c r="Y28267" s="501"/>
    </row>
    <row r="28268" spans="25:25" hidden="1" x14ac:dyDescent="0.25">
      <c r="Y28268" s="501"/>
    </row>
    <row r="28269" spans="25:25" hidden="1" x14ac:dyDescent="0.25">
      <c r="Y28269" s="501"/>
    </row>
    <row r="28270" spans="25:25" hidden="1" x14ac:dyDescent="0.25">
      <c r="Y28270" s="501"/>
    </row>
    <row r="28271" spans="25:25" hidden="1" x14ac:dyDescent="0.25">
      <c r="Y28271" s="501"/>
    </row>
    <row r="28272" spans="25:25" hidden="1" x14ac:dyDescent="0.25">
      <c r="Y28272" s="501"/>
    </row>
    <row r="28273" spans="25:25" hidden="1" x14ac:dyDescent="0.25">
      <c r="Y28273" s="501"/>
    </row>
    <row r="28274" spans="25:25" hidden="1" x14ac:dyDescent="0.25">
      <c r="Y28274" s="501"/>
    </row>
    <row r="28275" spans="25:25" hidden="1" x14ac:dyDescent="0.25">
      <c r="Y28275" s="501"/>
    </row>
    <row r="28276" spans="25:25" hidden="1" x14ac:dyDescent="0.25">
      <c r="Y28276" s="501"/>
    </row>
    <row r="28277" spans="25:25" hidden="1" x14ac:dyDescent="0.25">
      <c r="Y28277" s="501"/>
    </row>
    <row r="28278" spans="25:25" hidden="1" x14ac:dyDescent="0.25">
      <c r="Y28278" s="501"/>
    </row>
    <row r="28279" spans="25:25" hidden="1" x14ac:dyDescent="0.25">
      <c r="Y28279" s="501"/>
    </row>
    <row r="28280" spans="25:25" hidden="1" x14ac:dyDescent="0.25">
      <c r="Y28280" s="501"/>
    </row>
    <row r="28281" spans="25:25" hidden="1" x14ac:dyDescent="0.25">
      <c r="Y28281" s="501"/>
    </row>
    <row r="28282" spans="25:25" hidden="1" x14ac:dyDescent="0.25">
      <c r="Y28282" s="501"/>
    </row>
    <row r="28283" spans="25:25" hidden="1" x14ac:dyDescent="0.25">
      <c r="Y28283" s="501"/>
    </row>
    <row r="28284" spans="25:25" hidden="1" x14ac:dyDescent="0.25">
      <c r="Y28284" s="501"/>
    </row>
    <row r="28285" spans="25:25" hidden="1" x14ac:dyDescent="0.25">
      <c r="Y28285" s="501"/>
    </row>
    <row r="28286" spans="25:25" hidden="1" x14ac:dyDescent="0.25">
      <c r="Y28286" s="501"/>
    </row>
    <row r="28287" spans="25:25" hidden="1" x14ac:dyDescent="0.25">
      <c r="Y28287" s="501"/>
    </row>
    <row r="28288" spans="25:25" hidden="1" x14ac:dyDescent="0.25">
      <c r="Y28288" s="501"/>
    </row>
    <row r="28289" spans="25:25" hidden="1" x14ac:dyDescent="0.25">
      <c r="Y28289" s="501"/>
    </row>
    <row r="28290" spans="25:25" hidden="1" x14ac:dyDescent="0.25">
      <c r="Y28290" s="501"/>
    </row>
    <row r="28291" spans="25:25" hidden="1" x14ac:dyDescent="0.25">
      <c r="Y28291" s="501"/>
    </row>
    <row r="28292" spans="25:25" hidden="1" x14ac:dyDescent="0.25">
      <c r="Y28292" s="501"/>
    </row>
    <row r="28293" spans="25:25" hidden="1" x14ac:dyDescent="0.25">
      <c r="Y28293" s="501"/>
    </row>
    <row r="28294" spans="25:25" hidden="1" x14ac:dyDescent="0.25">
      <c r="Y28294" s="501"/>
    </row>
    <row r="28295" spans="25:25" hidden="1" x14ac:dyDescent="0.25">
      <c r="Y28295" s="501"/>
    </row>
    <row r="28296" spans="25:25" hidden="1" x14ac:dyDescent="0.25">
      <c r="Y28296" s="501"/>
    </row>
    <row r="28297" spans="25:25" hidden="1" x14ac:dyDescent="0.25">
      <c r="Y28297" s="501"/>
    </row>
    <row r="28298" spans="25:25" hidden="1" x14ac:dyDescent="0.25">
      <c r="Y28298" s="501"/>
    </row>
    <row r="28299" spans="25:25" hidden="1" x14ac:dyDescent="0.25">
      <c r="Y28299" s="501"/>
    </row>
    <row r="28300" spans="25:25" hidden="1" x14ac:dyDescent="0.25">
      <c r="Y28300" s="501"/>
    </row>
    <row r="28301" spans="25:25" hidden="1" x14ac:dyDescent="0.25">
      <c r="Y28301" s="501"/>
    </row>
    <row r="28302" spans="25:25" hidden="1" x14ac:dyDescent="0.25">
      <c r="Y28302" s="501"/>
    </row>
    <row r="28303" spans="25:25" hidden="1" x14ac:dyDescent="0.25">
      <c r="Y28303" s="501"/>
    </row>
    <row r="28304" spans="25:25" hidden="1" x14ac:dyDescent="0.25">
      <c r="Y28304" s="501"/>
    </row>
    <row r="28305" spans="25:25" hidden="1" x14ac:dyDescent="0.25">
      <c r="Y28305" s="501"/>
    </row>
    <row r="28306" spans="25:25" hidden="1" x14ac:dyDescent="0.25">
      <c r="Y28306" s="501"/>
    </row>
    <row r="28307" spans="25:25" hidden="1" x14ac:dyDescent="0.25">
      <c r="Y28307" s="501"/>
    </row>
    <row r="28308" spans="25:25" hidden="1" x14ac:dyDescent="0.25">
      <c r="Y28308" s="501"/>
    </row>
    <row r="28309" spans="25:25" hidden="1" x14ac:dyDescent="0.25">
      <c r="Y28309" s="501"/>
    </row>
    <row r="28310" spans="25:25" hidden="1" x14ac:dyDescent="0.25">
      <c r="Y28310" s="501"/>
    </row>
    <row r="28311" spans="25:25" hidden="1" x14ac:dyDescent="0.25">
      <c r="Y28311" s="501"/>
    </row>
    <row r="28312" spans="25:25" hidden="1" x14ac:dyDescent="0.25">
      <c r="Y28312" s="501"/>
    </row>
    <row r="28313" spans="25:25" hidden="1" x14ac:dyDescent="0.25">
      <c r="Y28313" s="501"/>
    </row>
    <row r="28314" spans="25:25" hidden="1" x14ac:dyDescent="0.25">
      <c r="Y28314" s="501"/>
    </row>
    <row r="28315" spans="25:25" hidden="1" x14ac:dyDescent="0.25">
      <c r="Y28315" s="501"/>
    </row>
    <row r="28316" spans="25:25" hidden="1" x14ac:dyDescent="0.25">
      <c r="Y28316" s="501"/>
    </row>
    <row r="28317" spans="25:25" hidden="1" x14ac:dyDescent="0.25">
      <c r="Y28317" s="501"/>
    </row>
    <row r="28318" spans="25:25" hidden="1" x14ac:dyDescent="0.25">
      <c r="Y28318" s="501"/>
    </row>
    <row r="28319" spans="25:25" hidden="1" x14ac:dyDescent="0.25">
      <c r="Y28319" s="501"/>
    </row>
    <row r="28320" spans="25:25" hidden="1" x14ac:dyDescent="0.25">
      <c r="Y28320" s="501"/>
    </row>
    <row r="28321" spans="25:25" hidden="1" x14ac:dyDescent="0.25">
      <c r="Y28321" s="501"/>
    </row>
    <row r="28322" spans="25:25" hidden="1" x14ac:dyDescent="0.25">
      <c r="Y28322" s="501"/>
    </row>
    <row r="28323" spans="25:25" hidden="1" x14ac:dyDescent="0.25">
      <c r="Y28323" s="501"/>
    </row>
    <row r="28324" spans="25:25" hidden="1" x14ac:dyDescent="0.25">
      <c r="Y28324" s="501"/>
    </row>
    <row r="28325" spans="25:25" hidden="1" x14ac:dyDescent="0.25">
      <c r="Y28325" s="501"/>
    </row>
    <row r="28326" spans="25:25" hidden="1" x14ac:dyDescent="0.25">
      <c r="Y28326" s="501"/>
    </row>
    <row r="28327" spans="25:25" hidden="1" x14ac:dyDescent="0.25">
      <c r="Y28327" s="501"/>
    </row>
    <row r="28328" spans="25:25" hidden="1" x14ac:dyDescent="0.25">
      <c r="Y28328" s="501"/>
    </row>
    <row r="28329" spans="25:25" hidden="1" x14ac:dyDescent="0.25">
      <c r="Y28329" s="501"/>
    </row>
    <row r="28330" spans="25:25" hidden="1" x14ac:dyDescent="0.25">
      <c r="Y28330" s="501"/>
    </row>
    <row r="28331" spans="25:25" hidden="1" x14ac:dyDescent="0.25">
      <c r="Y28331" s="501"/>
    </row>
    <row r="28332" spans="25:25" hidden="1" x14ac:dyDescent="0.25">
      <c r="Y28332" s="501"/>
    </row>
    <row r="28333" spans="25:25" hidden="1" x14ac:dyDescent="0.25">
      <c r="Y28333" s="501"/>
    </row>
    <row r="28334" spans="25:25" hidden="1" x14ac:dyDescent="0.25">
      <c r="Y28334" s="501"/>
    </row>
    <row r="28335" spans="25:25" hidden="1" x14ac:dyDescent="0.25">
      <c r="Y28335" s="501"/>
    </row>
    <row r="28336" spans="25:25" hidden="1" x14ac:dyDescent="0.25">
      <c r="Y28336" s="501"/>
    </row>
    <row r="28337" spans="25:25" hidden="1" x14ac:dyDescent="0.25">
      <c r="Y28337" s="501"/>
    </row>
    <row r="28338" spans="25:25" hidden="1" x14ac:dyDescent="0.25">
      <c r="Y28338" s="501"/>
    </row>
    <row r="28339" spans="25:25" hidden="1" x14ac:dyDescent="0.25">
      <c r="Y28339" s="501"/>
    </row>
    <row r="28340" spans="25:25" hidden="1" x14ac:dyDescent="0.25">
      <c r="Y28340" s="501"/>
    </row>
    <row r="28341" spans="25:25" hidden="1" x14ac:dyDescent="0.25">
      <c r="Y28341" s="501"/>
    </row>
    <row r="28342" spans="25:25" hidden="1" x14ac:dyDescent="0.25">
      <c r="Y28342" s="501"/>
    </row>
    <row r="28343" spans="25:25" hidden="1" x14ac:dyDescent="0.25">
      <c r="Y28343" s="501"/>
    </row>
    <row r="28344" spans="25:25" hidden="1" x14ac:dyDescent="0.25">
      <c r="Y28344" s="501"/>
    </row>
    <row r="28345" spans="25:25" hidden="1" x14ac:dyDescent="0.25">
      <c r="Y28345" s="501"/>
    </row>
    <row r="28346" spans="25:25" hidden="1" x14ac:dyDescent="0.25">
      <c r="Y28346" s="501"/>
    </row>
    <row r="28347" spans="25:25" hidden="1" x14ac:dyDescent="0.25">
      <c r="Y28347" s="501"/>
    </row>
    <row r="28348" spans="25:25" hidden="1" x14ac:dyDescent="0.25">
      <c r="Y28348" s="501"/>
    </row>
    <row r="28349" spans="25:25" hidden="1" x14ac:dyDescent="0.25">
      <c r="Y28349" s="501"/>
    </row>
    <row r="28350" spans="25:25" hidden="1" x14ac:dyDescent="0.25">
      <c r="Y28350" s="501"/>
    </row>
    <row r="28351" spans="25:25" hidden="1" x14ac:dyDescent="0.25">
      <c r="Y28351" s="501"/>
    </row>
    <row r="28352" spans="25:25" hidden="1" x14ac:dyDescent="0.25">
      <c r="Y28352" s="501"/>
    </row>
    <row r="28353" spans="25:25" hidden="1" x14ac:dyDescent="0.25">
      <c r="Y28353" s="501"/>
    </row>
    <row r="28354" spans="25:25" hidden="1" x14ac:dyDescent="0.25">
      <c r="Y28354" s="501"/>
    </row>
    <row r="28355" spans="25:25" hidden="1" x14ac:dyDescent="0.25">
      <c r="Y28355" s="501"/>
    </row>
    <row r="28356" spans="25:25" hidden="1" x14ac:dyDescent="0.25">
      <c r="Y28356" s="501"/>
    </row>
    <row r="28357" spans="25:25" hidden="1" x14ac:dyDescent="0.25">
      <c r="Y28357" s="501"/>
    </row>
    <row r="28358" spans="25:25" hidden="1" x14ac:dyDescent="0.25">
      <c r="Y28358" s="501"/>
    </row>
    <row r="28359" spans="25:25" hidden="1" x14ac:dyDescent="0.25">
      <c r="Y28359" s="501"/>
    </row>
    <row r="28360" spans="25:25" hidden="1" x14ac:dyDescent="0.25">
      <c r="Y28360" s="501"/>
    </row>
    <row r="28361" spans="25:25" hidden="1" x14ac:dyDescent="0.25">
      <c r="Y28361" s="501"/>
    </row>
    <row r="28362" spans="25:25" hidden="1" x14ac:dyDescent="0.25">
      <c r="Y28362" s="501"/>
    </row>
    <row r="28363" spans="25:25" hidden="1" x14ac:dyDescent="0.25">
      <c r="Y28363" s="501"/>
    </row>
    <row r="28364" spans="25:25" hidden="1" x14ac:dyDescent="0.25">
      <c r="Y28364" s="501"/>
    </row>
    <row r="28365" spans="25:25" hidden="1" x14ac:dyDescent="0.25">
      <c r="Y28365" s="501"/>
    </row>
    <row r="28366" spans="25:25" hidden="1" x14ac:dyDescent="0.25">
      <c r="Y28366" s="501"/>
    </row>
    <row r="28367" spans="25:25" hidden="1" x14ac:dyDescent="0.25">
      <c r="Y28367" s="501"/>
    </row>
    <row r="28368" spans="25:25" hidden="1" x14ac:dyDescent="0.25">
      <c r="Y28368" s="501"/>
    </row>
    <row r="28369" spans="25:25" hidden="1" x14ac:dyDescent="0.25">
      <c r="Y28369" s="501"/>
    </row>
    <row r="28370" spans="25:25" hidden="1" x14ac:dyDescent="0.25">
      <c r="Y28370" s="501"/>
    </row>
    <row r="28371" spans="25:25" hidden="1" x14ac:dyDescent="0.25">
      <c r="Y28371" s="501"/>
    </row>
    <row r="28372" spans="25:25" hidden="1" x14ac:dyDescent="0.25">
      <c r="Y28372" s="501"/>
    </row>
    <row r="28373" spans="25:25" hidden="1" x14ac:dyDescent="0.25">
      <c r="Y28373" s="501"/>
    </row>
    <row r="28374" spans="25:25" hidden="1" x14ac:dyDescent="0.25">
      <c r="Y28374" s="501"/>
    </row>
    <row r="28375" spans="25:25" hidden="1" x14ac:dyDescent="0.25">
      <c r="Y28375" s="501"/>
    </row>
    <row r="28376" spans="25:25" hidden="1" x14ac:dyDescent="0.25">
      <c r="Y28376" s="501"/>
    </row>
    <row r="28377" spans="25:25" hidden="1" x14ac:dyDescent="0.25">
      <c r="Y28377" s="501"/>
    </row>
    <row r="28378" spans="25:25" hidden="1" x14ac:dyDescent="0.25">
      <c r="Y28378" s="501"/>
    </row>
    <row r="28379" spans="25:25" hidden="1" x14ac:dyDescent="0.25">
      <c r="Y28379" s="501"/>
    </row>
    <row r="28380" spans="25:25" hidden="1" x14ac:dyDescent="0.25">
      <c r="Y28380" s="501"/>
    </row>
    <row r="28381" spans="25:25" hidden="1" x14ac:dyDescent="0.25">
      <c r="Y28381" s="501"/>
    </row>
    <row r="28382" spans="25:25" hidden="1" x14ac:dyDescent="0.25">
      <c r="Y28382" s="501"/>
    </row>
    <row r="28383" spans="25:25" hidden="1" x14ac:dyDescent="0.25">
      <c r="Y28383" s="501"/>
    </row>
    <row r="28384" spans="25:25" hidden="1" x14ac:dyDescent="0.25">
      <c r="Y28384" s="501"/>
    </row>
    <row r="28385" spans="25:25" hidden="1" x14ac:dyDescent="0.25">
      <c r="Y28385" s="501"/>
    </row>
    <row r="28386" spans="25:25" hidden="1" x14ac:dyDescent="0.25">
      <c r="Y28386" s="501"/>
    </row>
    <row r="28387" spans="25:25" hidden="1" x14ac:dyDescent="0.25">
      <c r="Y28387" s="501"/>
    </row>
    <row r="28388" spans="25:25" hidden="1" x14ac:dyDescent="0.25">
      <c r="Y28388" s="501"/>
    </row>
    <row r="28389" spans="25:25" hidden="1" x14ac:dyDescent="0.25">
      <c r="Y28389" s="501"/>
    </row>
    <row r="28390" spans="25:25" hidden="1" x14ac:dyDescent="0.25">
      <c r="Y28390" s="501"/>
    </row>
    <row r="28391" spans="25:25" hidden="1" x14ac:dyDescent="0.25">
      <c r="Y28391" s="501"/>
    </row>
    <row r="28392" spans="25:25" hidden="1" x14ac:dyDescent="0.25">
      <c r="Y28392" s="501"/>
    </row>
    <row r="28393" spans="25:25" hidden="1" x14ac:dyDescent="0.25">
      <c r="Y28393" s="501"/>
    </row>
    <row r="28394" spans="25:25" hidden="1" x14ac:dyDescent="0.25">
      <c r="Y28394" s="501"/>
    </row>
    <row r="28395" spans="25:25" hidden="1" x14ac:dyDescent="0.25">
      <c r="Y28395" s="501"/>
    </row>
    <row r="28396" spans="25:25" hidden="1" x14ac:dyDescent="0.25">
      <c r="Y28396" s="501"/>
    </row>
    <row r="28397" spans="25:25" hidden="1" x14ac:dyDescent="0.25">
      <c r="Y28397" s="501"/>
    </row>
    <row r="28398" spans="25:25" hidden="1" x14ac:dyDescent="0.25">
      <c r="Y28398" s="501"/>
    </row>
    <row r="28399" spans="25:25" hidden="1" x14ac:dyDescent="0.25">
      <c r="Y28399" s="501"/>
    </row>
    <row r="28400" spans="25:25" hidden="1" x14ac:dyDescent="0.25">
      <c r="Y28400" s="501"/>
    </row>
    <row r="28401" spans="25:25" hidden="1" x14ac:dyDescent="0.25">
      <c r="Y28401" s="501"/>
    </row>
    <row r="28402" spans="25:25" hidden="1" x14ac:dyDescent="0.25">
      <c r="Y28402" s="501"/>
    </row>
    <row r="28403" spans="25:25" hidden="1" x14ac:dyDescent="0.25">
      <c r="Y28403" s="501"/>
    </row>
    <row r="28404" spans="25:25" hidden="1" x14ac:dyDescent="0.25">
      <c r="Y28404" s="501"/>
    </row>
    <row r="28405" spans="25:25" hidden="1" x14ac:dyDescent="0.25">
      <c r="Y28405" s="501"/>
    </row>
    <row r="28406" spans="25:25" hidden="1" x14ac:dyDescent="0.25">
      <c r="Y28406" s="501"/>
    </row>
    <row r="28407" spans="25:25" hidden="1" x14ac:dyDescent="0.25">
      <c r="Y28407" s="501"/>
    </row>
    <row r="28408" spans="25:25" hidden="1" x14ac:dyDescent="0.25">
      <c r="Y28408" s="501"/>
    </row>
    <row r="28409" spans="25:25" hidden="1" x14ac:dyDescent="0.25">
      <c r="Y28409" s="501"/>
    </row>
    <row r="28410" spans="25:25" hidden="1" x14ac:dyDescent="0.25">
      <c r="Y28410" s="501"/>
    </row>
    <row r="28411" spans="25:25" hidden="1" x14ac:dyDescent="0.25">
      <c r="Y28411" s="501"/>
    </row>
    <row r="28412" spans="25:25" hidden="1" x14ac:dyDescent="0.25">
      <c r="Y28412" s="501"/>
    </row>
    <row r="28413" spans="25:25" hidden="1" x14ac:dyDescent="0.25">
      <c r="Y28413" s="501"/>
    </row>
    <row r="28414" spans="25:25" hidden="1" x14ac:dyDescent="0.25">
      <c r="Y28414" s="501"/>
    </row>
    <row r="28415" spans="25:25" hidden="1" x14ac:dyDescent="0.25">
      <c r="Y28415" s="501"/>
    </row>
    <row r="28416" spans="25:25" hidden="1" x14ac:dyDescent="0.25">
      <c r="Y28416" s="501"/>
    </row>
    <row r="28417" spans="25:25" hidden="1" x14ac:dyDescent="0.25">
      <c r="Y28417" s="501"/>
    </row>
    <row r="28418" spans="25:25" hidden="1" x14ac:dyDescent="0.25">
      <c r="Y28418" s="501"/>
    </row>
    <row r="28419" spans="25:25" hidden="1" x14ac:dyDescent="0.25">
      <c r="Y28419" s="501"/>
    </row>
    <row r="28420" spans="25:25" hidden="1" x14ac:dyDescent="0.25">
      <c r="Y28420" s="501"/>
    </row>
    <row r="28421" spans="25:25" hidden="1" x14ac:dyDescent="0.25">
      <c r="Y28421" s="501"/>
    </row>
    <row r="28422" spans="25:25" hidden="1" x14ac:dyDescent="0.25">
      <c r="Y28422" s="501"/>
    </row>
    <row r="28423" spans="25:25" hidden="1" x14ac:dyDescent="0.25">
      <c r="Y28423" s="501"/>
    </row>
    <row r="28424" spans="25:25" hidden="1" x14ac:dyDescent="0.25">
      <c r="Y28424" s="501"/>
    </row>
    <row r="28425" spans="25:25" hidden="1" x14ac:dyDescent="0.25">
      <c r="Y28425" s="501"/>
    </row>
    <row r="28426" spans="25:25" hidden="1" x14ac:dyDescent="0.25">
      <c r="Y28426" s="501"/>
    </row>
    <row r="28427" spans="25:25" hidden="1" x14ac:dyDescent="0.25">
      <c r="Y28427" s="501"/>
    </row>
    <row r="28428" spans="25:25" hidden="1" x14ac:dyDescent="0.25">
      <c r="Y28428" s="501"/>
    </row>
    <row r="28429" spans="25:25" hidden="1" x14ac:dyDescent="0.25">
      <c r="Y28429" s="501"/>
    </row>
    <row r="28430" spans="25:25" hidden="1" x14ac:dyDescent="0.25">
      <c r="Y28430" s="501"/>
    </row>
    <row r="28431" spans="25:25" hidden="1" x14ac:dyDescent="0.25">
      <c r="Y28431" s="501"/>
    </row>
    <row r="28432" spans="25:25" hidden="1" x14ac:dyDescent="0.25">
      <c r="Y28432" s="501"/>
    </row>
    <row r="28433" spans="25:25" hidden="1" x14ac:dyDescent="0.25">
      <c r="Y28433" s="501"/>
    </row>
    <row r="28434" spans="25:25" hidden="1" x14ac:dyDescent="0.25">
      <c r="Y28434" s="501"/>
    </row>
    <row r="28435" spans="25:25" hidden="1" x14ac:dyDescent="0.25">
      <c r="Y28435" s="501"/>
    </row>
    <row r="28436" spans="25:25" hidden="1" x14ac:dyDescent="0.25">
      <c r="Y28436" s="501"/>
    </row>
    <row r="28437" spans="25:25" hidden="1" x14ac:dyDescent="0.25">
      <c r="Y28437" s="501"/>
    </row>
    <row r="28438" spans="25:25" hidden="1" x14ac:dyDescent="0.25">
      <c r="Y28438" s="501"/>
    </row>
    <row r="28439" spans="25:25" hidden="1" x14ac:dyDescent="0.25">
      <c r="Y28439" s="501"/>
    </row>
    <row r="28440" spans="25:25" hidden="1" x14ac:dyDescent="0.25">
      <c r="Y28440" s="501"/>
    </row>
    <row r="28441" spans="25:25" hidden="1" x14ac:dyDescent="0.25">
      <c r="Y28441" s="501"/>
    </row>
    <row r="28442" spans="25:25" hidden="1" x14ac:dyDescent="0.25">
      <c r="Y28442" s="501"/>
    </row>
    <row r="28443" spans="25:25" hidden="1" x14ac:dyDescent="0.25">
      <c r="Y28443" s="501"/>
    </row>
    <row r="28444" spans="25:25" hidden="1" x14ac:dyDescent="0.25">
      <c r="Y28444" s="501"/>
    </row>
    <row r="28445" spans="25:25" hidden="1" x14ac:dyDescent="0.25">
      <c r="Y28445" s="501"/>
    </row>
    <row r="28446" spans="25:25" hidden="1" x14ac:dyDescent="0.25">
      <c r="Y28446" s="501"/>
    </row>
    <row r="28447" spans="25:25" hidden="1" x14ac:dyDescent="0.25">
      <c r="Y28447" s="501"/>
    </row>
    <row r="28448" spans="25:25" hidden="1" x14ac:dyDescent="0.25">
      <c r="Y28448" s="501"/>
    </row>
    <row r="28449" spans="25:25" hidden="1" x14ac:dyDescent="0.25">
      <c r="Y28449" s="501"/>
    </row>
    <row r="28450" spans="25:25" hidden="1" x14ac:dyDescent="0.25">
      <c r="Y28450" s="501"/>
    </row>
    <row r="28451" spans="25:25" hidden="1" x14ac:dyDescent="0.25">
      <c r="Y28451" s="501"/>
    </row>
    <row r="28452" spans="25:25" hidden="1" x14ac:dyDescent="0.25">
      <c r="Y28452" s="501"/>
    </row>
    <row r="28453" spans="25:25" hidden="1" x14ac:dyDescent="0.25">
      <c r="Y28453" s="501"/>
    </row>
    <row r="28454" spans="25:25" hidden="1" x14ac:dyDescent="0.25">
      <c r="Y28454" s="501"/>
    </row>
    <row r="28455" spans="25:25" hidden="1" x14ac:dyDescent="0.25">
      <c r="Y28455" s="501"/>
    </row>
    <row r="28456" spans="25:25" hidden="1" x14ac:dyDescent="0.25">
      <c r="Y28456" s="501"/>
    </row>
    <row r="28457" spans="25:25" hidden="1" x14ac:dyDescent="0.25">
      <c r="Y28457" s="501"/>
    </row>
    <row r="28458" spans="25:25" hidden="1" x14ac:dyDescent="0.25">
      <c r="Y28458" s="501"/>
    </row>
    <row r="28459" spans="25:25" hidden="1" x14ac:dyDescent="0.25">
      <c r="Y28459" s="501"/>
    </row>
    <row r="28460" spans="25:25" hidden="1" x14ac:dyDescent="0.25">
      <c r="Y28460" s="501"/>
    </row>
    <row r="28461" spans="25:25" hidden="1" x14ac:dyDescent="0.25">
      <c r="Y28461" s="501"/>
    </row>
    <row r="28462" spans="25:25" hidden="1" x14ac:dyDescent="0.25">
      <c r="Y28462" s="501"/>
    </row>
    <row r="28463" spans="25:25" hidden="1" x14ac:dyDescent="0.25">
      <c r="Y28463" s="501"/>
    </row>
    <row r="28464" spans="25:25" hidden="1" x14ac:dyDescent="0.25">
      <c r="Y28464" s="501"/>
    </row>
    <row r="28465" spans="25:25" hidden="1" x14ac:dyDescent="0.25">
      <c r="Y28465" s="501"/>
    </row>
    <row r="28466" spans="25:25" hidden="1" x14ac:dyDescent="0.25">
      <c r="Y28466" s="501"/>
    </row>
    <row r="28467" spans="25:25" hidden="1" x14ac:dyDescent="0.25">
      <c r="Y28467" s="501"/>
    </row>
    <row r="28468" spans="25:25" hidden="1" x14ac:dyDescent="0.25">
      <c r="Y28468" s="501"/>
    </row>
    <row r="28469" spans="25:25" hidden="1" x14ac:dyDescent="0.25">
      <c r="Y28469" s="501"/>
    </row>
    <row r="28470" spans="25:25" hidden="1" x14ac:dyDescent="0.25">
      <c r="Y28470" s="501"/>
    </row>
    <row r="28471" spans="25:25" hidden="1" x14ac:dyDescent="0.25">
      <c r="Y28471" s="501"/>
    </row>
    <row r="28472" spans="25:25" hidden="1" x14ac:dyDescent="0.25">
      <c r="Y28472" s="501"/>
    </row>
    <row r="28473" spans="25:25" hidden="1" x14ac:dyDescent="0.25">
      <c r="Y28473" s="501"/>
    </row>
    <row r="28474" spans="25:25" hidden="1" x14ac:dyDescent="0.25">
      <c r="Y28474" s="501"/>
    </row>
    <row r="28475" spans="25:25" hidden="1" x14ac:dyDescent="0.25">
      <c r="Y28475" s="501"/>
    </row>
    <row r="28476" spans="25:25" hidden="1" x14ac:dyDescent="0.25">
      <c r="Y28476" s="501"/>
    </row>
    <row r="28477" spans="25:25" hidden="1" x14ac:dyDescent="0.25">
      <c r="Y28477" s="501"/>
    </row>
    <row r="28478" spans="25:25" hidden="1" x14ac:dyDescent="0.25">
      <c r="Y28478" s="501"/>
    </row>
    <row r="28479" spans="25:25" hidden="1" x14ac:dyDescent="0.25">
      <c r="Y28479" s="501"/>
    </row>
    <row r="28480" spans="25:25" hidden="1" x14ac:dyDescent="0.25">
      <c r="Y28480" s="501"/>
    </row>
    <row r="28481" spans="25:25" hidden="1" x14ac:dyDescent="0.25">
      <c r="Y28481" s="501"/>
    </row>
    <row r="28482" spans="25:25" hidden="1" x14ac:dyDescent="0.25">
      <c r="Y28482" s="501"/>
    </row>
    <row r="28483" spans="25:25" hidden="1" x14ac:dyDescent="0.25">
      <c r="Y28483" s="501"/>
    </row>
    <row r="28484" spans="25:25" hidden="1" x14ac:dyDescent="0.25">
      <c r="Y28484" s="501"/>
    </row>
    <row r="28485" spans="25:25" hidden="1" x14ac:dyDescent="0.25">
      <c r="Y28485" s="501"/>
    </row>
    <row r="28486" spans="25:25" hidden="1" x14ac:dyDescent="0.25">
      <c r="Y28486" s="501"/>
    </row>
    <row r="28487" spans="25:25" hidden="1" x14ac:dyDescent="0.25">
      <c r="Y28487" s="501"/>
    </row>
    <row r="28488" spans="25:25" hidden="1" x14ac:dyDescent="0.25">
      <c r="Y28488" s="501"/>
    </row>
    <row r="28489" spans="25:25" hidden="1" x14ac:dyDescent="0.25">
      <c r="Y28489" s="501"/>
    </row>
    <row r="28490" spans="25:25" hidden="1" x14ac:dyDescent="0.25">
      <c r="Y28490" s="501"/>
    </row>
    <row r="28491" spans="25:25" hidden="1" x14ac:dyDescent="0.25">
      <c r="Y28491" s="501"/>
    </row>
    <row r="28492" spans="25:25" hidden="1" x14ac:dyDescent="0.25">
      <c r="Y28492" s="501"/>
    </row>
    <row r="28493" spans="25:25" hidden="1" x14ac:dyDescent="0.25">
      <c r="Y28493" s="501"/>
    </row>
    <row r="28494" spans="25:25" hidden="1" x14ac:dyDescent="0.25">
      <c r="Y28494" s="501"/>
    </row>
    <row r="28495" spans="25:25" hidden="1" x14ac:dyDescent="0.25">
      <c r="Y28495" s="501"/>
    </row>
    <row r="28496" spans="25:25" hidden="1" x14ac:dyDescent="0.25">
      <c r="Y28496" s="501"/>
    </row>
    <row r="28497" spans="25:25" hidden="1" x14ac:dyDescent="0.25">
      <c r="Y28497" s="501"/>
    </row>
    <row r="28498" spans="25:25" hidden="1" x14ac:dyDescent="0.25">
      <c r="Y28498" s="501"/>
    </row>
    <row r="28499" spans="25:25" hidden="1" x14ac:dyDescent="0.25">
      <c r="Y28499" s="501"/>
    </row>
    <row r="28500" spans="25:25" hidden="1" x14ac:dyDescent="0.25">
      <c r="Y28500" s="501"/>
    </row>
    <row r="28501" spans="25:25" hidden="1" x14ac:dyDescent="0.25">
      <c r="Y28501" s="501"/>
    </row>
    <row r="28502" spans="25:25" hidden="1" x14ac:dyDescent="0.25">
      <c r="Y28502" s="501"/>
    </row>
    <row r="28503" spans="25:25" hidden="1" x14ac:dyDescent="0.25">
      <c r="Y28503" s="501"/>
    </row>
    <row r="28504" spans="25:25" hidden="1" x14ac:dyDescent="0.25">
      <c r="Y28504" s="501"/>
    </row>
    <row r="28505" spans="25:25" hidden="1" x14ac:dyDescent="0.25">
      <c r="Y28505" s="501"/>
    </row>
    <row r="28506" spans="25:25" hidden="1" x14ac:dyDescent="0.25">
      <c r="Y28506" s="501"/>
    </row>
    <row r="28507" spans="25:25" hidden="1" x14ac:dyDescent="0.25">
      <c r="Y28507" s="501"/>
    </row>
    <row r="28508" spans="25:25" hidden="1" x14ac:dyDescent="0.25">
      <c r="Y28508" s="501"/>
    </row>
    <row r="28509" spans="25:25" hidden="1" x14ac:dyDescent="0.25">
      <c r="Y28509" s="501"/>
    </row>
    <row r="28510" spans="25:25" hidden="1" x14ac:dyDescent="0.25">
      <c r="Y28510" s="501"/>
    </row>
    <row r="28511" spans="25:25" hidden="1" x14ac:dyDescent="0.25">
      <c r="Y28511" s="501"/>
    </row>
    <row r="28512" spans="25:25" hidden="1" x14ac:dyDescent="0.25">
      <c r="Y28512" s="501"/>
    </row>
    <row r="28513" spans="25:25" hidden="1" x14ac:dyDescent="0.25">
      <c r="Y28513" s="501"/>
    </row>
    <row r="28514" spans="25:25" hidden="1" x14ac:dyDescent="0.25">
      <c r="Y28514" s="501"/>
    </row>
    <row r="28515" spans="25:25" hidden="1" x14ac:dyDescent="0.25">
      <c r="Y28515" s="501"/>
    </row>
    <row r="28516" spans="25:25" hidden="1" x14ac:dyDescent="0.25">
      <c r="Y28516" s="501"/>
    </row>
    <row r="28517" spans="25:25" hidden="1" x14ac:dyDescent="0.25">
      <c r="Y28517" s="501"/>
    </row>
    <row r="28518" spans="25:25" hidden="1" x14ac:dyDescent="0.25">
      <c r="Y28518" s="501"/>
    </row>
    <row r="28519" spans="25:25" hidden="1" x14ac:dyDescent="0.25">
      <c r="Y28519" s="501"/>
    </row>
    <row r="28520" spans="25:25" hidden="1" x14ac:dyDescent="0.25">
      <c r="Y28520" s="501"/>
    </row>
    <row r="28521" spans="25:25" hidden="1" x14ac:dyDescent="0.25">
      <c r="Y28521" s="501"/>
    </row>
    <row r="28522" spans="25:25" hidden="1" x14ac:dyDescent="0.25">
      <c r="Y28522" s="501"/>
    </row>
    <row r="28523" spans="25:25" hidden="1" x14ac:dyDescent="0.25">
      <c r="Y28523" s="501"/>
    </row>
    <row r="28524" spans="25:25" hidden="1" x14ac:dyDescent="0.25">
      <c r="Y28524" s="501"/>
    </row>
    <row r="28525" spans="25:25" hidden="1" x14ac:dyDescent="0.25">
      <c r="Y28525" s="501"/>
    </row>
    <row r="28526" spans="25:25" hidden="1" x14ac:dyDescent="0.25">
      <c r="Y28526" s="501"/>
    </row>
    <row r="28527" spans="25:25" hidden="1" x14ac:dyDescent="0.25">
      <c r="Y28527" s="501"/>
    </row>
    <row r="28528" spans="25:25" hidden="1" x14ac:dyDescent="0.25">
      <c r="Y28528" s="501"/>
    </row>
    <row r="28529" spans="25:25" hidden="1" x14ac:dyDescent="0.25">
      <c r="Y28529" s="501"/>
    </row>
    <row r="28530" spans="25:25" hidden="1" x14ac:dyDescent="0.25">
      <c r="Y28530" s="501"/>
    </row>
    <row r="28531" spans="25:25" hidden="1" x14ac:dyDescent="0.25">
      <c r="Y28531" s="501"/>
    </row>
    <row r="28532" spans="25:25" hidden="1" x14ac:dyDescent="0.25">
      <c r="Y28532" s="501"/>
    </row>
    <row r="28533" spans="25:25" hidden="1" x14ac:dyDescent="0.25">
      <c r="Y28533" s="501"/>
    </row>
    <row r="28534" spans="25:25" hidden="1" x14ac:dyDescent="0.25">
      <c r="Y28534" s="501"/>
    </row>
    <row r="28535" spans="25:25" hidden="1" x14ac:dyDescent="0.25">
      <c r="Y28535" s="501"/>
    </row>
    <row r="28536" spans="25:25" hidden="1" x14ac:dyDescent="0.25">
      <c r="Y28536" s="501"/>
    </row>
    <row r="28537" spans="25:25" hidden="1" x14ac:dyDescent="0.25">
      <c r="Y28537" s="501"/>
    </row>
    <row r="28538" spans="25:25" hidden="1" x14ac:dyDescent="0.25">
      <c r="Y28538" s="501"/>
    </row>
    <row r="28539" spans="25:25" hidden="1" x14ac:dyDescent="0.25">
      <c r="Y28539" s="501"/>
    </row>
    <row r="28540" spans="25:25" hidden="1" x14ac:dyDescent="0.25">
      <c r="Y28540" s="501"/>
    </row>
    <row r="28541" spans="25:25" hidden="1" x14ac:dyDescent="0.25">
      <c r="Y28541" s="501"/>
    </row>
    <row r="28542" spans="25:25" hidden="1" x14ac:dyDescent="0.25">
      <c r="Y28542" s="501"/>
    </row>
    <row r="28543" spans="25:25" hidden="1" x14ac:dyDescent="0.25">
      <c r="Y28543" s="501"/>
    </row>
    <row r="28544" spans="25:25" hidden="1" x14ac:dyDescent="0.25">
      <c r="Y28544" s="501"/>
    </row>
    <row r="28545" spans="25:25" hidden="1" x14ac:dyDescent="0.25">
      <c r="Y28545" s="501"/>
    </row>
    <row r="28546" spans="25:25" hidden="1" x14ac:dyDescent="0.25">
      <c r="Y28546" s="501"/>
    </row>
    <row r="28547" spans="25:25" hidden="1" x14ac:dyDescent="0.25">
      <c r="Y28547" s="501"/>
    </row>
    <row r="28548" spans="25:25" hidden="1" x14ac:dyDescent="0.25">
      <c r="Y28548" s="501"/>
    </row>
    <row r="28549" spans="25:25" hidden="1" x14ac:dyDescent="0.25">
      <c r="Y28549" s="501"/>
    </row>
    <row r="28550" spans="25:25" hidden="1" x14ac:dyDescent="0.25">
      <c r="Y28550" s="501"/>
    </row>
    <row r="28551" spans="25:25" hidden="1" x14ac:dyDescent="0.25">
      <c r="Y28551" s="501"/>
    </row>
    <row r="28552" spans="25:25" hidden="1" x14ac:dyDescent="0.25">
      <c r="Y28552" s="501"/>
    </row>
    <row r="28553" spans="25:25" hidden="1" x14ac:dyDescent="0.25">
      <c r="Y28553" s="501"/>
    </row>
    <row r="28554" spans="25:25" hidden="1" x14ac:dyDescent="0.25">
      <c r="Y28554" s="501"/>
    </row>
    <row r="28555" spans="25:25" hidden="1" x14ac:dyDescent="0.25">
      <c r="Y28555" s="501"/>
    </row>
    <row r="28556" spans="25:25" hidden="1" x14ac:dyDescent="0.25">
      <c r="Y28556" s="501"/>
    </row>
    <row r="28557" spans="25:25" hidden="1" x14ac:dyDescent="0.25">
      <c r="Y28557" s="501"/>
    </row>
    <row r="28558" spans="25:25" hidden="1" x14ac:dyDescent="0.25">
      <c r="Y28558" s="501"/>
    </row>
    <row r="28559" spans="25:25" hidden="1" x14ac:dyDescent="0.25">
      <c r="Y28559" s="501"/>
    </row>
    <row r="28560" spans="25:25" hidden="1" x14ac:dyDescent="0.25">
      <c r="Y28560" s="501"/>
    </row>
    <row r="28561" spans="25:25" hidden="1" x14ac:dyDescent="0.25">
      <c r="Y28561" s="501"/>
    </row>
    <row r="28562" spans="25:25" hidden="1" x14ac:dyDescent="0.25">
      <c r="Y28562" s="501"/>
    </row>
    <row r="28563" spans="25:25" hidden="1" x14ac:dyDescent="0.25">
      <c r="Y28563" s="501"/>
    </row>
    <row r="28564" spans="25:25" hidden="1" x14ac:dyDescent="0.25">
      <c r="Y28564" s="501"/>
    </row>
    <row r="28565" spans="25:25" hidden="1" x14ac:dyDescent="0.25">
      <c r="Y28565" s="501"/>
    </row>
    <row r="28566" spans="25:25" hidden="1" x14ac:dyDescent="0.25">
      <c r="Y28566" s="501"/>
    </row>
    <row r="28567" spans="25:25" hidden="1" x14ac:dyDescent="0.25">
      <c r="Y28567" s="501"/>
    </row>
    <row r="28568" spans="25:25" hidden="1" x14ac:dyDescent="0.25">
      <c r="Y28568" s="501"/>
    </row>
    <row r="28569" spans="25:25" hidden="1" x14ac:dyDescent="0.25">
      <c r="Y28569" s="501"/>
    </row>
    <row r="28570" spans="25:25" hidden="1" x14ac:dyDescent="0.25">
      <c r="Y28570" s="501"/>
    </row>
    <row r="28571" spans="25:25" hidden="1" x14ac:dyDescent="0.25">
      <c r="Y28571" s="501"/>
    </row>
    <row r="28572" spans="25:25" hidden="1" x14ac:dyDescent="0.25">
      <c r="Y28572" s="501"/>
    </row>
    <row r="28573" spans="25:25" hidden="1" x14ac:dyDescent="0.25">
      <c r="Y28573" s="501"/>
    </row>
    <row r="28574" spans="25:25" hidden="1" x14ac:dyDescent="0.25">
      <c r="Y28574" s="501"/>
    </row>
    <row r="28575" spans="25:25" hidden="1" x14ac:dyDescent="0.25">
      <c r="Y28575" s="501"/>
    </row>
    <row r="28576" spans="25:25" hidden="1" x14ac:dyDescent="0.25">
      <c r="Y28576" s="501"/>
    </row>
    <row r="28577" spans="25:25" hidden="1" x14ac:dyDescent="0.25">
      <c r="Y28577" s="501"/>
    </row>
    <row r="28578" spans="25:25" hidden="1" x14ac:dyDescent="0.25">
      <c r="Y28578" s="501"/>
    </row>
    <row r="28579" spans="25:25" hidden="1" x14ac:dyDescent="0.25">
      <c r="Y28579" s="501"/>
    </row>
    <row r="28580" spans="25:25" hidden="1" x14ac:dyDescent="0.25">
      <c r="Y28580" s="501"/>
    </row>
    <row r="28581" spans="25:25" hidden="1" x14ac:dyDescent="0.25">
      <c r="Y28581" s="501"/>
    </row>
    <row r="28582" spans="25:25" hidden="1" x14ac:dyDescent="0.25">
      <c r="Y28582" s="501"/>
    </row>
    <row r="28583" spans="25:25" hidden="1" x14ac:dyDescent="0.25">
      <c r="Y28583" s="501"/>
    </row>
    <row r="28584" spans="25:25" hidden="1" x14ac:dyDescent="0.25">
      <c r="Y28584" s="501"/>
    </row>
    <row r="28585" spans="25:25" hidden="1" x14ac:dyDescent="0.25">
      <c r="Y28585" s="501"/>
    </row>
    <row r="28586" spans="25:25" hidden="1" x14ac:dyDescent="0.25">
      <c r="Y28586" s="501"/>
    </row>
    <row r="28587" spans="25:25" hidden="1" x14ac:dyDescent="0.25">
      <c r="Y28587" s="501"/>
    </row>
    <row r="28588" spans="25:25" hidden="1" x14ac:dyDescent="0.25">
      <c r="Y28588" s="501"/>
    </row>
    <row r="28589" spans="25:25" hidden="1" x14ac:dyDescent="0.25">
      <c r="Y28589" s="501"/>
    </row>
    <row r="28590" spans="25:25" hidden="1" x14ac:dyDescent="0.25">
      <c r="Y28590" s="501"/>
    </row>
    <row r="28591" spans="25:25" hidden="1" x14ac:dyDescent="0.25">
      <c r="Y28591" s="501"/>
    </row>
    <row r="28592" spans="25:25" hidden="1" x14ac:dyDescent="0.25">
      <c r="Y28592" s="501"/>
    </row>
    <row r="28593" spans="25:25" hidden="1" x14ac:dyDescent="0.25">
      <c r="Y28593" s="501"/>
    </row>
    <row r="28594" spans="25:25" hidden="1" x14ac:dyDescent="0.25">
      <c r="Y28594" s="501"/>
    </row>
    <row r="28595" spans="25:25" hidden="1" x14ac:dyDescent="0.25">
      <c r="Y28595" s="501"/>
    </row>
    <row r="28596" spans="25:25" hidden="1" x14ac:dyDescent="0.25">
      <c r="Y28596" s="501"/>
    </row>
    <row r="28597" spans="25:25" hidden="1" x14ac:dyDescent="0.25">
      <c r="Y28597" s="501"/>
    </row>
    <row r="28598" spans="25:25" hidden="1" x14ac:dyDescent="0.25">
      <c r="Y28598" s="501"/>
    </row>
    <row r="28599" spans="25:25" hidden="1" x14ac:dyDescent="0.25">
      <c r="Y28599" s="501"/>
    </row>
    <row r="28600" spans="25:25" hidden="1" x14ac:dyDescent="0.25">
      <c r="Y28600" s="501"/>
    </row>
    <row r="28601" spans="25:25" hidden="1" x14ac:dyDescent="0.25">
      <c r="Y28601" s="501"/>
    </row>
    <row r="28602" spans="25:25" hidden="1" x14ac:dyDescent="0.25">
      <c r="Y28602" s="501"/>
    </row>
    <row r="28603" spans="25:25" hidden="1" x14ac:dyDescent="0.25">
      <c r="Y28603" s="501"/>
    </row>
    <row r="28604" spans="25:25" hidden="1" x14ac:dyDescent="0.25">
      <c r="Y28604" s="501"/>
    </row>
    <row r="28605" spans="25:25" hidden="1" x14ac:dyDescent="0.25">
      <c r="Y28605" s="501"/>
    </row>
    <row r="28606" spans="25:25" hidden="1" x14ac:dyDescent="0.25">
      <c r="Y28606" s="501"/>
    </row>
    <row r="28607" spans="25:25" hidden="1" x14ac:dyDescent="0.25">
      <c r="Y28607" s="501"/>
    </row>
    <row r="28608" spans="25:25" hidden="1" x14ac:dyDescent="0.25">
      <c r="Y28608" s="501"/>
    </row>
    <row r="28609" spans="25:25" hidden="1" x14ac:dyDescent="0.25">
      <c r="Y28609" s="501"/>
    </row>
    <row r="28610" spans="25:25" hidden="1" x14ac:dyDescent="0.25">
      <c r="Y28610" s="501"/>
    </row>
    <row r="28611" spans="25:25" hidden="1" x14ac:dyDescent="0.25">
      <c r="Y28611" s="501"/>
    </row>
    <row r="28612" spans="25:25" hidden="1" x14ac:dyDescent="0.25">
      <c r="Y28612" s="501"/>
    </row>
    <row r="28613" spans="25:25" hidden="1" x14ac:dyDescent="0.25">
      <c r="Y28613" s="501"/>
    </row>
    <row r="28614" spans="25:25" hidden="1" x14ac:dyDescent="0.25">
      <c r="Y28614" s="501"/>
    </row>
    <row r="28615" spans="25:25" hidden="1" x14ac:dyDescent="0.25">
      <c r="Y28615" s="501"/>
    </row>
    <row r="28616" spans="25:25" hidden="1" x14ac:dyDescent="0.25">
      <c r="Y28616" s="501"/>
    </row>
    <row r="28617" spans="25:25" hidden="1" x14ac:dyDescent="0.25">
      <c r="Y28617" s="501"/>
    </row>
    <row r="28618" spans="25:25" hidden="1" x14ac:dyDescent="0.25">
      <c r="Y28618" s="501"/>
    </row>
    <row r="28619" spans="25:25" hidden="1" x14ac:dyDescent="0.25">
      <c r="Y28619" s="501"/>
    </row>
    <row r="28620" spans="25:25" hidden="1" x14ac:dyDescent="0.25">
      <c r="Y28620" s="501"/>
    </row>
    <row r="28621" spans="25:25" hidden="1" x14ac:dyDescent="0.25">
      <c r="Y28621" s="501"/>
    </row>
    <row r="28622" spans="25:25" hidden="1" x14ac:dyDescent="0.25">
      <c r="Y28622" s="501"/>
    </row>
    <row r="28623" spans="25:25" hidden="1" x14ac:dyDescent="0.25">
      <c r="Y28623" s="501"/>
    </row>
    <row r="28624" spans="25:25" hidden="1" x14ac:dyDescent="0.25">
      <c r="Y28624" s="501"/>
    </row>
    <row r="28625" spans="25:25" hidden="1" x14ac:dyDescent="0.25">
      <c r="Y28625" s="501"/>
    </row>
    <row r="28626" spans="25:25" hidden="1" x14ac:dyDescent="0.25">
      <c r="Y28626" s="501"/>
    </row>
    <row r="28627" spans="25:25" hidden="1" x14ac:dyDescent="0.25">
      <c r="Y28627" s="501"/>
    </row>
    <row r="28628" spans="25:25" hidden="1" x14ac:dyDescent="0.25">
      <c r="Y28628" s="501"/>
    </row>
    <row r="28629" spans="25:25" hidden="1" x14ac:dyDescent="0.25">
      <c r="Y28629" s="501"/>
    </row>
    <row r="28630" spans="25:25" hidden="1" x14ac:dyDescent="0.25">
      <c r="Y28630" s="501"/>
    </row>
    <row r="28631" spans="25:25" hidden="1" x14ac:dyDescent="0.25">
      <c r="Y28631" s="501"/>
    </row>
    <row r="28632" spans="25:25" hidden="1" x14ac:dyDescent="0.25">
      <c r="Y28632" s="501"/>
    </row>
    <row r="28633" spans="25:25" hidden="1" x14ac:dyDescent="0.25">
      <c r="Y28633" s="501"/>
    </row>
    <row r="28634" spans="25:25" hidden="1" x14ac:dyDescent="0.25">
      <c r="Y28634" s="501"/>
    </row>
    <row r="28635" spans="25:25" hidden="1" x14ac:dyDescent="0.25">
      <c r="Y28635" s="501"/>
    </row>
    <row r="28636" spans="25:25" hidden="1" x14ac:dyDescent="0.25">
      <c r="Y28636" s="501"/>
    </row>
    <row r="28637" spans="25:25" hidden="1" x14ac:dyDescent="0.25">
      <c r="Y28637" s="501"/>
    </row>
    <row r="28638" spans="25:25" hidden="1" x14ac:dyDescent="0.25">
      <c r="Y28638" s="501"/>
    </row>
    <row r="28639" spans="25:25" hidden="1" x14ac:dyDescent="0.25">
      <c r="Y28639" s="501"/>
    </row>
    <row r="28640" spans="25:25" hidden="1" x14ac:dyDescent="0.25">
      <c r="Y28640" s="501"/>
    </row>
    <row r="28641" spans="25:25" hidden="1" x14ac:dyDescent="0.25">
      <c r="Y28641" s="501"/>
    </row>
    <row r="28642" spans="25:25" hidden="1" x14ac:dyDescent="0.25">
      <c r="Y28642" s="501"/>
    </row>
    <row r="28643" spans="25:25" hidden="1" x14ac:dyDescent="0.25">
      <c r="Y28643" s="501"/>
    </row>
    <row r="28644" spans="25:25" hidden="1" x14ac:dyDescent="0.25">
      <c r="Y28644" s="501"/>
    </row>
    <row r="28645" spans="25:25" hidden="1" x14ac:dyDescent="0.25">
      <c r="Y28645" s="501"/>
    </row>
    <row r="28646" spans="25:25" hidden="1" x14ac:dyDescent="0.25">
      <c r="Y28646" s="501"/>
    </row>
    <row r="28647" spans="25:25" hidden="1" x14ac:dyDescent="0.25">
      <c r="Y28647" s="501"/>
    </row>
    <row r="28648" spans="25:25" hidden="1" x14ac:dyDescent="0.25">
      <c r="Y28648" s="501"/>
    </row>
    <row r="28649" spans="25:25" hidden="1" x14ac:dyDescent="0.25">
      <c r="Y28649" s="501"/>
    </row>
    <row r="28650" spans="25:25" hidden="1" x14ac:dyDescent="0.25">
      <c r="Y28650" s="501"/>
    </row>
    <row r="28651" spans="25:25" hidden="1" x14ac:dyDescent="0.25">
      <c r="Y28651" s="501"/>
    </row>
    <row r="28652" spans="25:25" hidden="1" x14ac:dyDescent="0.25">
      <c r="Y28652" s="501"/>
    </row>
    <row r="28653" spans="25:25" hidden="1" x14ac:dyDescent="0.25">
      <c r="Y28653" s="501"/>
    </row>
    <row r="28654" spans="25:25" hidden="1" x14ac:dyDescent="0.25">
      <c r="Y28654" s="501"/>
    </row>
    <row r="28655" spans="25:25" hidden="1" x14ac:dyDescent="0.25">
      <c r="Y28655" s="501"/>
    </row>
    <row r="28656" spans="25:25" hidden="1" x14ac:dyDescent="0.25">
      <c r="Y28656" s="501"/>
    </row>
    <row r="28657" spans="25:25" hidden="1" x14ac:dyDescent="0.25">
      <c r="Y28657" s="501"/>
    </row>
    <row r="28658" spans="25:25" hidden="1" x14ac:dyDescent="0.25">
      <c r="Y28658" s="501"/>
    </row>
    <row r="28659" spans="25:25" hidden="1" x14ac:dyDescent="0.25">
      <c r="Y28659" s="501"/>
    </row>
    <row r="28660" spans="25:25" hidden="1" x14ac:dyDescent="0.25">
      <c r="Y28660" s="501"/>
    </row>
    <row r="28661" spans="25:25" hidden="1" x14ac:dyDescent="0.25">
      <c r="Y28661" s="501"/>
    </row>
    <row r="28662" spans="25:25" hidden="1" x14ac:dyDescent="0.25">
      <c r="Y28662" s="501"/>
    </row>
    <row r="28663" spans="25:25" hidden="1" x14ac:dyDescent="0.25">
      <c r="Y28663" s="501"/>
    </row>
    <row r="28664" spans="25:25" hidden="1" x14ac:dyDescent="0.25">
      <c r="Y28664" s="501"/>
    </row>
    <row r="28665" spans="25:25" hidden="1" x14ac:dyDescent="0.25">
      <c r="Y28665" s="501"/>
    </row>
    <row r="28666" spans="25:25" hidden="1" x14ac:dyDescent="0.25">
      <c r="Y28666" s="501"/>
    </row>
    <row r="28667" spans="25:25" hidden="1" x14ac:dyDescent="0.25">
      <c r="Y28667" s="501"/>
    </row>
    <row r="28668" spans="25:25" hidden="1" x14ac:dyDescent="0.25">
      <c r="Y28668" s="501"/>
    </row>
    <row r="28669" spans="25:25" hidden="1" x14ac:dyDescent="0.25">
      <c r="Y28669" s="501"/>
    </row>
    <row r="28670" spans="25:25" hidden="1" x14ac:dyDescent="0.25">
      <c r="Y28670" s="501"/>
    </row>
    <row r="28671" spans="25:25" hidden="1" x14ac:dyDescent="0.25">
      <c r="Y28671" s="501"/>
    </row>
    <row r="28672" spans="25:25" hidden="1" x14ac:dyDescent="0.25">
      <c r="Y28672" s="501"/>
    </row>
    <row r="28673" spans="25:25" hidden="1" x14ac:dyDescent="0.25">
      <c r="Y28673" s="501"/>
    </row>
    <row r="28674" spans="25:25" hidden="1" x14ac:dyDescent="0.25">
      <c r="Y28674" s="501"/>
    </row>
    <row r="28675" spans="25:25" hidden="1" x14ac:dyDescent="0.25">
      <c r="Y28675" s="501"/>
    </row>
    <row r="28676" spans="25:25" hidden="1" x14ac:dyDescent="0.25">
      <c r="Y28676" s="501"/>
    </row>
    <row r="28677" spans="25:25" hidden="1" x14ac:dyDescent="0.25">
      <c r="Y28677" s="501"/>
    </row>
    <row r="28678" spans="25:25" hidden="1" x14ac:dyDescent="0.25">
      <c r="Y28678" s="501"/>
    </row>
    <row r="28679" spans="25:25" hidden="1" x14ac:dyDescent="0.25">
      <c r="Y28679" s="501"/>
    </row>
    <row r="28680" spans="25:25" hidden="1" x14ac:dyDescent="0.25">
      <c r="Y28680" s="501"/>
    </row>
    <row r="28681" spans="25:25" hidden="1" x14ac:dyDescent="0.25">
      <c r="Y28681" s="501"/>
    </row>
    <row r="28682" spans="25:25" hidden="1" x14ac:dyDescent="0.25">
      <c r="Y28682" s="501"/>
    </row>
    <row r="28683" spans="25:25" hidden="1" x14ac:dyDescent="0.25">
      <c r="Y28683" s="501"/>
    </row>
    <row r="28684" spans="25:25" hidden="1" x14ac:dyDescent="0.25">
      <c r="Y28684" s="501"/>
    </row>
    <row r="28685" spans="25:25" hidden="1" x14ac:dyDescent="0.25">
      <c r="Y28685" s="501"/>
    </row>
    <row r="28686" spans="25:25" hidden="1" x14ac:dyDescent="0.25">
      <c r="Y28686" s="501"/>
    </row>
    <row r="28687" spans="25:25" hidden="1" x14ac:dyDescent="0.25">
      <c r="Y28687" s="501"/>
    </row>
    <row r="28688" spans="25:25" hidden="1" x14ac:dyDescent="0.25">
      <c r="Y28688" s="501"/>
    </row>
    <row r="28689" spans="25:25" hidden="1" x14ac:dyDescent="0.25">
      <c r="Y28689" s="501"/>
    </row>
    <row r="28690" spans="25:25" hidden="1" x14ac:dyDescent="0.25">
      <c r="Y28690" s="501"/>
    </row>
    <row r="28691" spans="25:25" hidden="1" x14ac:dyDescent="0.25">
      <c r="Y28691" s="501"/>
    </row>
    <row r="28692" spans="25:25" hidden="1" x14ac:dyDescent="0.25">
      <c r="Y28692" s="501"/>
    </row>
    <row r="28693" spans="25:25" hidden="1" x14ac:dyDescent="0.25">
      <c r="Y28693" s="501"/>
    </row>
    <row r="28694" spans="25:25" hidden="1" x14ac:dyDescent="0.25">
      <c r="Y28694" s="501"/>
    </row>
    <row r="28695" spans="25:25" hidden="1" x14ac:dyDescent="0.25">
      <c r="Y28695" s="501"/>
    </row>
    <row r="28696" spans="25:25" hidden="1" x14ac:dyDescent="0.25">
      <c r="Y28696" s="501"/>
    </row>
    <row r="28697" spans="25:25" hidden="1" x14ac:dyDescent="0.25">
      <c r="Y28697" s="501"/>
    </row>
    <row r="28698" spans="25:25" hidden="1" x14ac:dyDescent="0.25">
      <c r="Y28698" s="501"/>
    </row>
    <row r="28699" spans="25:25" hidden="1" x14ac:dyDescent="0.25">
      <c r="Y28699" s="501"/>
    </row>
    <row r="28700" spans="25:25" hidden="1" x14ac:dyDescent="0.25">
      <c r="Y28700" s="501"/>
    </row>
    <row r="28701" spans="25:25" hidden="1" x14ac:dyDescent="0.25">
      <c r="Y28701" s="501"/>
    </row>
    <row r="28702" spans="25:25" hidden="1" x14ac:dyDescent="0.25">
      <c r="Y28702" s="501"/>
    </row>
    <row r="28703" spans="25:25" hidden="1" x14ac:dyDescent="0.25">
      <c r="Y28703" s="501"/>
    </row>
    <row r="28704" spans="25:25" hidden="1" x14ac:dyDescent="0.25">
      <c r="Y28704" s="501"/>
    </row>
    <row r="28705" spans="25:25" hidden="1" x14ac:dyDescent="0.25">
      <c r="Y28705" s="501"/>
    </row>
    <row r="28706" spans="25:25" hidden="1" x14ac:dyDescent="0.25">
      <c r="Y28706" s="501"/>
    </row>
    <row r="28707" spans="25:25" hidden="1" x14ac:dyDescent="0.25">
      <c r="Y28707" s="501"/>
    </row>
    <row r="28708" spans="25:25" hidden="1" x14ac:dyDescent="0.25">
      <c r="Y28708" s="501"/>
    </row>
    <row r="28709" spans="25:25" hidden="1" x14ac:dyDescent="0.25">
      <c r="Y28709" s="501"/>
    </row>
    <row r="28710" spans="25:25" hidden="1" x14ac:dyDescent="0.25">
      <c r="Y28710" s="501"/>
    </row>
    <row r="28711" spans="25:25" hidden="1" x14ac:dyDescent="0.25">
      <c r="Y28711" s="501"/>
    </row>
    <row r="28712" spans="25:25" hidden="1" x14ac:dyDescent="0.25">
      <c r="Y28712" s="501"/>
    </row>
    <row r="28713" spans="25:25" hidden="1" x14ac:dyDescent="0.25">
      <c r="Y28713" s="501"/>
    </row>
    <row r="28714" spans="25:25" hidden="1" x14ac:dyDescent="0.25">
      <c r="Y28714" s="501"/>
    </row>
    <row r="28715" spans="25:25" hidden="1" x14ac:dyDescent="0.25">
      <c r="Y28715" s="501"/>
    </row>
    <row r="28716" spans="25:25" hidden="1" x14ac:dyDescent="0.25">
      <c r="Y28716" s="501"/>
    </row>
    <row r="28717" spans="25:25" hidden="1" x14ac:dyDescent="0.25">
      <c r="Y28717" s="501"/>
    </row>
    <row r="28718" spans="25:25" hidden="1" x14ac:dyDescent="0.25">
      <c r="Y28718" s="501"/>
    </row>
    <row r="28719" spans="25:25" hidden="1" x14ac:dyDescent="0.25">
      <c r="Y28719" s="501"/>
    </row>
    <row r="28720" spans="25:25" hidden="1" x14ac:dyDescent="0.25">
      <c r="Y28720" s="501"/>
    </row>
    <row r="28721" spans="25:25" hidden="1" x14ac:dyDescent="0.25">
      <c r="Y28721" s="501"/>
    </row>
    <row r="28722" spans="25:25" hidden="1" x14ac:dyDescent="0.25">
      <c r="Y28722" s="501"/>
    </row>
    <row r="28723" spans="25:25" hidden="1" x14ac:dyDescent="0.25">
      <c r="Y28723" s="501"/>
    </row>
    <row r="28724" spans="25:25" hidden="1" x14ac:dyDescent="0.25">
      <c r="Y28724" s="501"/>
    </row>
    <row r="28725" spans="25:25" hidden="1" x14ac:dyDescent="0.25">
      <c r="Y28725" s="501"/>
    </row>
    <row r="28726" spans="25:25" hidden="1" x14ac:dyDescent="0.25">
      <c r="Y28726" s="501"/>
    </row>
    <row r="28727" spans="25:25" hidden="1" x14ac:dyDescent="0.25">
      <c r="Y28727" s="501"/>
    </row>
    <row r="28728" spans="25:25" hidden="1" x14ac:dyDescent="0.25">
      <c r="Y28728" s="501"/>
    </row>
    <row r="28729" spans="25:25" hidden="1" x14ac:dyDescent="0.25">
      <c r="Y28729" s="501"/>
    </row>
    <row r="28730" spans="25:25" hidden="1" x14ac:dyDescent="0.25">
      <c r="Y28730" s="501"/>
    </row>
    <row r="28731" spans="25:25" hidden="1" x14ac:dyDescent="0.25">
      <c r="Y28731" s="501"/>
    </row>
    <row r="28732" spans="25:25" hidden="1" x14ac:dyDescent="0.25">
      <c r="Y28732" s="501"/>
    </row>
    <row r="28733" spans="25:25" hidden="1" x14ac:dyDescent="0.25">
      <c r="Y28733" s="501"/>
    </row>
    <row r="28734" spans="25:25" hidden="1" x14ac:dyDescent="0.25">
      <c r="Y28734" s="501"/>
    </row>
    <row r="28735" spans="25:25" hidden="1" x14ac:dyDescent="0.25">
      <c r="Y28735" s="501"/>
    </row>
    <row r="28736" spans="25:25" hidden="1" x14ac:dyDescent="0.25">
      <c r="Y28736" s="501"/>
    </row>
    <row r="28737" spans="25:25" hidden="1" x14ac:dyDescent="0.25">
      <c r="Y28737" s="501"/>
    </row>
    <row r="28738" spans="25:25" hidden="1" x14ac:dyDescent="0.25">
      <c r="Y28738" s="501"/>
    </row>
    <row r="28739" spans="25:25" hidden="1" x14ac:dyDescent="0.25">
      <c r="Y28739" s="501"/>
    </row>
    <row r="28740" spans="25:25" hidden="1" x14ac:dyDescent="0.25">
      <c r="Y28740" s="501"/>
    </row>
    <row r="28741" spans="25:25" hidden="1" x14ac:dyDescent="0.25">
      <c r="Y28741" s="501"/>
    </row>
    <row r="28742" spans="25:25" hidden="1" x14ac:dyDescent="0.25">
      <c r="Y28742" s="501"/>
    </row>
    <row r="28743" spans="25:25" hidden="1" x14ac:dyDescent="0.25">
      <c r="Y28743" s="501"/>
    </row>
    <row r="28744" spans="25:25" hidden="1" x14ac:dyDescent="0.25">
      <c r="Y28744" s="501"/>
    </row>
    <row r="28745" spans="25:25" hidden="1" x14ac:dyDescent="0.25">
      <c r="Y28745" s="501"/>
    </row>
    <row r="28746" spans="25:25" hidden="1" x14ac:dyDescent="0.25">
      <c r="Y28746" s="501"/>
    </row>
    <row r="28747" spans="25:25" hidden="1" x14ac:dyDescent="0.25">
      <c r="Y28747" s="501"/>
    </row>
    <row r="28748" spans="25:25" hidden="1" x14ac:dyDescent="0.25">
      <c r="Y28748" s="501"/>
    </row>
    <row r="28749" spans="25:25" hidden="1" x14ac:dyDescent="0.25">
      <c r="Y28749" s="501"/>
    </row>
    <row r="28750" spans="25:25" hidden="1" x14ac:dyDescent="0.25">
      <c r="Y28750" s="501"/>
    </row>
    <row r="28751" spans="25:25" hidden="1" x14ac:dyDescent="0.25">
      <c r="Y28751" s="501"/>
    </row>
    <row r="28752" spans="25:25" hidden="1" x14ac:dyDescent="0.25">
      <c r="Y28752" s="501"/>
    </row>
    <row r="28753" spans="25:25" hidden="1" x14ac:dyDescent="0.25">
      <c r="Y28753" s="501"/>
    </row>
    <row r="28754" spans="25:25" hidden="1" x14ac:dyDescent="0.25">
      <c r="Y28754" s="501"/>
    </row>
    <row r="28755" spans="25:25" hidden="1" x14ac:dyDescent="0.25">
      <c r="Y28755" s="501"/>
    </row>
    <row r="28756" spans="25:25" hidden="1" x14ac:dyDescent="0.25">
      <c r="Y28756" s="501"/>
    </row>
    <row r="28757" spans="25:25" hidden="1" x14ac:dyDescent="0.25">
      <c r="Y28757" s="501"/>
    </row>
    <row r="28758" spans="25:25" hidden="1" x14ac:dyDescent="0.25">
      <c r="Y28758" s="501"/>
    </row>
    <row r="28759" spans="25:25" hidden="1" x14ac:dyDescent="0.25">
      <c r="Y28759" s="501"/>
    </row>
    <row r="28760" spans="25:25" hidden="1" x14ac:dyDescent="0.25">
      <c r="Y28760" s="501"/>
    </row>
    <row r="28761" spans="25:25" hidden="1" x14ac:dyDescent="0.25">
      <c r="Y28761" s="501"/>
    </row>
    <row r="28762" spans="25:25" hidden="1" x14ac:dyDescent="0.25">
      <c r="Y28762" s="501"/>
    </row>
    <row r="28763" spans="25:25" hidden="1" x14ac:dyDescent="0.25">
      <c r="Y28763" s="501"/>
    </row>
    <row r="28764" spans="25:25" hidden="1" x14ac:dyDescent="0.25">
      <c r="Y28764" s="501"/>
    </row>
    <row r="28765" spans="25:25" hidden="1" x14ac:dyDescent="0.25">
      <c r="Y28765" s="501"/>
    </row>
    <row r="28766" spans="25:25" hidden="1" x14ac:dyDescent="0.25">
      <c r="Y28766" s="501"/>
    </row>
    <row r="28767" spans="25:25" hidden="1" x14ac:dyDescent="0.25">
      <c r="Y28767" s="501"/>
    </row>
    <row r="28768" spans="25:25" hidden="1" x14ac:dyDescent="0.25">
      <c r="Y28768" s="501"/>
    </row>
    <row r="28769" spans="25:25" hidden="1" x14ac:dyDescent="0.25">
      <c r="Y28769" s="501"/>
    </row>
    <row r="28770" spans="25:25" hidden="1" x14ac:dyDescent="0.25">
      <c r="Y28770" s="501"/>
    </row>
    <row r="28771" spans="25:25" hidden="1" x14ac:dyDescent="0.25">
      <c r="Y28771" s="501"/>
    </row>
    <row r="28772" spans="25:25" hidden="1" x14ac:dyDescent="0.25">
      <c r="Y28772" s="501"/>
    </row>
    <row r="28773" spans="25:25" hidden="1" x14ac:dyDescent="0.25">
      <c r="Y28773" s="501"/>
    </row>
    <row r="28774" spans="25:25" hidden="1" x14ac:dyDescent="0.25">
      <c r="Y28774" s="501"/>
    </row>
    <row r="28775" spans="25:25" hidden="1" x14ac:dyDescent="0.25">
      <c r="Y28775" s="501"/>
    </row>
    <row r="28776" spans="25:25" hidden="1" x14ac:dyDescent="0.25">
      <c r="Y28776" s="501"/>
    </row>
    <row r="28777" spans="25:25" hidden="1" x14ac:dyDescent="0.25">
      <c r="Y28777" s="501"/>
    </row>
    <row r="28778" spans="25:25" hidden="1" x14ac:dyDescent="0.25">
      <c r="Y28778" s="501"/>
    </row>
    <row r="28779" spans="25:25" hidden="1" x14ac:dyDescent="0.25">
      <c r="Y28779" s="501"/>
    </row>
    <row r="28780" spans="25:25" hidden="1" x14ac:dyDescent="0.25">
      <c r="Y28780" s="501"/>
    </row>
    <row r="28781" spans="25:25" hidden="1" x14ac:dyDescent="0.25">
      <c r="Y28781" s="501"/>
    </row>
    <row r="28782" spans="25:25" hidden="1" x14ac:dyDescent="0.25">
      <c r="Y28782" s="501"/>
    </row>
    <row r="28783" spans="25:25" hidden="1" x14ac:dyDescent="0.25">
      <c r="Y28783" s="501"/>
    </row>
    <row r="28784" spans="25:25" hidden="1" x14ac:dyDescent="0.25">
      <c r="Y28784" s="501"/>
    </row>
    <row r="28785" spans="25:25" hidden="1" x14ac:dyDescent="0.25">
      <c r="Y28785" s="501"/>
    </row>
    <row r="28786" spans="25:25" hidden="1" x14ac:dyDescent="0.25">
      <c r="Y28786" s="501"/>
    </row>
    <row r="28787" spans="25:25" hidden="1" x14ac:dyDescent="0.25">
      <c r="Y28787" s="501"/>
    </row>
    <row r="28788" spans="25:25" hidden="1" x14ac:dyDescent="0.25">
      <c r="Y28788" s="501"/>
    </row>
    <row r="28789" spans="25:25" hidden="1" x14ac:dyDescent="0.25">
      <c r="Y28789" s="501"/>
    </row>
    <row r="28790" spans="25:25" hidden="1" x14ac:dyDescent="0.25">
      <c r="Y28790" s="501"/>
    </row>
    <row r="28791" spans="25:25" hidden="1" x14ac:dyDescent="0.25">
      <c r="Y28791" s="501"/>
    </row>
    <row r="28792" spans="25:25" hidden="1" x14ac:dyDescent="0.25">
      <c r="Y28792" s="501"/>
    </row>
    <row r="28793" spans="25:25" hidden="1" x14ac:dyDescent="0.25">
      <c r="Y28793" s="501"/>
    </row>
    <row r="28794" spans="25:25" hidden="1" x14ac:dyDescent="0.25">
      <c r="Y28794" s="501"/>
    </row>
    <row r="28795" spans="25:25" hidden="1" x14ac:dyDescent="0.25">
      <c r="Y28795" s="501"/>
    </row>
    <row r="28796" spans="25:25" hidden="1" x14ac:dyDescent="0.25">
      <c r="Y28796" s="501"/>
    </row>
    <row r="28797" spans="25:25" hidden="1" x14ac:dyDescent="0.25">
      <c r="Y28797" s="501"/>
    </row>
    <row r="28798" spans="25:25" hidden="1" x14ac:dyDescent="0.25">
      <c r="Y28798" s="501"/>
    </row>
    <row r="28799" spans="25:25" hidden="1" x14ac:dyDescent="0.25">
      <c r="Y28799" s="501"/>
    </row>
    <row r="28800" spans="25:25" hidden="1" x14ac:dyDescent="0.25">
      <c r="Y28800" s="501"/>
    </row>
    <row r="28801" spans="25:25" hidden="1" x14ac:dyDescent="0.25">
      <c r="Y28801" s="501"/>
    </row>
    <row r="28802" spans="25:25" hidden="1" x14ac:dyDescent="0.25">
      <c r="Y28802" s="501"/>
    </row>
    <row r="28803" spans="25:25" hidden="1" x14ac:dyDescent="0.25">
      <c r="Y28803" s="501"/>
    </row>
    <row r="28804" spans="25:25" hidden="1" x14ac:dyDescent="0.25">
      <c r="Y28804" s="501"/>
    </row>
    <row r="28805" spans="25:25" hidden="1" x14ac:dyDescent="0.25">
      <c r="Y28805" s="501"/>
    </row>
    <row r="28806" spans="25:25" hidden="1" x14ac:dyDescent="0.25">
      <c r="Y28806" s="501"/>
    </row>
    <row r="28807" spans="25:25" hidden="1" x14ac:dyDescent="0.25">
      <c r="Y28807" s="501"/>
    </row>
    <row r="28808" spans="25:25" hidden="1" x14ac:dyDescent="0.25">
      <c r="Y28808" s="501"/>
    </row>
    <row r="28809" spans="25:25" hidden="1" x14ac:dyDescent="0.25">
      <c r="Y28809" s="501"/>
    </row>
    <row r="28810" spans="25:25" hidden="1" x14ac:dyDescent="0.25">
      <c r="Y28810" s="501"/>
    </row>
    <row r="28811" spans="25:25" hidden="1" x14ac:dyDescent="0.25">
      <c r="Y28811" s="501"/>
    </row>
    <row r="28812" spans="25:25" hidden="1" x14ac:dyDescent="0.25">
      <c r="Y28812" s="501"/>
    </row>
    <row r="28813" spans="25:25" hidden="1" x14ac:dyDescent="0.25">
      <c r="Y28813" s="501"/>
    </row>
    <row r="28814" spans="25:25" hidden="1" x14ac:dyDescent="0.25">
      <c r="Y28814" s="501"/>
    </row>
    <row r="28815" spans="25:25" hidden="1" x14ac:dyDescent="0.25">
      <c r="Y28815" s="501"/>
    </row>
    <row r="28816" spans="25:25" hidden="1" x14ac:dyDescent="0.25">
      <c r="Y28816" s="501"/>
    </row>
    <row r="28817" spans="25:25" hidden="1" x14ac:dyDescent="0.25">
      <c r="Y28817" s="501"/>
    </row>
    <row r="28818" spans="25:25" hidden="1" x14ac:dyDescent="0.25">
      <c r="Y28818" s="501"/>
    </row>
    <row r="28819" spans="25:25" hidden="1" x14ac:dyDescent="0.25">
      <c r="Y28819" s="501"/>
    </row>
    <row r="28820" spans="25:25" hidden="1" x14ac:dyDescent="0.25">
      <c r="Y28820" s="501"/>
    </row>
    <row r="28821" spans="25:25" hidden="1" x14ac:dyDescent="0.25">
      <c r="Y28821" s="501"/>
    </row>
    <row r="28822" spans="25:25" hidden="1" x14ac:dyDescent="0.25">
      <c r="Y28822" s="501"/>
    </row>
    <row r="28823" spans="25:25" hidden="1" x14ac:dyDescent="0.25">
      <c r="Y28823" s="501"/>
    </row>
    <row r="28824" spans="25:25" hidden="1" x14ac:dyDescent="0.25">
      <c r="Y28824" s="501"/>
    </row>
    <row r="28825" spans="25:25" hidden="1" x14ac:dyDescent="0.25">
      <c r="Y28825" s="501"/>
    </row>
    <row r="28826" spans="25:25" hidden="1" x14ac:dyDescent="0.25">
      <c r="Y28826" s="501"/>
    </row>
    <row r="28827" spans="25:25" hidden="1" x14ac:dyDescent="0.25">
      <c r="Y28827" s="501"/>
    </row>
    <row r="28828" spans="25:25" hidden="1" x14ac:dyDescent="0.25">
      <c r="Y28828" s="501"/>
    </row>
    <row r="28829" spans="25:25" hidden="1" x14ac:dyDescent="0.25">
      <c r="Y28829" s="501"/>
    </row>
    <row r="28830" spans="25:25" hidden="1" x14ac:dyDescent="0.25">
      <c r="Y28830" s="501"/>
    </row>
    <row r="28831" spans="25:25" hidden="1" x14ac:dyDescent="0.25">
      <c r="Y28831" s="501"/>
    </row>
    <row r="28832" spans="25:25" hidden="1" x14ac:dyDescent="0.25">
      <c r="Y28832" s="501"/>
    </row>
    <row r="28833" spans="25:25" hidden="1" x14ac:dyDescent="0.25">
      <c r="Y28833" s="501"/>
    </row>
    <row r="28834" spans="25:25" hidden="1" x14ac:dyDescent="0.25">
      <c r="Y28834" s="501"/>
    </row>
    <row r="28835" spans="25:25" hidden="1" x14ac:dyDescent="0.25">
      <c r="Y28835" s="501"/>
    </row>
    <row r="28836" spans="25:25" hidden="1" x14ac:dyDescent="0.25">
      <c r="Y28836" s="501"/>
    </row>
    <row r="28837" spans="25:25" hidden="1" x14ac:dyDescent="0.25">
      <c r="Y28837" s="501"/>
    </row>
    <row r="28838" spans="25:25" hidden="1" x14ac:dyDescent="0.25">
      <c r="Y28838" s="501"/>
    </row>
    <row r="28839" spans="25:25" hidden="1" x14ac:dyDescent="0.25">
      <c r="Y28839" s="501"/>
    </row>
    <row r="28840" spans="25:25" hidden="1" x14ac:dyDescent="0.25">
      <c r="Y28840" s="501"/>
    </row>
    <row r="28841" spans="25:25" hidden="1" x14ac:dyDescent="0.25">
      <c r="Y28841" s="501"/>
    </row>
    <row r="28842" spans="25:25" hidden="1" x14ac:dyDescent="0.25">
      <c r="Y28842" s="501"/>
    </row>
    <row r="28843" spans="25:25" hidden="1" x14ac:dyDescent="0.25">
      <c r="Y28843" s="501"/>
    </row>
    <row r="28844" spans="25:25" hidden="1" x14ac:dyDescent="0.25">
      <c r="Y28844" s="501"/>
    </row>
    <row r="28845" spans="25:25" hidden="1" x14ac:dyDescent="0.25">
      <c r="Y28845" s="501"/>
    </row>
    <row r="28846" spans="25:25" hidden="1" x14ac:dyDescent="0.25">
      <c r="Y28846" s="501"/>
    </row>
    <row r="28847" spans="25:25" hidden="1" x14ac:dyDescent="0.25">
      <c r="Y28847" s="501"/>
    </row>
    <row r="28848" spans="25:25" hidden="1" x14ac:dyDescent="0.25">
      <c r="Y28848" s="501"/>
    </row>
    <row r="28849" spans="25:25" hidden="1" x14ac:dyDescent="0.25">
      <c r="Y28849" s="501"/>
    </row>
    <row r="28850" spans="25:25" hidden="1" x14ac:dyDescent="0.25">
      <c r="Y28850" s="501"/>
    </row>
    <row r="28851" spans="25:25" hidden="1" x14ac:dyDescent="0.25">
      <c r="Y28851" s="501"/>
    </row>
    <row r="28852" spans="25:25" hidden="1" x14ac:dyDescent="0.25">
      <c r="Y28852" s="501"/>
    </row>
    <row r="28853" spans="25:25" hidden="1" x14ac:dyDescent="0.25">
      <c r="Y28853" s="501"/>
    </row>
    <row r="28854" spans="25:25" hidden="1" x14ac:dyDescent="0.25">
      <c r="Y28854" s="501"/>
    </row>
    <row r="28855" spans="25:25" hidden="1" x14ac:dyDescent="0.25">
      <c r="Y28855" s="501"/>
    </row>
    <row r="28856" spans="25:25" hidden="1" x14ac:dyDescent="0.25">
      <c r="Y28856" s="501"/>
    </row>
    <row r="28857" spans="25:25" hidden="1" x14ac:dyDescent="0.25">
      <c r="Y28857" s="501"/>
    </row>
    <row r="28858" spans="25:25" hidden="1" x14ac:dyDescent="0.25">
      <c r="Y28858" s="501"/>
    </row>
    <row r="28859" spans="25:25" hidden="1" x14ac:dyDescent="0.25">
      <c r="Y28859" s="501"/>
    </row>
    <row r="28860" spans="25:25" hidden="1" x14ac:dyDescent="0.25">
      <c r="Y28860" s="501"/>
    </row>
    <row r="28861" spans="25:25" hidden="1" x14ac:dyDescent="0.25">
      <c r="Y28861" s="501"/>
    </row>
    <row r="28862" spans="25:25" hidden="1" x14ac:dyDescent="0.25">
      <c r="Y28862" s="501"/>
    </row>
    <row r="28863" spans="25:25" hidden="1" x14ac:dyDescent="0.25">
      <c r="Y28863" s="501"/>
    </row>
    <row r="28864" spans="25:25" hidden="1" x14ac:dyDescent="0.25">
      <c r="Y28864" s="501"/>
    </row>
    <row r="28865" spans="25:25" hidden="1" x14ac:dyDescent="0.25">
      <c r="Y28865" s="501"/>
    </row>
    <row r="28866" spans="25:25" hidden="1" x14ac:dyDescent="0.25">
      <c r="Y28866" s="501"/>
    </row>
    <row r="28867" spans="25:25" hidden="1" x14ac:dyDescent="0.25">
      <c r="Y28867" s="501"/>
    </row>
    <row r="28868" spans="25:25" hidden="1" x14ac:dyDescent="0.25">
      <c r="Y28868" s="501"/>
    </row>
    <row r="28869" spans="25:25" hidden="1" x14ac:dyDescent="0.25">
      <c r="Y28869" s="501"/>
    </row>
    <row r="28870" spans="25:25" hidden="1" x14ac:dyDescent="0.25">
      <c r="Y28870" s="501"/>
    </row>
    <row r="28871" spans="25:25" hidden="1" x14ac:dyDescent="0.25">
      <c r="Y28871" s="501"/>
    </row>
    <row r="28872" spans="25:25" hidden="1" x14ac:dyDescent="0.25">
      <c r="Y28872" s="501"/>
    </row>
    <row r="28873" spans="25:25" hidden="1" x14ac:dyDescent="0.25">
      <c r="Y28873" s="501"/>
    </row>
    <row r="28874" spans="25:25" hidden="1" x14ac:dyDescent="0.25">
      <c r="Y28874" s="501"/>
    </row>
    <row r="28875" spans="25:25" hidden="1" x14ac:dyDescent="0.25">
      <c r="Y28875" s="501"/>
    </row>
    <row r="28876" spans="25:25" hidden="1" x14ac:dyDescent="0.25">
      <c r="Y28876" s="501"/>
    </row>
    <row r="28877" spans="25:25" hidden="1" x14ac:dyDescent="0.25">
      <c r="Y28877" s="501"/>
    </row>
    <row r="28878" spans="25:25" hidden="1" x14ac:dyDescent="0.25">
      <c r="Y28878" s="501"/>
    </row>
    <row r="28879" spans="25:25" hidden="1" x14ac:dyDescent="0.25">
      <c r="Y28879" s="501"/>
    </row>
    <row r="28880" spans="25:25" hidden="1" x14ac:dyDescent="0.25">
      <c r="Y28880" s="501"/>
    </row>
    <row r="28881" spans="25:25" hidden="1" x14ac:dyDescent="0.25">
      <c r="Y28881" s="501"/>
    </row>
    <row r="28882" spans="25:25" hidden="1" x14ac:dyDescent="0.25">
      <c r="Y28882" s="501"/>
    </row>
    <row r="28883" spans="25:25" hidden="1" x14ac:dyDescent="0.25">
      <c r="Y28883" s="501"/>
    </row>
    <row r="28884" spans="25:25" hidden="1" x14ac:dyDescent="0.25">
      <c r="Y28884" s="501"/>
    </row>
    <row r="28885" spans="25:25" hidden="1" x14ac:dyDescent="0.25">
      <c r="Y28885" s="501"/>
    </row>
    <row r="28886" spans="25:25" hidden="1" x14ac:dyDescent="0.25">
      <c r="Y28886" s="501"/>
    </row>
    <row r="28887" spans="25:25" hidden="1" x14ac:dyDescent="0.25">
      <c r="Y28887" s="501"/>
    </row>
    <row r="28888" spans="25:25" hidden="1" x14ac:dyDescent="0.25">
      <c r="Y28888" s="501"/>
    </row>
    <row r="28889" spans="25:25" hidden="1" x14ac:dyDescent="0.25">
      <c r="Y28889" s="501"/>
    </row>
    <row r="28890" spans="25:25" hidden="1" x14ac:dyDescent="0.25">
      <c r="Y28890" s="501"/>
    </row>
    <row r="28891" spans="25:25" hidden="1" x14ac:dyDescent="0.25">
      <c r="Y28891" s="501"/>
    </row>
    <row r="28892" spans="25:25" hidden="1" x14ac:dyDescent="0.25">
      <c r="Y28892" s="501"/>
    </row>
    <row r="28893" spans="25:25" hidden="1" x14ac:dyDescent="0.25">
      <c r="Y28893" s="501"/>
    </row>
    <row r="28894" spans="25:25" hidden="1" x14ac:dyDescent="0.25">
      <c r="Y28894" s="501"/>
    </row>
    <row r="28895" spans="25:25" hidden="1" x14ac:dyDescent="0.25">
      <c r="Y28895" s="501"/>
    </row>
    <row r="28896" spans="25:25" hidden="1" x14ac:dyDescent="0.25">
      <c r="Y28896" s="501"/>
    </row>
    <row r="28897" spans="25:25" hidden="1" x14ac:dyDescent="0.25">
      <c r="Y28897" s="501"/>
    </row>
    <row r="28898" spans="25:25" hidden="1" x14ac:dyDescent="0.25">
      <c r="Y28898" s="501"/>
    </row>
    <row r="28899" spans="25:25" hidden="1" x14ac:dyDescent="0.25">
      <c r="Y28899" s="501"/>
    </row>
    <row r="28900" spans="25:25" hidden="1" x14ac:dyDescent="0.25">
      <c r="Y28900" s="501"/>
    </row>
    <row r="28901" spans="25:25" hidden="1" x14ac:dyDescent="0.25">
      <c r="Y28901" s="501"/>
    </row>
    <row r="28902" spans="25:25" hidden="1" x14ac:dyDescent="0.25">
      <c r="Y28902" s="501"/>
    </row>
    <row r="28903" spans="25:25" hidden="1" x14ac:dyDescent="0.25">
      <c r="Y28903" s="501"/>
    </row>
    <row r="28904" spans="25:25" hidden="1" x14ac:dyDescent="0.25">
      <c r="Y28904" s="501"/>
    </row>
    <row r="28905" spans="25:25" hidden="1" x14ac:dyDescent="0.25">
      <c r="Y28905" s="501"/>
    </row>
    <row r="28906" spans="25:25" hidden="1" x14ac:dyDescent="0.25">
      <c r="Y28906" s="501"/>
    </row>
    <row r="28907" spans="25:25" hidden="1" x14ac:dyDescent="0.25">
      <c r="Y28907" s="501"/>
    </row>
    <row r="28908" spans="25:25" hidden="1" x14ac:dyDescent="0.25">
      <c r="Y28908" s="501"/>
    </row>
    <row r="28909" spans="25:25" hidden="1" x14ac:dyDescent="0.25">
      <c r="Y28909" s="501"/>
    </row>
    <row r="28910" spans="25:25" hidden="1" x14ac:dyDescent="0.25">
      <c r="Y28910" s="501"/>
    </row>
    <row r="28911" spans="25:25" hidden="1" x14ac:dyDescent="0.25">
      <c r="Y28911" s="501"/>
    </row>
    <row r="28912" spans="25:25" hidden="1" x14ac:dyDescent="0.25">
      <c r="Y28912" s="501"/>
    </row>
    <row r="28913" spans="25:25" hidden="1" x14ac:dyDescent="0.25">
      <c r="Y28913" s="501"/>
    </row>
    <row r="28914" spans="25:25" hidden="1" x14ac:dyDescent="0.25">
      <c r="Y28914" s="501"/>
    </row>
    <row r="28915" spans="25:25" hidden="1" x14ac:dyDescent="0.25">
      <c r="Y28915" s="501"/>
    </row>
    <row r="28916" spans="25:25" hidden="1" x14ac:dyDescent="0.25">
      <c r="Y28916" s="501"/>
    </row>
    <row r="28917" spans="25:25" hidden="1" x14ac:dyDescent="0.25">
      <c r="Y28917" s="501"/>
    </row>
    <row r="28918" spans="25:25" hidden="1" x14ac:dyDescent="0.25">
      <c r="Y28918" s="501"/>
    </row>
    <row r="28919" spans="25:25" hidden="1" x14ac:dyDescent="0.25">
      <c r="Y28919" s="501"/>
    </row>
    <row r="28920" spans="25:25" hidden="1" x14ac:dyDescent="0.25">
      <c r="Y28920" s="501"/>
    </row>
    <row r="28921" spans="25:25" hidden="1" x14ac:dyDescent="0.25">
      <c r="Y28921" s="501"/>
    </row>
    <row r="28922" spans="25:25" hidden="1" x14ac:dyDescent="0.25">
      <c r="Y28922" s="501"/>
    </row>
    <row r="28923" spans="25:25" hidden="1" x14ac:dyDescent="0.25">
      <c r="Y28923" s="501"/>
    </row>
    <row r="28924" spans="25:25" hidden="1" x14ac:dyDescent="0.25">
      <c r="Y28924" s="501"/>
    </row>
    <row r="28925" spans="25:25" hidden="1" x14ac:dyDescent="0.25">
      <c r="Y28925" s="501"/>
    </row>
    <row r="28926" spans="25:25" hidden="1" x14ac:dyDescent="0.25">
      <c r="Y28926" s="501"/>
    </row>
    <row r="28927" spans="25:25" hidden="1" x14ac:dyDescent="0.25">
      <c r="Y28927" s="501"/>
    </row>
    <row r="28928" spans="25:25" hidden="1" x14ac:dyDescent="0.25">
      <c r="Y28928" s="501"/>
    </row>
    <row r="28929" spans="25:25" hidden="1" x14ac:dyDescent="0.25">
      <c r="Y28929" s="501"/>
    </row>
    <row r="28930" spans="25:25" hidden="1" x14ac:dyDescent="0.25">
      <c r="Y28930" s="501"/>
    </row>
    <row r="28931" spans="25:25" hidden="1" x14ac:dyDescent="0.25">
      <c r="Y28931" s="501"/>
    </row>
    <row r="28932" spans="25:25" hidden="1" x14ac:dyDescent="0.25">
      <c r="Y28932" s="501"/>
    </row>
    <row r="28933" spans="25:25" hidden="1" x14ac:dyDescent="0.25">
      <c r="Y28933" s="501"/>
    </row>
    <row r="28934" spans="25:25" hidden="1" x14ac:dyDescent="0.25">
      <c r="Y28934" s="501"/>
    </row>
    <row r="28935" spans="25:25" hidden="1" x14ac:dyDescent="0.25">
      <c r="Y28935" s="501"/>
    </row>
    <row r="28936" spans="25:25" hidden="1" x14ac:dyDescent="0.25">
      <c r="Y28936" s="501"/>
    </row>
    <row r="28937" spans="25:25" hidden="1" x14ac:dyDescent="0.25">
      <c r="Y28937" s="501"/>
    </row>
    <row r="28938" spans="25:25" hidden="1" x14ac:dyDescent="0.25">
      <c r="Y28938" s="501"/>
    </row>
    <row r="28939" spans="25:25" hidden="1" x14ac:dyDescent="0.25">
      <c r="Y28939" s="501"/>
    </row>
    <row r="28940" spans="25:25" hidden="1" x14ac:dyDescent="0.25">
      <c r="Y28940" s="501"/>
    </row>
    <row r="28941" spans="25:25" hidden="1" x14ac:dyDescent="0.25">
      <c r="Y28941" s="501"/>
    </row>
    <row r="28942" spans="25:25" hidden="1" x14ac:dyDescent="0.25">
      <c r="Y28942" s="501"/>
    </row>
    <row r="28943" spans="25:25" hidden="1" x14ac:dyDescent="0.25">
      <c r="Y28943" s="501"/>
    </row>
    <row r="28944" spans="25:25" hidden="1" x14ac:dyDescent="0.25">
      <c r="Y28944" s="501"/>
    </row>
    <row r="28945" spans="25:25" hidden="1" x14ac:dyDescent="0.25">
      <c r="Y28945" s="501"/>
    </row>
    <row r="28946" spans="25:25" hidden="1" x14ac:dyDescent="0.25">
      <c r="Y28946" s="501"/>
    </row>
    <row r="28947" spans="25:25" hidden="1" x14ac:dyDescent="0.25">
      <c r="Y28947" s="501"/>
    </row>
    <row r="28948" spans="25:25" hidden="1" x14ac:dyDescent="0.25">
      <c r="Y28948" s="501"/>
    </row>
    <row r="28949" spans="25:25" hidden="1" x14ac:dyDescent="0.25">
      <c r="Y28949" s="501"/>
    </row>
    <row r="28950" spans="25:25" hidden="1" x14ac:dyDescent="0.25">
      <c r="Y28950" s="501"/>
    </row>
    <row r="28951" spans="25:25" hidden="1" x14ac:dyDescent="0.25">
      <c r="Y28951" s="501"/>
    </row>
    <row r="28952" spans="25:25" hidden="1" x14ac:dyDescent="0.25">
      <c r="Y28952" s="501"/>
    </row>
    <row r="28953" spans="25:25" hidden="1" x14ac:dyDescent="0.25">
      <c r="Y28953" s="501"/>
    </row>
    <row r="28954" spans="25:25" hidden="1" x14ac:dyDescent="0.25">
      <c r="Y28954" s="501"/>
    </row>
    <row r="28955" spans="25:25" hidden="1" x14ac:dyDescent="0.25">
      <c r="Y28955" s="501"/>
    </row>
    <row r="28956" spans="25:25" hidden="1" x14ac:dyDescent="0.25">
      <c r="Y28956" s="501"/>
    </row>
    <row r="28957" spans="25:25" hidden="1" x14ac:dyDescent="0.25">
      <c r="Y28957" s="501"/>
    </row>
    <row r="28958" spans="25:25" hidden="1" x14ac:dyDescent="0.25">
      <c r="Y28958" s="501"/>
    </row>
    <row r="28959" spans="25:25" hidden="1" x14ac:dyDescent="0.25">
      <c r="Y28959" s="501"/>
    </row>
    <row r="28960" spans="25:25" hidden="1" x14ac:dyDescent="0.25">
      <c r="Y28960" s="501"/>
    </row>
    <row r="28961" spans="25:25" hidden="1" x14ac:dyDescent="0.25">
      <c r="Y28961" s="501"/>
    </row>
    <row r="28962" spans="25:25" hidden="1" x14ac:dyDescent="0.25">
      <c r="Y28962" s="501"/>
    </row>
    <row r="28963" spans="25:25" hidden="1" x14ac:dyDescent="0.25">
      <c r="Y28963" s="501"/>
    </row>
    <row r="28964" spans="25:25" hidden="1" x14ac:dyDescent="0.25">
      <c r="Y28964" s="501"/>
    </row>
    <row r="28965" spans="25:25" hidden="1" x14ac:dyDescent="0.25">
      <c r="Y28965" s="501"/>
    </row>
    <row r="28966" spans="25:25" hidden="1" x14ac:dyDescent="0.25">
      <c r="Y28966" s="501"/>
    </row>
    <row r="28967" spans="25:25" hidden="1" x14ac:dyDescent="0.25">
      <c r="Y28967" s="501"/>
    </row>
    <row r="28968" spans="25:25" hidden="1" x14ac:dyDescent="0.25">
      <c r="Y28968" s="501"/>
    </row>
    <row r="28969" spans="25:25" hidden="1" x14ac:dyDescent="0.25">
      <c r="Y28969" s="501"/>
    </row>
    <row r="28970" spans="25:25" hidden="1" x14ac:dyDescent="0.25">
      <c r="Y28970" s="501"/>
    </row>
    <row r="28971" spans="25:25" hidden="1" x14ac:dyDescent="0.25">
      <c r="Y28971" s="501"/>
    </row>
    <row r="28972" spans="25:25" hidden="1" x14ac:dyDescent="0.25">
      <c r="Y28972" s="501"/>
    </row>
    <row r="28973" spans="25:25" hidden="1" x14ac:dyDescent="0.25">
      <c r="Y28973" s="501"/>
    </row>
    <row r="28974" spans="25:25" hidden="1" x14ac:dyDescent="0.25">
      <c r="Y28974" s="501"/>
    </row>
    <row r="28975" spans="25:25" hidden="1" x14ac:dyDescent="0.25">
      <c r="Y28975" s="501"/>
    </row>
    <row r="28976" spans="25:25" hidden="1" x14ac:dyDescent="0.25">
      <c r="Y28976" s="501"/>
    </row>
    <row r="28977" spans="25:25" hidden="1" x14ac:dyDescent="0.25">
      <c r="Y28977" s="501"/>
    </row>
    <row r="28978" spans="25:25" hidden="1" x14ac:dyDescent="0.25">
      <c r="Y28978" s="501"/>
    </row>
    <row r="28979" spans="25:25" hidden="1" x14ac:dyDescent="0.25">
      <c r="Y28979" s="501"/>
    </row>
    <row r="28980" spans="25:25" hidden="1" x14ac:dyDescent="0.25">
      <c r="Y28980" s="501"/>
    </row>
    <row r="28981" spans="25:25" hidden="1" x14ac:dyDescent="0.25">
      <c r="Y28981" s="501"/>
    </row>
    <row r="28982" spans="25:25" hidden="1" x14ac:dyDescent="0.25">
      <c r="Y28982" s="501"/>
    </row>
    <row r="28983" spans="25:25" hidden="1" x14ac:dyDescent="0.25">
      <c r="Y28983" s="501"/>
    </row>
    <row r="28984" spans="25:25" hidden="1" x14ac:dyDescent="0.25">
      <c r="Y28984" s="501"/>
    </row>
    <row r="28985" spans="25:25" hidden="1" x14ac:dyDescent="0.25">
      <c r="Y28985" s="501"/>
    </row>
    <row r="28986" spans="25:25" hidden="1" x14ac:dyDescent="0.25">
      <c r="Y28986" s="501"/>
    </row>
    <row r="28987" spans="25:25" hidden="1" x14ac:dyDescent="0.25">
      <c r="Y28987" s="501"/>
    </row>
    <row r="28988" spans="25:25" hidden="1" x14ac:dyDescent="0.25">
      <c r="Y28988" s="501"/>
    </row>
    <row r="28989" spans="25:25" hidden="1" x14ac:dyDescent="0.25">
      <c r="Y28989" s="501"/>
    </row>
    <row r="28990" spans="25:25" hidden="1" x14ac:dyDescent="0.25">
      <c r="Y28990" s="501"/>
    </row>
    <row r="28991" spans="25:25" hidden="1" x14ac:dyDescent="0.25">
      <c r="Y28991" s="501"/>
    </row>
    <row r="28992" spans="25:25" hidden="1" x14ac:dyDescent="0.25">
      <c r="Y28992" s="501"/>
    </row>
    <row r="28993" spans="25:25" hidden="1" x14ac:dyDescent="0.25">
      <c r="Y28993" s="501"/>
    </row>
    <row r="28994" spans="25:25" hidden="1" x14ac:dyDescent="0.25">
      <c r="Y28994" s="501"/>
    </row>
    <row r="28995" spans="25:25" hidden="1" x14ac:dyDescent="0.25">
      <c r="Y28995" s="501"/>
    </row>
    <row r="28996" spans="25:25" hidden="1" x14ac:dyDescent="0.25">
      <c r="Y28996" s="501"/>
    </row>
    <row r="28997" spans="25:25" hidden="1" x14ac:dyDescent="0.25">
      <c r="Y28997" s="501"/>
    </row>
    <row r="28998" spans="25:25" hidden="1" x14ac:dyDescent="0.25">
      <c r="Y28998" s="501"/>
    </row>
    <row r="28999" spans="25:25" hidden="1" x14ac:dyDescent="0.25">
      <c r="Y28999" s="501"/>
    </row>
    <row r="29000" spans="25:25" hidden="1" x14ac:dyDescent="0.25">
      <c r="Y29000" s="501"/>
    </row>
    <row r="29001" spans="25:25" hidden="1" x14ac:dyDescent="0.25">
      <c r="Y29001" s="501"/>
    </row>
    <row r="29002" spans="25:25" hidden="1" x14ac:dyDescent="0.25">
      <c r="Y29002" s="501"/>
    </row>
    <row r="29003" spans="25:25" hidden="1" x14ac:dyDescent="0.25">
      <c r="Y29003" s="501"/>
    </row>
    <row r="29004" spans="25:25" hidden="1" x14ac:dyDescent="0.25">
      <c r="Y29004" s="501"/>
    </row>
    <row r="29005" spans="25:25" hidden="1" x14ac:dyDescent="0.25">
      <c r="Y29005" s="501"/>
    </row>
    <row r="29006" spans="25:25" hidden="1" x14ac:dyDescent="0.25">
      <c r="Y29006" s="501"/>
    </row>
    <row r="29007" spans="25:25" hidden="1" x14ac:dyDescent="0.25">
      <c r="Y29007" s="501"/>
    </row>
    <row r="29008" spans="25:25" hidden="1" x14ac:dyDescent="0.25">
      <c r="Y29008" s="501"/>
    </row>
    <row r="29009" spans="25:25" hidden="1" x14ac:dyDescent="0.25">
      <c r="Y29009" s="501"/>
    </row>
    <row r="29010" spans="25:25" hidden="1" x14ac:dyDescent="0.25">
      <c r="Y29010" s="501"/>
    </row>
    <row r="29011" spans="25:25" hidden="1" x14ac:dyDescent="0.25">
      <c r="Y29011" s="501"/>
    </row>
    <row r="29012" spans="25:25" hidden="1" x14ac:dyDescent="0.25">
      <c r="Y29012" s="501"/>
    </row>
    <row r="29013" spans="25:25" hidden="1" x14ac:dyDescent="0.25">
      <c r="Y29013" s="501"/>
    </row>
    <row r="29014" spans="25:25" hidden="1" x14ac:dyDescent="0.25">
      <c r="Y29014" s="501"/>
    </row>
    <row r="29015" spans="25:25" hidden="1" x14ac:dyDescent="0.25">
      <c r="Y29015" s="501"/>
    </row>
    <row r="29016" spans="25:25" hidden="1" x14ac:dyDescent="0.25">
      <c r="Y29016" s="501"/>
    </row>
    <row r="29017" spans="25:25" hidden="1" x14ac:dyDescent="0.25">
      <c r="Y29017" s="501"/>
    </row>
    <row r="29018" spans="25:25" hidden="1" x14ac:dyDescent="0.25">
      <c r="Y29018" s="501"/>
    </row>
    <row r="29019" spans="25:25" hidden="1" x14ac:dyDescent="0.25">
      <c r="Y29019" s="501"/>
    </row>
    <row r="29020" spans="25:25" hidden="1" x14ac:dyDescent="0.25">
      <c r="Y29020" s="501"/>
    </row>
    <row r="29021" spans="25:25" hidden="1" x14ac:dyDescent="0.25">
      <c r="Y29021" s="501"/>
    </row>
    <row r="29022" spans="25:25" hidden="1" x14ac:dyDescent="0.25">
      <c r="Y29022" s="501"/>
    </row>
    <row r="29023" spans="25:25" hidden="1" x14ac:dyDescent="0.25">
      <c r="Y29023" s="501"/>
    </row>
    <row r="29024" spans="25:25" hidden="1" x14ac:dyDescent="0.25">
      <c r="Y29024" s="501"/>
    </row>
    <row r="29025" spans="25:25" hidden="1" x14ac:dyDescent="0.25">
      <c r="Y29025" s="501"/>
    </row>
    <row r="29026" spans="25:25" hidden="1" x14ac:dyDescent="0.25">
      <c r="Y29026" s="501"/>
    </row>
    <row r="29027" spans="25:25" hidden="1" x14ac:dyDescent="0.25">
      <c r="Y29027" s="501"/>
    </row>
    <row r="29028" spans="25:25" hidden="1" x14ac:dyDescent="0.25">
      <c r="Y29028" s="501"/>
    </row>
    <row r="29029" spans="25:25" hidden="1" x14ac:dyDescent="0.25">
      <c r="Y29029" s="501"/>
    </row>
    <row r="29030" spans="25:25" hidden="1" x14ac:dyDescent="0.25">
      <c r="Y29030" s="501"/>
    </row>
    <row r="29031" spans="25:25" hidden="1" x14ac:dyDescent="0.25">
      <c r="Y29031" s="501"/>
    </row>
    <row r="29032" spans="25:25" hidden="1" x14ac:dyDescent="0.25">
      <c r="Y29032" s="501"/>
    </row>
    <row r="29033" spans="25:25" hidden="1" x14ac:dyDescent="0.25">
      <c r="Y29033" s="501"/>
    </row>
    <row r="29034" spans="25:25" hidden="1" x14ac:dyDescent="0.25">
      <c r="Y29034" s="501"/>
    </row>
    <row r="29035" spans="25:25" hidden="1" x14ac:dyDescent="0.25">
      <c r="Y29035" s="501"/>
    </row>
    <row r="29036" spans="25:25" hidden="1" x14ac:dyDescent="0.25">
      <c r="Y29036" s="501"/>
    </row>
    <row r="29037" spans="25:25" hidden="1" x14ac:dyDescent="0.25">
      <c r="Y29037" s="501"/>
    </row>
    <row r="29038" spans="25:25" hidden="1" x14ac:dyDescent="0.25">
      <c r="Y29038" s="501"/>
    </row>
    <row r="29039" spans="25:25" hidden="1" x14ac:dyDescent="0.25">
      <c r="Y29039" s="501"/>
    </row>
    <row r="29040" spans="25:25" hidden="1" x14ac:dyDescent="0.25">
      <c r="Y29040" s="501"/>
    </row>
    <row r="29041" spans="25:25" hidden="1" x14ac:dyDescent="0.25">
      <c r="Y29041" s="501"/>
    </row>
    <row r="29042" spans="25:25" hidden="1" x14ac:dyDescent="0.25">
      <c r="Y29042" s="501"/>
    </row>
    <row r="29043" spans="25:25" hidden="1" x14ac:dyDescent="0.25">
      <c r="Y29043" s="501"/>
    </row>
    <row r="29044" spans="25:25" hidden="1" x14ac:dyDescent="0.25">
      <c r="Y29044" s="501"/>
    </row>
    <row r="29045" spans="25:25" hidden="1" x14ac:dyDescent="0.25">
      <c r="Y29045" s="501"/>
    </row>
    <row r="29046" spans="25:25" hidden="1" x14ac:dyDescent="0.25">
      <c r="Y29046" s="501"/>
    </row>
    <row r="29047" spans="25:25" hidden="1" x14ac:dyDescent="0.25">
      <c r="Y29047" s="501"/>
    </row>
    <row r="29048" spans="25:25" hidden="1" x14ac:dyDescent="0.25">
      <c r="Y29048" s="501"/>
    </row>
    <row r="29049" spans="25:25" hidden="1" x14ac:dyDescent="0.25">
      <c r="Y29049" s="501"/>
    </row>
    <row r="29050" spans="25:25" hidden="1" x14ac:dyDescent="0.25">
      <c r="Y29050" s="501"/>
    </row>
    <row r="29051" spans="25:25" hidden="1" x14ac:dyDescent="0.25">
      <c r="Y29051" s="501"/>
    </row>
    <row r="29052" spans="25:25" hidden="1" x14ac:dyDescent="0.25">
      <c r="Y29052" s="501"/>
    </row>
    <row r="29053" spans="25:25" hidden="1" x14ac:dyDescent="0.25">
      <c r="Y29053" s="501"/>
    </row>
    <row r="29054" spans="25:25" hidden="1" x14ac:dyDescent="0.25">
      <c r="Y29054" s="501"/>
    </row>
    <row r="29055" spans="25:25" hidden="1" x14ac:dyDescent="0.25">
      <c r="Y29055" s="501"/>
    </row>
    <row r="29056" spans="25:25" hidden="1" x14ac:dyDescent="0.25">
      <c r="Y29056" s="501"/>
    </row>
    <row r="29057" spans="25:25" hidden="1" x14ac:dyDescent="0.25">
      <c r="Y29057" s="501"/>
    </row>
    <row r="29058" spans="25:25" hidden="1" x14ac:dyDescent="0.25">
      <c r="Y29058" s="501"/>
    </row>
    <row r="29059" spans="25:25" hidden="1" x14ac:dyDescent="0.25">
      <c r="Y29059" s="501"/>
    </row>
    <row r="29060" spans="25:25" hidden="1" x14ac:dyDescent="0.25">
      <c r="Y29060" s="501"/>
    </row>
    <row r="29061" spans="25:25" hidden="1" x14ac:dyDescent="0.25">
      <c r="Y29061" s="501"/>
    </row>
    <row r="29062" spans="25:25" hidden="1" x14ac:dyDescent="0.25">
      <c r="Y29062" s="501"/>
    </row>
    <row r="29063" spans="25:25" hidden="1" x14ac:dyDescent="0.25">
      <c r="Y29063" s="501"/>
    </row>
    <row r="29064" spans="25:25" hidden="1" x14ac:dyDescent="0.25">
      <c r="Y29064" s="501"/>
    </row>
    <row r="29065" spans="25:25" hidden="1" x14ac:dyDescent="0.25">
      <c r="Y29065" s="501"/>
    </row>
    <row r="29066" spans="25:25" hidden="1" x14ac:dyDescent="0.25">
      <c r="Y29066" s="501"/>
    </row>
    <row r="29067" spans="25:25" hidden="1" x14ac:dyDescent="0.25">
      <c r="Y29067" s="501"/>
    </row>
    <row r="29068" spans="25:25" hidden="1" x14ac:dyDescent="0.25">
      <c r="Y29068" s="501"/>
    </row>
    <row r="29069" spans="25:25" hidden="1" x14ac:dyDescent="0.25">
      <c r="Y29069" s="501"/>
    </row>
    <row r="29070" spans="25:25" hidden="1" x14ac:dyDescent="0.25">
      <c r="Y29070" s="501"/>
    </row>
    <row r="29071" spans="25:25" hidden="1" x14ac:dyDescent="0.25">
      <c r="Y29071" s="501"/>
    </row>
    <row r="29072" spans="25:25" hidden="1" x14ac:dyDescent="0.25">
      <c r="Y29072" s="501"/>
    </row>
    <row r="29073" spans="25:25" hidden="1" x14ac:dyDescent="0.25">
      <c r="Y29073" s="501"/>
    </row>
    <row r="29074" spans="25:25" hidden="1" x14ac:dyDescent="0.25">
      <c r="Y29074" s="501"/>
    </row>
    <row r="29075" spans="25:25" hidden="1" x14ac:dyDescent="0.25">
      <c r="Y29075" s="501"/>
    </row>
    <row r="29076" spans="25:25" hidden="1" x14ac:dyDescent="0.25">
      <c r="Y29076" s="501"/>
    </row>
    <row r="29077" spans="25:25" hidden="1" x14ac:dyDescent="0.25">
      <c r="Y29077" s="501"/>
    </row>
    <row r="29078" spans="25:25" hidden="1" x14ac:dyDescent="0.25">
      <c r="Y29078" s="501"/>
    </row>
    <row r="29079" spans="25:25" hidden="1" x14ac:dyDescent="0.25">
      <c r="Y29079" s="501"/>
    </row>
    <row r="29080" spans="25:25" hidden="1" x14ac:dyDescent="0.25">
      <c r="Y29080" s="501"/>
    </row>
    <row r="29081" spans="25:25" hidden="1" x14ac:dyDescent="0.25">
      <c r="Y29081" s="501"/>
    </row>
    <row r="29082" spans="25:25" hidden="1" x14ac:dyDescent="0.25">
      <c r="Y29082" s="501"/>
    </row>
    <row r="29083" spans="25:25" hidden="1" x14ac:dyDescent="0.25">
      <c r="Y29083" s="501"/>
    </row>
    <row r="29084" spans="25:25" hidden="1" x14ac:dyDescent="0.25">
      <c r="Y29084" s="501"/>
    </row>
    <row r="29085" spans="25:25" hidden="1" x14ac:dyDescent="0.25">
      <c r="Y29085" s="501"/>
    </row>
    <row r="29086" spans="25:25" hidden="1" x14ac:dyDescent="0.25">
      <c r="Y29086" s="501"/>
    </row>
    <row r="29087" spans="25:25" hidden="1" x14ac:dyDescent="0.25">
      <c r="Y29087" s="501"/>
    </row>
    <row r="29088" spans="25:25" hidden="1" x14ac:dyDescent="0.25">
      <c r="Y29088" s="501"/>
    </row>
    <row r="29089" spans="25:25" hidden="1" x14ac:dyDescent="0.25">
      <c r="Y29089" s="501"/>
    </row>
    <row r="29090" spans="25:25" hidden="1" x14ac:dyDescent="0.25">
      <c r="Y29090" s="501"/>
    </row>
    <row r="29091" spans="25:25" hidden="1" x14ac:dyDescent="0.25">
      <c r="Y29091" s="501"/>
    </row>
    <row r="29092" spans="25:25" hidden="1" x14ac:dyDescent="0.25">
      <c r="Y29092" s="501"/>
    </row>
    <row r="29093" spans="25:25" hidden="1" x14ac:dyDescent="0.25">
      <c r="Y29093" s="501"/>
    </row>
    <row r="29094" spans="25:25" hidden="1" x14ac:dyDescent="0.25">
      <c r="Y29094" s="501"/>
    </row>
    <row r="29095" spans="25:25" hidden="1" x14ac:dyDescent="0.25">
      <c r="Y29095" s="501"/>
    </row>
    <row r="29096" spans="25:25" hidden="1" x14ac:dyDescent="0.25">
      <c r="Y29096" s="501"/>
    </row>
    <row r="29097" spans="25:25" hidden="1" x14ac:dyDescent="0.25">
      <c r="Y29097" s="501"/>
    </row>
    <row r="29098" spans="25:25" hidden="1" x14ac:dyDescent="0.25">
      <c r="Y29098" s="501"/>
    </row>
    <row r="29099" spans="25:25" hidden="1" x14ac:dyDescent="0.25">
      <c r="Y29099" s="501"/>
    </row>
    <row r="29100" spans="25:25" hidden="1" x14ac:dyDescent="0.25">
      <c r="Y29100" s="501"/>
    </row>
    <row r="29101" spans="25:25" hidden="1" x14ac:dyDescent="0.25">
      <c r="Y29101" s="501"/>
    </row>
    <row r="29102" spans="25:25" hidden="1" x14ac:dyDescent="0.25">
      <c r="Y29102" s="501"/>
    </row>
    <row r="29103" spans="25:25" hidden="1" x14ac:dyDescent="0.25">
      <c r="Y29103" s="501"/>
    </row>
    <row r="29104" spans="25:25" hidden="1" x14ac:dyDescent="0.25">
      <c r="Y29104" s="501"/>
    </row>
    <row r="29105" spans="25:25" hidden="1" x14ac:dyDescent="0.25">
      <c r="Y29105" s="501"/>
    </row>
    <row r="29106" spans="25:25" hidden="1" x14ac:dyDescent="0.25">
      <c r="Y29106" s="501"/>
    </row>
    <row r="29107" spans="25:25" hidden="1" x14ac:dyDescent="0.25">
      <c r="Y29107" s="501"/>
    </row>
    <row r="29108" spans="25:25" hidden="1" x14ac:dyDescent="0.25">
      <c r="Y29108" s="501"/>
    </row>
    <row r="29109" spans="25:25" hidden="1" x14ac:dyDescent="0.25">
      <c r="Y29109" s="501"/>
    </row>
    <row r="29110" spans="25:25" hidden="1" x14ac:dyDescent="0.25">
      <c r="Y29110" s="501"/>
    </row>
    <row r="29111" spans="25:25" hidden="1" x14ac:dyDescent="0.25">
      <c r="Y29111" s="501"/>
    </row>
    <row r="29112" spans="25:25" hidden="1" x14ac:dyDescent="0.25">
      <c r="Y29112" s="501"/>
    </row>
    <row r="29113" spans="25:25" hidden="1" x14ac:dyDescent="0.25">
      <c r="Y29113" s="501"/>
    </row>
    <row r="29114" spans="25:25" hidden="1" x14ac:dyDescent="0.25">
      <c r="Y29114" s="501"/>
    </row>
    <row r="29115" spans="25:25" hidden="1" x14ac:dyDescent="0.25">
      <c r="Y29115" s="501"/>
    </row>
    <row r="29116" spans="25:25" hidden="1" x14ac:dyDescent="0.25">
      <c r="Y29116" s="501"/>
    </row>
    <row r="29117" spans="25:25" hidden="1" x14ac:dyDescent="0.25">
      <c r="Y29117" s="501"/>
    </row>
    <row r="29118" spans="25:25" hidden="1" x14ac:dyDescent="0.25">
      <c r="Y29118" s="501"/>
    </row>
    <row r="29119" spans="25:25" hidden="1" x14ac:dyDescent="0.25">
      <c r="Y29119" s="501"/>
    </row>
    <row r="29120" spans="25:25" hidden="1" x14ac:dyDescent="0.25">
      <c r="Y29120" s="501"/>
    </row>
    <row r="29121" spans="25:25" hidden="1" x14ac:dyDescent="0.25">
      <c r="Y29121" s="501"/>
    </row>
    <row r="29122" spans="25:25" hidden="1" x14ac:dyDescent="0.25">
      <c r="Y29122" s="501"/>
    </row>
    <row r="29123" spans="25:25" hidden="1" x14ac:dyDescent="0.25">
      <c r="Y29123" s="501"/>
    </row>
    <row r="29124" spans="25:25" hidden="1" x14ac:dyDescent="0.25">
      <c r="Y29124" s="501"/>
    </row>
    <row r="29125" spans="25:25" hidden="1" x14ac:dyDescent="0.25">
      <c r="Y29125" s="501"/>
    </row>
    <row r="29126" spans="25:25" hidden="1" x14ac:dyDescent="0.25">
      <c r="Y29126" s="501"/>
    </row>
    <row r="29127" spans="25:25" hidden="1" x14ac:dyDescent="0.25">
      <c r="Y29127" s="501"/>
    </row>
    <row r="29128" spans="25:25" hidden="1" x14ac:dyDescent="0.25">
      <c r="Y29128" s="501"/>
    </row>
    <row r="29129" spans="25:25" hidden="1" x14ac:dyDescent="0.25">
      <c r="Y29129" s="501"/>
    </row>
    <row r="29130" spans="25:25" hidden="1" x14ac:dyDescent="0.25">
      <c r="Y29130" s="501"/>
    </row>
    <row r="29131" spans="25:25" hidden="1" x14ac:dyDescent="0.25">
      <c r="Y29131" s="501"/>
    </row>
    <row r="29132" spans="25:25" hidden="1" x14ac:dyDescent="0.25">
      <c r="Y29132" s="501"/>
    </row>
    <row r="29133" spans="25:25" hidden="1" x14ac:dyDescent="0.25">
      <c r="Y29133" s="501"/>
    </row>
    <row r="29134" spans="25:25" hidden="1" x14ac:dyDescent="0.25">
      <c r="Y29134" s="501"/>
    </row>
    <row r="29135" spans="25:25" hidden="1" x14ac:dyDescent="0.25">
      <c r="Y29135" s="501"/>
    </row>
    <row r="29136" spans="25:25" hidden="1" x14ac:dyDescent="0.25">
      <c r="Y29136" s="501"/>
    </row>
    <row r="29137" spans="25:25" hidden="1" x14ac:dyDescent="0.25">
      <c r="Y29137" s="501"/>
    </row>
    <row r="29138" spans="25:25" hidden="1" x14ac:dyDescent="0.25">
      <c r="Y29138" s="501"/>
    </row>
    <row r="29139" spans="25:25" hidden="1" x14ac:dyDescent="0.25">
      <c r="Y29139" s="501"/>
    </row>
    <row r="29140" spans="25:25" hidden="1" x14ac:dyDescent="0.25">
      <c r="Y29140" s="501"/>
    </row>
    <row r="29141" spans="25:25" hidden="1" x14ac:dyDescent="0.25">
      <c r="Y29141" s="501"/>
    </row>
    <row r="29142" spans="25:25" hidden="1" x14ac:dyDescent="0.25">
      <c r="Y29142" s="501"/>
    </row>
    <row r="29143" spans="25:25" hidden="1" x14ac:dyDescent="0.25">
      <c r="Y29143" s="501"/>
    </row>
    <row r="29144" spans="25:25" hidden="1" x14ac:dyDescent="0.25">
      <c r="Y29144" s="501"/>
    </row>
    <row r="29145" spans="25:25" hidden="1" x14ac:dyDescent="0.25">
      <c r="Y29145" s="501"/>
    </row>
    <row r="29146" spans="25:25" hidden="1" x14ac:dyDescent="0.25">
      <c r="Y29146" s="501"/>
    </row>
    <row r="29147" spans="25:25" hidden="1" x14ac:dyDescent="0.25">
      <c r="Y29147" s="501"/>
    </row>
    <row r="29148" spans="25:25" hidden="1" x14ac:dyDescent="0.25">
      <c r="Y29148" s="501"/>
    </row>
    <row r="29149" spans="25:25" hidden="1" x14ac:dyDescent="0.25">
      <c r="Y29149" s="501"/>
    </row>
    <row r="29150" spans="25:25" hidden="1" x14ac:dyDescent="0.25">
      <c r="Y29150" s="501"/>
    </row>
    <row r="29151" spans="25:25" hidden="1" x14ac:dyDescent="0.25">
      <c r="Y29151" s="501"/>
    </row>
    <row r="29152" spans="25:25" hidden="1" x14ac:dyDescent="0.25">
      <c r="Y29152" s="501"/>
    </row>
    <row r="29153" spans="25:25" hidden="1" x14ac:dyDescent="0.25">
      <c r="Y29153" s="501"/>
    </row>
    <row r="29154" spans="25:25" hidden="1" x14ac:dyDescent="0.25">
      <c r="Y29154" s="501"/>
    </row>
    <row r="29155" spans="25:25" hidden="1" x14ac:dyDescent="0.25">
      <c r="Y29155" s="501"/>
    </row>
    <row r="29156" spans="25:25" hidden="1" x14ac:dyDescent="0.25">
      <c r="Y29156" s="501"/>
    </row>
    <row r="29157" spans="25:25" hidden="1" x14ac:dyDescent="0.25">
      <c r="Y29157" s="501"/>
    </row>
    <row r="29158" spans="25:25" hidden="1" x14ac:dyDescent="0.25">
      <c r="Y29158" s="501"/>
    </row>
    <row r="29159" spans="25:25" hidden="1" x14ac:dyDescent="0.25">
      <c r="Y29159" s="501"/>
    </row>
    <row r="29160" spans="25:25" hidden="1" x14ac:dyDescent="0.25">
      <c r="Y29160" s="501"/>
    </row>
    <row r="29161" spans="25:25" hidden="1" x14ac:dyDescent="0.25">
      <c r="Y29161" s="501"/>
    </row>
    <row r="29162" spans="25:25" hidden="1" x14ac:dyDescent="0.25">
      <c r="Y29162" s="501"/>
    </row>
    <row r="29163" spans="25:25" hidden="1" x14ac:dyDescent="0.25">
      <c r="Y29163" s="501"/>
    </row>
    <row r="29164" spans="25:25" hidden="1" x14ac:dyDescent="0.25">
      <c r="Y29164" s="501"/>
    </row>
    <row r="29165" spans="25:25" hidden="1" x14ac:dyDescent="0.25">
      <c r="Y29165" s="501"/>
    </row>
    <row r="29166" spans="25:25" hidden="1" x14ac:dyDescent="0.25">
      <c r="Y29166" s="501"/>
    </row>
    <row r="29167" spans="25:25" hidden="1" x14ac:dyDescent="0.25">
      <c r="Y29167" s="501"/>
    </row>
    <row r="29168" spans="25:25" hidden="1" x14ac:dyDescent="0.25">
      <c r="Y29168" s="501"/>
    </row>
    <row r="29169" spans="25:25" hidden="1" x14ac:dyDescent="0.25">
      <c r="Y29169" s="501"/>
    </row>
    <row r="29170" spans="25:25" hidden="1" x14ac:dyDescent="0.25">
      <c r="Y29170" s="501"/>
    </row>
    <row r="29171" spans="25:25" hidden="1" x14ac:dyDescent="0.25">
      <c r="Y29171" s="501"/>
    </row>
    <row r="29172" spans="25:25" hidden="1" x14ac:dyDescent="0.25">
      <c r="Y29172" s="501"/>
    </row>
    <row r="29173" spans="25:25" hidden="1" x14ac:dyDescent="0.25">
      <c r="Y29173" s="501"/>
    </row>
    <row r="29174" spans="25:25" hidden="1" x14ac:dyDescent="0.25">
      <c r="Y29174" s="501"/>
    </row>
    <row r="29175" spans="25:25" hidden="1" x14ac:dyDescent="0.25">
      <c r="Y29175" s="501"/>
    </row>
    <row r="29176" spans="25:25" hidden="1" x14ac:dyDescent="0.25">
      <c r="Y29176" s="501"/>
    </row>
    <row r="29177" spans="25:25" hidden="1" x14ac:dyDescent="0.25">
      <c r="Y29177" s="501"/>
    </row>
    <row r="29178" spans="25:25" hidden="1" x14ac:dyDescent="0.25">
      <c r="Y29178" s="501"/>
    </row>
    <row r="29179" spans="25:25" hidden="1" x14ac:dyDescent="0.25">
      <c r="Y29179" s="501"/>
    </row>
    <row r="29180" spans="25:25" hidden="1" x14ac:dyDescent="0.25">
      <c r="Y29180" s="501"/>
    </row>
    <row r="29181" spans="25:25" hidden="1" x14ac:dyDescent="0.25">
      <c r="Y29181" s="501"/>
    </row>
    <row r="29182" spans="25:25" hidden="1" x14ac:dyDescent="0.25">
      <c r="Y29182" s="501"/>
    </row>
    <row r="29183" spans="25:25" hidden="1" x14ac:dyDescent="0.25">
      <c r="Y29183" s="501"/>
    </row>
    <row r="29184" spans="25:25" hidden="1" x14ac:dyDescent="0.25">
      <c r="Y29184" s="501"/>
    </row>
    <row r="29185" spans="25:25" hidden="1" x14ac:dyDescent="0.25">
      <c r="Y29185" s="501"/>
    </row>
    <row r="29186" spans="25:25" hidden="1" x14ac:dyDescent="0.25">
      <c r="Y29186" s="501"/>
    </row>
    <row r="29187" spans="25:25" hidden="1" x14ac:dyDescent="0.25">
      <c r="Y29187" s="501"/>
    </row>
    <row r="29188" spans="25:25" hidden="1" x14ac:dyDescent="0.25">
      <c r="Y29188" s="501"/>
    </row>
    <row r="29189" spans="25:25" hidden="1" x14ac:dyDescent="0.25">
      <c r="Y29189" s="501"/>
    </row>
    <row r="29190" spans="25:25" hidden="1" x14ac:dyDescent="0.25">
      <c r="Y29190" s="501"/>
    </row>
    <row r="29191" spans="25:25" hidden="1" x14ac:dyDescent="0.25">
      <c r="Y29191" s="501"/>
    </row>
    <row r="29192" spans="25:25" hidden="1" x14ac:dyDescent="0.25">
      <c r="Y29192" s="501"/>
    </row>
    <row r="29193" spans="25:25" hidden="1" x14ac:dyDescent="0.25">
      <c r="Y29193" s="501"/>
    </row>
    <row r="29194" spans="25:25" hidden="1" x14ac:dyDescent="0.25">
      <c r="Y29194" s="501"/>
    </row>
    <row r="29195" spans="25:25" hidden="1" x14ac:dyDescent="0.25">
      <c r="Y29195" s="501"/>
    </row>
    <row r="29196" spans="25:25" hidden="1" x14ac:dyDescent="0.25">
      <c r="Y29196" s="501"/>
    </row>
    <row r="29197" spans="25:25" hidden="1" x14ac:dyDescent="0.25">
      <c r="Y29197" s="501"/>
    </row>
    <row r="29198" spans="25:25" hidden="1" x14ac:dyDescent="0.25">
      <c r="Y29198" s="501"/>
    </row>
    <row r="29199" spans="25:25" hidden="1" x14ac:dyDescent="0.25">
      <c r="Y29199" s="501"/>
    </row>
    <row r="29200" spans="25:25" hidden="1" x14ac:dyDescent="0.25">
      <c r="Y29200" s="501"/>
    </row>
    <row r="29201" spans="25:25" hidden="1" x14ac:dyDescent="0.25">
      <c r="Y29201" s="501"/>
    </row>
    <row r="29202" spans="25:25" hidden="1" x14ac:dyDescent="0.25">
      <c r="Y29202" s="501"/>
    </row>
    <row r="29203" spans="25:25" hidden="1" x14ac:dyDescent="0.25">
      <c r="Y29203" s="501"/>
    </row>
    <row r="29204" spans="25:25" hidden="1" x14ac:dyDescent="0.25">
      <c r="Y29204" s="501"/>
    </row>
    <row r="29205" spans="25:25" hidden="1" x14ac:dyDescent="0.25">
      <c r="Y29205" s="501"/>
    </row>
    <row r="29206" spans="25:25" hidden="1" x14ac:dyDescent="0.25">
      <c r="Y29206" s="501"/>
    </row>
    <row r="29207" spans="25:25" hidden="1" x14ac:dyDescent="0.25">
      <c r="Y29207" s="501"/>
    </row>
    <row r="29208" spans="25:25" hidden="1" x14ac:dyDescent="0.25">
      <c r="Y29208" s="501"/>
    </row>
    <row r="29209" spans="25:25" hidden="1" x14ac:dyDescent="0.25">
      <c r="Y29209" s="501"/>
    </row>
    <row r="29210" spans="25:25" hidden="1" x14ac:dyDescent="0.25">
      <c r="Y29210" s="501"/>
    </row>
    <row r="29211" spans="25:25" hidden="1" x14ac:dyDescent="0.25">
      <c r="Y29211" s="501"/>
    </row>
    <row r="29212" spans="25:25" hidden="1" x14ac:dyDescent="0.25">
      <c r="Y29212" s="501"/>
    </row>
    <row r="29213" spans="25:25" hidden="1" x14ac:dyDescent="0.25">
      <c r="Y29213" s="501"/>
    </row>
    <row r="29214" spans="25:25" hidden="1" x14ac:dyDescent="0.25">
      <c r="Y29214" s="501"/>
    </row>
    <row r="29215" spans="25:25" hidden="1" x14ac:dyDescent="0.25">
      <c r="Y29215" s="501"/>
    </row>
    <row r="29216" spans="25:25" hidden="1" x14ac:dyDescent="0.25">
      <c r="Y29216" s="501"/>
    </row>
    <row r="29217" spans="25:25" hidden="1" x14ac:dyDescent="0.25">
      <c r="Y29217" s="501"/>
    </row>
    <row r="29218" spans="25:25" hidden="1" x14ac:dyDescent="0.25">
      <c r="Y29218" s="501"/>
    </row>
    <row r="29219" spans="25:25" hidden="1" x14ac:dyDescent="0.25">
      <c r="Y29219" s="501"/>
    </row>
    <row r="29220" spans="25:25" hidden="1" x14ac:dyDescent="0.25">
      <c r="Y29220" s="501"/>
    </row>
    <row r="29221" spans="25:25" hidden="1" x14ac:dyDescent="0.25">
      <c r="Y29221" s="501"/>
    </row>
    <row r="29222" spans="25:25" hidden="1" x14ac:dyDescent="0.25">
      <c r="Y29222" s="501"/>
    </row>
    <row r="29223" spans="25:25" hidden="1" x14ac:dyDescent="0.25">
      <c r="Y29223" s="501"/>
    </row>
    <row r="29224" spans="25:25" hidden="1" x14ac:dyDescent="0.25">
      <c r="Y29224" s="501"/>
    </row>
    <row r="29225" spans="25:25" hidden="1" x14ac:dyDescent="0.25">
      <c r="Y29225" s="501"/>
    </row>
    <row r="29226" spans="25:25" hidden="1" x14ac:dyDescent="0.25">
      <c r="Y29226" s="501"/>
    </row>
    <row r="29227" spans="25:25" hidden="1" x14ac:dyDescent="0.25">
      <c r="Y29227" s="501"/>
    </row>
    <row r="29228" spans="25:25" hidden="1" x14ac:dyDescent="0.25">
      <c r="Y29228" s="501"/>
    </row>
    <row r="29229" spans="25:25" hidden="1" x14ac:dyDescent="0.25">
      <c r="Y29229" s="501"/>
    </row>
    <row r="29230" spans="25:25" hidden="1" x14ac:dyDescent="0.25">
      <c r="Y29230" s="501"/>
    </row>
    <row r="29231" spans="25:25" hidden="1" x14ac:dyDescent="0.25">
      <c r="Y29231" s="501"/>
    </row>
    <row r="29232" spans="25:25" hidden="1" x14ac:dyDescent="0.25">
      <c r="Y29232" s="501"/>
    </row>
    <row r="29233" spans="25:25" hidden="1" x14ac:dyDescent="0.25">
      <c r="Y29233" s="501"/>
    </row>
    <row r="29234" spans="25:25" hidden="1" x14ac:dyDescent="0.25">
      <c r="Y29234" s="501"/>
    </row>
    <row r="29235" spans="25:25" hidden="1" x14ac:dyDescent="0.25">
      <c r="Y29235" s="501"/>
    </row>
    <row r="29236" spans="25:25" hidden="1" x14ac:dyDescent="0.25">
      <c r="Y29236" s="501"/>
    </row>
    <row r="29237" spans="25:25" hidden="1" x14ac:dyDescent="0.25">
      <c r="Y29237" s="501"/>
    </row>
    <row r="29238" spans="25:25" hidden="1" x14ac:dyDescent="0.25">
      <c r="Y29238" s="501"/>
    </row>
    <row r="29239" spans="25:25" hidden="1" x14ac:dyDescent="0.25">
      <c r="Y29239" s="501"/>
    </row>
    <row r="29240" spans="25:25" hidden="1" x14ac:dyDescent="0.25">
      <c r="Y29240" s="501"/>
    </row>
    <row r="29241" spans="25:25" hidden="1" x14ac:dyDescent="0.25">
      <c r="Y29241" s="501"/>
    </row>
    <row r="29242" spans="25:25" hidden="1" x14ac:dyDescent="0.25">
      <c r="Y29242" s="501"/>
    </row>
    <row r="29243" spans="25:25" hidden="1" x14ac:dyDescent="0.25">
      <c r="Y29243" s="501"/>
    </row>
    <row r="29244" spans="25:25" hidden="1" x14ac:dyDescent="0.25">
      <c r="Y29244" s="501"/>
    </row>
    <row r="29245" spans="25:25" hidden="1" x14ac:dyDescent="0.25">
      <c r="Y29245" s="501"/>
    </row>
    <row r="29246" spans="25:25" hidden="1" x14ac:dyDescent="0.25">
      <c r="Y29246" s="501"/>
    </row>
    <row r="29247" spans="25:25" hidden="1" x14ac:dyDescent="0.25">
      <c r="Y29247" s="501"/>
    </row>
    <row r="29248" spans="25:25" hidden="1" x14ac:dyDescent="0.25">
      <c r="Y29248" s="501"/>
    </row>
    <row r="29249" spans="25:25" hidden="1" x14ac:dyDescent="0.25">
      <c r="Y29249" s="501"/>
    </row>
    <row r="29250" spans="25:25" hidden="1" x14ac:dyDescent="0.25">
      <c r="Y29250" s="501"/>
    </row>
    <row r="29251" spans="25:25" hidden="1" x14ac:dyDescent="0.25">
      <c r="Y29251" s="501"/>
    </row>
    <row r="29252" spans="25:25" hidden="1" x14ac:dyDescent="0.25">
      <c r="Y29252" s="501"/>
    </row>
    <row r="29253" spans="25:25" hidden="1" x14ac:dyDescent="0.25">
      <c r="Y29253" s="501"/>
    </row>
    <row r="29254" spans="25:25" hidden="1" x14ac:dyDescent="0.25">
      <c r="Y29254" s="501"/>
    </row>
    <row r="29255" spans="25:25" hidden="1" x14ac:dyDescent="0.25">
      <c r="Y29255" s="501"/>
    </row>
    <row r="29256" spans="25:25" hidden="1" x14ac:dyDescent="0.25">
      <c r="Y29256" s="501"/>
    </row>
    <row r="29257" spans="25:25" hidden="1" x14ac:dyDescent="0.25">
      <c r="Y29257" s="501"/>
    </row>
    <row r="29258" spans="25:25" hidden="1" x14ac:dyDescent="0.25">
      <c r="Y29258" s="501"/>
    </row>
    <row r="29259" spans="25:25" hidden="1" x14ac:dyDescent="0.25">
      <c r="Y29259" s="501"/>
    </row>
    <row r="29260" spans="25:25" hidden="1" x14ac:dyDescent="0.25">
      <c r="Y29260" s="501"/>
    </row>
    <row r="29261" spans="25:25" hidden="1" x14ac:dyDescent="0.25">
      <c r="Y29261" s="501"/>
    </row>
    <row r="29262" spans="25:25" hidden="1" x14ac:dyDescent="0.25">
      <c r="Y29262" s="501"/>
    </row>
    <row r="29263" spans="25:25" hidden="1" x14ac:dyDescent="0.25">
      <c r="Y29263" s="501"/>
    </row>
    <row r="29264" spans="25:25" hidden="1" x14ac:dyDescent="0.25">
      <c r="Y29264" s="501"/>
    </row>
    <row r="29265" spans="25:25" hidden="1" x14ac:dyDescent="0.25">
      <c r="Y29265" s="501"/>
    </row>
    <row r="29266" spans="25:25" hidden="1" x14ac:dyDescent="0.25">
      <c r="Y29266" s="501"/>
    </row>
    <row r="29267" spans="25:25" hidden="1" x14ac:dyDescent="0.25">
      <c r="Y29267" s="501"/>
    </row>
    <row r="29268" spans="25:25" hidden="1" x14ac:dyDescent="0.25">
      <c r="Y29268" s="501"/>
    </row>
    <row r="29269" spans="25:25" hidden="1" x14ac:dyDescent="0.25">
      <c r="Y29269" s="501"/>
    </row>
    <row r="29270" spans="25:25" hidden="1" x14ac:dyDescent="0.25">
      <c r="Y29270" s="501"/>
    </row>
    <row r="29271" spans="25:25" hidden="1" x14ac:dyDescent="0.25">
      <c r="Y29271" s="501"/>
    </row>
    <row r="29272" spans="25:25" hidden="1" x14ac:dyDescent="0.25">
      <c r="Y29272" s="501"/>
    </row>
    <row r="29273" spans="25:25" hidden="1" x14ac:dyDescent="0.25">
      <c r="Y29273" s="501"/>
    </row>
    <row r="29274" spans="25:25" hidden="1" x14ac:dyDescent="0.25">
      <c r="Y29274" s="501"/>
    </row>
    <row r="29275" spans="25:25" hidden="1" x14ac:dyDescent="0.25">
      <c r="Y29275" s="501"/>
    </row>
    <row r="29276" spans="25:25" hidden="1" x14ac:dyDescent="0.25">
      <c r="Y29276" s="501"/>
    </row>
    <row r="29277" spans="25:25" hidden="1" x14ac:dyDescent="0.25">
      <c r="Y29277" s="501"/>
    </row>
    <row r="29278" spans="25:25" hidden="1" x14ac:dyDescent="0.25">
      <c r="Y29278" s="501"/>
    </row>
    <row r="29279" spans="25:25" hidden="1" x14ac:dyDescent="0.25">
      <c r="Y29279" s="501"/>
    </row>
    <row r="29280" spans="25:25" hidden="1" x14ac:dyDescent="0.25">
      <c r="Y29280" s="501"/>
    </row>
    <row r="29281" spans="25:25" hidden="1" x14ac:dyDescent="0.25">
      <c r="Y29281" s="501"/>
    </row>
    <row r="29282" spans="25:25" hidden="1" x14ac:dyDescent="0.25">
      <c r="Y29282" s="501"/>
    </row>
    <row r="29283" spans="25:25" hidden="1" x14ac:dyDescent="0.25">
      <c r="Y29283" s="501"/>
    </row>
    <row r="29284" spans="25:25" hidden="1" x14ac:dyDescent="0.25">
      <c r="Y29284" s="501"/>
    </row>
    <row r="29285" spans="25:25" hidden="1" x14ac:dyDescent="0.25">
      <c r="Y29285" s="501"/>
    </row>
    <row r="29286" spans="25:25" hidden="1" x14ac:dyDescent="0.25">
      <c r="Y29286" s="501"/>
    </row>
    <row r="29287" spans="25:25" hidden="1" x14ac:dyDescent="0.25">
      <c r="Y29287" s="501"/>
    </row>
    <row r="29288" spans="25:25" hidden="1" x14ac:dyDescent="0.25">
      <c r="Y29288" s="501"/>
    </row>
    <row r="29289" spans="25:25" hidden="1" x14ac:dyDescent="0.25">
      <c r="Y29289" s="501"/>
    </row>
    <row r="29290" spans="25:25" hidden="1" x14ac:dyDescent="0.25">
      <c r="Y29290" s="501"/>
    </row>
    <row r="29291" spans="25:25" hidden="1" x14ac:dyDescent="0.25">
      <c r="Y29291" s="501"/>
    </row>
    <row r="29292" spans="25:25" hidden="1" x14ac:dyDescent="0.25">
      <c r="Y29292" s="501"/>
    </row>
    <row r="29293" spans="25:25" hidden="1" x14ac:dyDescent="0.25">
      <c r="Y29293" s="501"/>
    </row>
    <row r="29294" spans="25:25" hidden="1" x14ac:dyDescent="0.25">
      <c r="Y29294" s="501"/>
    </row>
    <row r="29295" spans="25:25" hidden="1" x14ac:dyDescent="0.25">
      <c r="Y29295" s="501"/>
    </row>
    <row r="29296" spans="25:25" hidden="1" x14ac:dyDescent="0.25">
      <c r="Y29296" s="501"/>
    </row>
    <row r="29297" spans="25:25" hidden="1" x14ac:dyDescent="0.25">
      <c r="Y29297" s="501"/>
    </row>
    <row r="29298" spans="25:25" hidden="1" x14ac:dyDescent="0.25">
      <c r="Y29298" s="501"/>
    </row>
    <row r="29299" spans="25:25" hidden="1" x14ac:dyDescent="0.25">
      <c r="Y29299" s="501"/>
    </row>
    <row r="29300" spans="25:25" hidden="1" x14ac:dyDescent="0.25">
      <c r="Y29300" s="501"/>
    </row>
    <row r="29301" spans="25:25" hidden="1" x14ac:dyDescent="0.25">
      <c r="Y29301" s="501"/>
    </row>
    <row r="29302" spans="25:25" hidden="1" x14ac:dyDescent="0.25">
      <c r="Y29302" s="501"/>
    </row>
    <row r="29303" spans="25:25" hidden="1" x14ac:dyDescent="0.25">
      <c r="Y29303" s="501"/>
    </row>
    <row r="29304" spans="25:25" hidden="1" x14ac:dyDescent="0.25">
      <c r="Y29304" s="501"/>
    </row>
    <row r="29305" spans="25:25" hidden="1" x14ac:dyDescent="0.25">
      <c r="Y29305" s="501"/>
    </row>
    <row r="29306" spans="25:25" hidden="1" x14ac:dyDescent="0.25">
      <c r="Y29306" s="501"/>
    </row>
    <row r="29307" spans="25:25" hidden="1" x14ac:dyDescent="0.25">
      <c r="Y29307" s="501"/>
    </row>
    <row r="29308" spans="25:25" hidden="1" x14ac:dyDescent="0.25">
      <c r="Y29308" s="501"/>
    </row>
    <row r="29309" spans="25:25" hidden="1" x14ac:dyDescent="0.25">
      <c r="Y29309" s="501"/>
    </row>
    <row r="29310" spans="25:25" hidden="1" x14ac:dyDescent="0.25">
      <c r="Y29310" s="501"/>
    </row>
    <row r="29311" spans="25:25" hidden="1" x14ac:dyDescent="0.25">
      <c r="Y29311" s="501"/>
    </row>
    <row r="29312" spans="25:25" hidden="1" x14ac:dyDescent="0.25">
      <c r="Y29312" s="501"/>
    </row>
    <row r="29313" spans="25:25" hidden="1" x14ac:dyDescent="0.25">
      <c r="Y29313" s="501"/>
    </row>
    <row r="29314" spans="25:25" hidden="1" x14ac:dyDescent="0.25">
      <c r="Y29314" s="501"/>
    </row>
    <row r="29315" spans="25:25" hidden="1" x14ac:dyDescent="0.25">
      <c r="Y29315" s="501"/>
    </row>
    <row r="29316" spans="25:25" hidden="1" x14ac:dyDescent="0.25">
      <c r="Y29316" s="501"/>
    </row>
    <row r="29317" spans="25:25" hidden="1" x14ac:dyDescent="0.25">
      <c r="Y29317" s="501"/>
    </row>
    <row r="29318" spans="25:25" hidden="1" x14ac:dyDescent="0.25">
      <c r="Y29318" s="501"/>
    </row>
    <row r="29319" spans="25:25" hidden="1" x14ac:dyDescent="0.25">
      <c r="Y29319" s="501"/>
    </row>
    <row r="29320" spans="25:25" hidden="1" x14ac:dyDescent="0.25">
      <c r="Y29320" s="501"/>
    </row>
    <row r="29321" spans="25:25" hidden="1" x14ac:dyDescent="0.25">
      <c r="Y29321" s="501"/>
    </row>
    <row r="29322" spans="25:25" hidden="1" x14ac:dyDescent="0.25">
      <c r="Y29322" s="501"/>
    </row>
    <row r="29323" spans="25:25" hidden="1" x14ac:dyDescent="0.25">
      <c r="Y29323" s="501"/>
    </row>
    <row r="29324" spans="25:25" hidden="1" x14ac:dyDescent="0.25">
      <c r="Y29324" s="501"/>
    </row>
    <row r="29325" spans="25:25" hidden="1" x14ac:dyDescent="0.25">
      <c r="Y29325" s="501"/>
    </row>
    <row r="29326" spans="25:25" hidden="1" x14ac:dyDescent="0.25">
      <c r="Y29326" s="501"/>
    </row>
    <row r="29327" spans="25:25" hidden="1" x14ac:dyDescent="0.25">
      <c r="Y29327" s="501"/>
    </row>
    <row r="29328" spans="25:25" hidden="1" x14ac:dyDescent="0.25">
      <c r="Y29328" s="501"/>
    </row>
    <row r="29329" spans="25:25" hidden="1" x14ac:dyDescent="0.25">
      <c r="Y29329" s="501"/>
    </row>
    <row r="29330" spans="25:25" hidden="1" x14ac:dyDescent="0.25">
      <c r="Y29330" s="501"/>
    </row>
    <row r="29331" spans="25:25" hidden="1" x14ac:dyDescent="0.25">
      <c r="Y29331" s="501"/>
    </row>
    <row r="29332" spans="25:25" hidden="1" x14ac:dyDescent="0.25">
      <c r="Y29332" s="501"/>
    </row>
    <row r="29333" spans="25:25" hidden="1" x14ac:dyDescent="0.25">
      <c r="Y29333" s="501"/>
    </row>
    <row r="29334" spans="25:25" hidden="1" x14ac:dyDescent="0.25">
      <c r="Y29334" s="501"/>
    </row>
    <row r="29335" spans="25:25" hidden="1" x14ac:dyDescent="0.25">
      <c r="Y29335" s="501"/>
    </row>
    <row r="29336" spans="25:25" hidden="1" x14ac:dyDescent="0.25">
      <c r="Y29336" s="501"/>
    </row>
    <row r="29337" spans="25:25" hidden="1" x14ac:dyDescent="0.25">
      <c r="Y29337" s="501"/>
    </row>
    <row r="29338" spans="25:25" hidden="1" x14ac:dyDescent="0.25">
      <c r="Y29338" s="501"/>
    </row>
    <row r="29339" spans="25:25" hidden="1" x14ac:dyDescent="0.25">
      <c r="Y29339" s="501"/>
    </row>
    <row r="29340" spans="25:25" hidden="1" x14ac:dyDescent="0.25">
      <c r="Y29340" s="501"/>
    </row>
    <row r="29341" spans="25:25" hidden="1" x14ac:dyDescent="0.25">
      <c r="Y29341" s="501"/>
    </row>
    <row r="29342" spans="25:25" hidden="1" x14ac:dyDescent="0.25">
      <c r="Y29342" s="501"/>
    </row>
    <row r="29343" spans="25:25" hidden="1" x14ac:dyDescent="0.25">
      <c r="Y29343" s="501"/>
    </row>
    <row r="29344" spans="25:25" hidden="1" x14ac:dyDescent="0.25">
      <c r="Y29344" s="501"/>
    </row>
    <row r="29345" spans="25:25" hidden="1" x14ac:dyDescent="0.25">
      <c r="Y29345" s="501"/>
    </row>
    <row r="29346" spans="25:25" hidden="1" x14ac:dyDescent="0.25">
      <c r="Y29346" s="501"/>
    </row>
    <row r="29347" spans="25:25" hidden="1" x14ac:dyDescent="0.25">
      <c r="Y29347" s="501"/>
    </row>
    <row r="29348" spans="25:25" hidden="1" x14ac:dyDescent="0.25">
      <c r="Y29348" s="501"/>
    </row>
    <row r="29349" spans="25:25" hidden="1" x14ac:dyDescent="0.25">
      <c r="Y29349" s="501"/>
    </row>
    <row r="29350" spans="25:25" hidden="1" x14ac:dyDescent="0.25">
      <c r="Y29350" s="501"/>
    </row>
    <row r="29351" spans="25:25" hidden="1" x14ac:dyDescent="0.25">
      <c r="Y29351" s="501"/>
    </row>
    <row r="29352" spans="25:25" hidden="1" x14ac:dyDescent="0.25">
      <c r="Y29352" s="501"/>
    </row>
    <row r="29353" spans="25:25" hidden="1" x14ac:dyDescent="0.25">
      <c r="Y29353" s="501"/>
    </row>
    <row r="29354" spans="25:25" hidden="1" x14ac:dyDescent="0.25">
      <c r="Y29354" s="501"/>
    </row>
    <row r="29355" spans="25:25" hidden="1" x14ac:dyDescent="0.25">
      <c r="Y29355" s="501"/>
    </row>
    <row r="29356" spans="25:25" hidden="1" x14ac:dyDescent="0.25">
      <c r="Y29356" s="501"/>
    </row>
    <row r="29357" spans="25:25" hidden="1" x14ac:dyDescent="0.25">
      <c r="Y29357" s="501"/>
    </row>
    <row r="29358" spans="25:25" hidden="1" x14ac:dyDescent="0.25">
      <c r="Y29358" s="501"/>
    </row>
    <row r="29359" spans="25:25" hidden="1" x14ac:dyDescent="0.25">
      <c r="Y29359" s="501"/>
    </row>
    <row r="29360" spans="25:25" hidden="1" x14ac:dyDescent="0.25">
      <c r="Y29360" s="501"/>
    </row>
    <row r="29361" spans="25:25" hidden="1" x14ac:dyDescent="0.25">
      <c r="Y29361" s="501"/>
    </row>
    <row r="29362" spans="25:25" hidden="1" x14ac:dyDescent="0.25">
      <c r="Y29362" s="501"/>
    </row>
    <row r="29363" spans="25:25" hidden="1" x14ac:dyDescent="0.25">
      <c r="Y29363" s="501"/>
    </row>
    <row r="29364" spans="25:25" hidden="1" x14ac:dyDescent="0.25">
      <c r="Y29364" s="501"/>
    </row>
    <row r="29365" spans="25:25" hidden="1" x14ac:dyDescent="0.25">
      <c r="Y29365" s="501"/>
    </row>
    <row r="29366" spans="25:25" hidden="1" x14ac:dyDescent="0.25">
      <c r="Y29366" s="501"/>
    </row>
    <row r="29367" spans="25:25" hidden="1" x14ac:dyDescent="0.25">
      <c r="Y29367" s="501"/>
    </row>
    <row r="29368" spans="25:25" hidden="1" x14ac:dyDescent="0.25">
      <c r="Y29368" s="501"/>
    </row>
    <row r="29369" spans="25:25" hidden="1" x14ac:dyDescent="0.25">
      <c r="Y29369" s="501"/>
    </row>
    <row r="29370" spans="25:25" hidden="1" x14ac:dyDescent="0.25">
      <c r="Y29370" s="501"/>
    </row>
    <row r="29371" spans="25:25" hidden="1" x14ac:dyDescent="0.25">
      <c r="Y29371" s="501"/>
    </row>
    <row r="29372" spans="25:25" hidden="1" x14ac:dyDescent="0.25">
      <c r="Y29372" s="501"/>
    </row>
    <row r="29373" spans="25:25" hidden="1" x14ac:dyDescent="0.25">
      <c r="Y29373" s="501"/>
    </row>
    <row r="29374" spans="25:25" hidden="1" x14ac:dyDescent="0.25">
      <c r="Y29374" s="501"/>
    </row>
    <row r="29375" spans="25:25" hidden="1" x14ac:dyDescent="0.25">
      <c r="Y29375" s="501"/>
    </row>
    <row r="29376" spans="25:25" hidden="1" x14ac:dyDescent="0.25">
      <c r="Y29376" s="501"/>
    </row>
    <row r="29377" spans="25:25" hidden="1" x14ac:dyDescent="0.25">
      <c r="Y29377" s="501"/>
    </row>
    <row r="29378" spans="25:25" hidden="1" x14ac:dyDescent="0.25">
      <c r="Y29378" s="501"/>
    </row>
    <row r="29379" spans="25:25" hidden="1" x14ac:dyDescent="0.25">
      <c r="Y29379" s="501"/>
    </row>
    <row r="29380" spans="25:25" hidden="1" x14ac:dyDescent="0.25">
      <c r="Y29380" s="501"/>
    </row>
    <row r="29381" spans="25:25" hidden="1" x14ac:dyDescent="0.25">
      <c r="Y29381" s="501"/>
    </row>
    <row r="29382" spans="25:25" hidden="1" x14ac:dyDescent="0.25">
      <c r="Y29382" s="501"/>
    </row>
    <row r="29383" spans="25:25" hidden="1" x14ac:dyDescent="0.25">
      <c r="Y29383" s="501"/>
    </row>
    <row r="29384" spans="25:25" hidden="1" x14ac:dyDescent="0.25">
      <c r="Y29384" s="501"/>
    </row>
    <row r="29385" spans="25:25" hidden="1" x14ac:dyDescent="0.25">
      <c r="Y29385" s="501"/>
    </row>
    <row r="29386" spans="25:25" hidden="1" x14ac:dyDescent="0.25">
      <c r="Y29386" s="501"/>
    </row>
    <row r="29387" spans="25:25" hidden="1" x14ac:dyDescent="0.25">
      <c r="Y29387" s="501"/>
    </row>
    <row r="29388" spans="25:25" hidden="1" x14ac:dyDescent="0.25">
      <c r="Y29388" s="501"/>
    </row>
    <row r="29389" spans="25:25" hidden="1" x14ac:dyDescent="0.25">
      <c r="Y29389" s="501"/>
    </row>
    <row r="29390" spans="25:25" hidden="1" x14ac:dyDescent="0.25">
      <c r="Y29390" s="501"/>
    </row>
    <row r="29391" spans="25:25" hidden="1" x14ac:dyDescent="0.25">
      <c r="Y29391" s="501"/>
    </row>
    <row r="29392" spans="25:25" hidden="1" x14ac:dyDescent="0.25">
      <c r="Y29392" s="501"/>
    </row>
    <row r="29393" spans="25:25" hidden="1" x14ac:dyDescent="0.25">
      <c r="Y29393" s="501"/>
    </row>
    <row r="29394" spans="25:25" hidden="1" x14ac:dyDescent="0.25">
      <c r="Y29394" s="501"/>
    </row>
    <row r="29395" spans="25:25" hidden="1" x14ac:dyDescent="0.25">
      <c r="Y29395" s="501"/>
    </row>
    <row r="29396" spans="25:25" hidden="1" x14ac:dyDescent="0.25">
      <c r="Y29396" s="501"/>
    </row>
    <row r="29397" spans="25:25" hidden="1" x14ac:dyDescent="0.25">
      <c r="Y29397" s="501"/>
    </row>
    <row r="29398" spans="25:25" hidden="1" x14ac:dyDescent="0.25">
      <c r="Y29398" s="501"/>
    </row>
    <row r="29399" spans="25:25" hidden="1" x14ac:dyDescent="0.25">
      <c r="Y29399" s="501"/>
    </row>
    <row r="29400" spans="25:25" hidden="1" x14ac:dyDescent="0.25">
      <c r="Y29400" s="501"/>
    </row>
    <row r="29401" spans="25:25" hidden="1" x14ac:dyDescent="0.25">
      <c r="Y29401" s="501"/>
    </row>
    <row r="29402" spans="25:25" hidden="1" x14ac:dyDescent="0.25">
      <c r="Y29402" s="501"/>
    </row>
    <row r="29403" spans="25:25" hidden="1" x14ac:dyDescent="0.25">
      <c r="Y29403" s="501"/>
    </row>
    <row r="29404" spans="25:25" hidden="1" x14ac:dyDescent="0.25">
      <c r="Y29404" s="501"/>
    </row>
    <row r="29405" spans="25:25" hidden="1" x14ac:dyDescent="0.25">
      <c r="Y29405" s="501"/>
    </row>
    <row r="29406" spans="25:25" hidden="1" x14ac:dyDescent="0.25">
      <c r="Y29406" s="501"/>
    </row>
    <row r="29407" spans="25:25" hidden="1" x14ac:dyDescent="0.25">
      <c r="Y29407" s="501"/>
    </row>
    <row r="29408" spans="25:25" hidden="1" x14ac:dyDescent="0.25">
      <c r="Y29408" s="501"/>
    </row>
    <row r="29409" spans="25:25" hidden="1" x14ac:dyDescent="0.25">
      <c r="Y29409" s="501"/>
    </row>
    <row r="29410" spans="25:25" hidden="1" x14ac:dyDescent="0.25">
      <c r="Y29410" s="501"/>
    </row>
    <row r="29411" spans="25:25" hidden="1" x14ac:dyDescent="0.25">
      <c r="Y29411" s="501"/>
    </row>
    <row r="29412" spans="25:25" hidden="1" x14ac:dyDescent="0.25">
      <c r="Y29412" s="501"/>
    </row>
    <row r="29413" spans="25:25" hidden="1" x14ac:dyDescent="0.25">
      <c r="Y29413" s="501"/>
    </row>
    <row r="29414" spans="25:25" hidden="1" x14ac:dyDescent="0.25">
      <c r="Y29414" s="501"/>
    </row>
    <row r="29415" spans="25:25" hidden="1" x14ac:dyDescent="0.25">
      <c r="Y29415" s="501"/>
    </row>
    <row r="29416" spans="25:25" hidden="1" x14ac:dyDescent="0.25">
      <c r="Y29416" s="501"/>
    </row>
    <row r="29417" spans="25:25" hidden="1" x14ac:dyDescent="0.25">
      <c r="Y29417" s="501"/>
    </row>
    <row r="29418" spans="25:25" hidden="1" x14ac:dyDescent="0.25">
      <c r="Y29418" s="501"/>
    </row>
    <row r="29419" spans="25:25" hidden="1" x14ac:dyDescent="0.25">
      <c r="Y29419" s="501"/>
    </row>
    <row r="29420" spans="25:25" hidden="1" x14ac:dyDescent="0.25">
      <c r="Y29420" s="501"/>
    </row>
    <row r="29421" spans="25:25" hidden="1" x14ac:dyDescent="0.25">
      <c r="Y29421" s="501"/>
    </row>
    <row r="29422" spans="25:25" hidden="1" x14ac:dyDescent="0.25">
      <c r="Y29422" s="501"/>
    </row>
    <row r="29423" spans="25:25" hidden="1" x14ac:dyDescent="0.25">
      <c r="Y29423" s="501"/>
    </row>
    <row r="29424" spans="25:25" hidden="1" x14ac:dyDescent="0.25">
      <c r="Y29424" s="501"/>
    </row>
    <row r="29425" spans="25:25" hidden="1" x14ac:dyDescent="0.25">
      <c r="Y29425" s="501"/>
    </row>
    <row r="29426" spans="25:25" hidden="1" x14ac:dyDescent="0.25">
      <c r="Y29426" s="501"/>
    </row>
    <row r="29427" spans="25:25" hidden="1" x14ac:dyDescent="0.25">
      <c r="Y29427" s="501"/>
    </row>
    <row r="29428" spans="25:25" hidden="1" x14ac:dyDescent="0.25">
      <c r="Y29428" s="501"/>
    </row>
    <row r="29429" spans="25:25" hidden="1" x14ac:dyDescent="0.25">
      <c r="Y29429" s="501"/>
    </row>
    <row r="29430" spans="25:25" hidden="1" x14ac:dyDescent="0.25">
      <c r="Y29430" s="501"/>
    </row>
    <row r="29431" spans="25:25" hidden="1" x14ac:dyDescent="0.25">
      <c r="Y29431" s="501"/>
    </row>
    <row r="29432" spans="25:25" hidden="1" x14ac:dyDescent="0.25">
      <c r="Y29432" s="501"/>
    </row>
    <row r="29433" spans="25:25" hidden="1" x14ac:dyDescent="0.25">
      <c r="Y29433" s="501"/>
    </row>
    <row r="29434" spans="25:25" hidden="1" x14ac:dyDescent="0.25">
      <c r="Y29434" s="501"/>
    </row>
    <row r="29435" spans="25:25" hidden="1" x14ac:dyDescent="0.25">
      <c r="Y29435" s="501"/>
    </row>
    <row r="29436" spans="25:25" hidden="1" x14ac:dyDescent="0.25">
      <c r="Y29436" s="501"/>
    </row>
    <row r="29437" spans="25:25" hidden="1" x14ac:dyDescent="0.25">
      <c r="Y29437" s="501"/>
    </row>
    <row r="29438" spans="25:25" hidden="1" x14ac:dyDescent="0.25">
      <c r="Y29438" s="501"/>
    </row>
    <row r="29439" spans="25:25" hidden="1" x14ac:dyDescent="0.25">
      <c r="Y29439" s="501"/>
    </row>
    <row r="29440" spans="25:25" hidden="1" x14ac:dyDescent="0.25">
      <c r="Y29440" s="501"/>
    </row>
    <row r="29441" spans="25:25" hidden="1" x14ac:dyDescent="0.25">
      <c r="Y29441" s="501"/>
    </row>
    <row r="29442" spans="25:25" hidden="1" x14ac:dyDescent="0.25">
      <c r="Y29442" s="501"/>
    </row>
    <row r="29443" spans="25:25" hidden="1" x14ac:dyDescent="0.25">
      <c r="Y29443" s="501"/>
    </row>
    <row r="29444" spans="25:25" hidden="1" x14ac:dyDescent="0.25">
      <c r="Y29444" s="501"/>
    </row>
    <row r="29445" spans="25:25" hidden="1" x14ac:dyDescent="0.25">
      <c r="Y29445" s="501"/>
    </row>
    <row r="29446" spans="25:25" hidden="1" x14ac:dyDescent="0.25">
      <c r="Y29446" s="501"/>
    </row>
    <row r="29447" spans="25:25" hidden="1" x14ac:dyDescent="0.25">
      <c r="Y29447" s="501"/>
    </row>
    <row r="29448" spans="25:25" hidden="1" x14ac:dyDescent="0.25">
      <c r="Y29448" s="501"/>
    </row>
    <row r="29449" spans="25:25" hidden="1" x14ac:dyDescent="0.25">
      <c r="Y29449" s="501"/>
    </row>
    <row r="29450" spans="25:25" hidden="1" x14ac:dyDescent="0.25">
      <c r="Y29450" s="501"/>
    </row>
    <row r="29451" spans="25:25" hidden="1" x14ac:dyDescent="0.25">
      <c r="Y29451" s="501"/>
    </row>
    <row r="29452" spans="25:25" hidden="1" x14ac:dyDescent="0.25">
      <c r="Y29452" s="501"/>
    </row>
    <row r="29453" spans="25:25" hidden="1" x14ac:dyDescent="0.25">
      <c r="Y29453" s="501"/>
    </row>
    <row r="29454" spans="25:25" hidden="1" x14ac:dyDescent="0.25">
      <c r="Y29454" s="501"/>
    </row>
    <row r="29455" spans="25:25" hidden="1" x14ac:dyDescent="0.25">
      <c r="Y29455" s="501"/>
    </row>
    <row r="29456" spans="25:25" hidden="1" x14ac:dyDescent="0.25">
      <c r="Y29456" s="501"/>
    </row>
    <row r="29457" spans="25:25" hidden="1" x14ac:dyDescent="0.25">
      <c r="Y29457" s="501"/>
    </row>
    <row r="29458" spans="25:25" hidden="1" x14ac:dyDescent="0.25">
      <c r="Y29458" s="501"/>
    </row>
    <row r="29459" spans="25:25" hidden="1" x14ac:dyDescent="0.25">
      <c r="Y29459" s="501"/>
    </row>
    <row r="29460" spans="25:25" hidden="1" x14ac:dyDescent="0.25">
      <c r="Y29460" s="501"/>
    </row>
    <row r="29461" spans="25:25" hidden="1" x14ac:dyDescent="0.25">
      <c r="Y29461" s="501"/>
    </row>
    <row r="29462" spans="25:25" hidden="1" x14ac:dyDescent="0.25">
      <c r="Y29462" s="501"/>
    </row>
    <row r="29463" spans="25:25" hidden="1" x14ac:dyDescent="0.25">
      <c r="Y29463" s="501"/>
    </row>
    <row r="29464" spans="25:25" hidden="1" x14ac:dyDescent="0.25">
      <c r="Y29464" s="501"/>
    </row>
    <row r="29465" spans="25:25" hidden="1" x14ac:dyDescent="0.25">
      <c r="Y29465" s="501"/>
    </row>
    <row r="29466" spans="25:25" hidden="1" x14ac:dyDescent="0.25">
      <c r="Y29466" s="501"/>
    </row>
    <row r="29467" spans="25:25" hidden="1" x14ac:dyDescent="0.25">
      <c r="Y29467" s="501"/>
    </row>
    <row r="29468" spans="25:25" hidden="1" x14ac:dyDescent="0.25">
      <c r="Y29468" s="501"/>
    </row>
    <row r="29469" spans="25:25" hidden="1" x14ac:dyDescent="0.25">
      <c r="Y29469" s="501"/>
    </row>
    <row r="29470" spans="25:25" hidden="1" x14ac:dyDescent="0.25">
      <c r="Y29470" s="501"/>
    </row>
    <row r="29471" spans="25:25" hidden="1" x14ac:dyDescent="0.25">
      <c r="Y29471" s="501"/>
    </row>
    <row r="29472" spans="25:25" hidden="1" x14ac:dyDescent="0.25">
      <c r="Y29472" s="501"/>
    </row>
    <row r="29473" spans="25:25" hidden="1" x14ac:dyDescent="0.25">
      <c r="Y29473" s="501"/>
    </row>
    <row r="29474" spans="25:25" hidden="1" x14ac:dyDescent="0.25">
      <c r="Y29474" s="501"/>
    </row>
    <row r="29475" spans="25:25" hidden="1" x14ac:dyDescent="0.25">
      <c r="Y29475" s="501"/>
    </row>
    <row r="29476" spans="25:25" hidden="1" x14ac:dyDescent="0.25">
      <c r="Y29476" s="501"/>
    </row>
    <row r="29477" spans="25:25" hidden="1" x14ac:dyDescent="0.25">
      <c r="Y29477" s="501"/>
    </row>
    <row r="29478" spans="25:25" hidden="1" x14ac:dyDescent="0.25">
      <c r="Y29478" s="501"/>
    </row>
    <row r="29479" spans="25:25" hidden="1" x14ac:dyDescent="0.25">
      <c r="Y29479" s="501"/>
    </row>
    <row r="29480" spans="25:25" hidden="1" x14ac:dyDescent="0.25">
      <c r="Y29480" s="501"/>
    </row>
    <row r="29481" spans="25:25" hidden="1" x14ac:dyDescent="0.25">
      <c r="Y29481" s="501"/>
    </row>
    <row r="29482" spans="25:25" hidden="1" x14ac:dyDescent="0.25">
      <c r="Y29482" s="501"/>
    </row>
    <row r="29483" spans="25:25" hidden="1" x14ac:dyDescent="0.25">
      <c r="Y29483" s="501"/>
    </row>
    <row r="29484" spans="25:25" hidden="1" x14ac:dyDescent="0.25">
      <c r="Y29484" s="501"/>
    </row>
    <row r="29485" spans="25:25" hidden="1" x14ac:dyDescent="0.25">
      <c r="Y29485" s="501"/>
    </row>
    <row r="29486" spans="25:25" hidden="1" x14ac:dyDescent="0.25">
      <c r="Y29486" s="501"/>
    </row>
    <row r="29487" spans="25:25" hidden="1" x14ac:dyDescent="0.25">
      <c r="Y29487" s="501"/>
    </row>
    <row r="29488" spans="25:25" hidden="1" x14ac:dyDescent="0.25">
      <c r="Y29488" s="501"/>
    </row>
    <row r="29489" spans="25:25" hidden="1" x14ac:dyDescent="0.25">
      <c r="Y29489" s="501"/>
    </row>
    <row r="29490" spans="25:25" hidden="1" x14ac:dyDescent="0.25">
      <c r="Y29490" s="501"/>
    </row>
    <row r="29491" spans="25:25" hidden="1" x14ac:dyDescent="0.25">
      <c r="Y29491" s="501"/>
    </row>
    <row r="29492" spans="25:25" hidden="1" x14ac:dyDescent="0.25">
      <c r="Y29492" s="501"/>
    </row>
    <row r="29493" spans="25:25" hidden="1" x14ac:dyDescent="0.25">
      <c r="Y29493" s="501"/>
    </row>
    <row r="29494" spans="25:25" hidden="1" x14ac:dyDescent="0.25">
      <c r="Y29494" s="501"/>
    </row>
    <row r="29495" spans="25:25" hidden="1" x14ac:dyDescent="0.25">
      <c r="Y29495" s="501"/>
    </row>
    <row r="29496" spans="25:25" hidden="1" x14ac:dyDescent="0.25">
      <c r="Y29496" s="501"/>
    </row>
    <row r="29497" spans="25:25" hidden="1" x14ac:dyDescent="0.25">
      <c r="Y29497" s="501"/>
    </row>
    <row r="29498" spans="25:25" hidden="1" x14ac:dyDescent="0.25">
      <c r="Y29498" s="501"/>
    </row>
    <row r="29499" spans="25:25" hidden="1" x14ac:dyDescent="0.25">
      <c r="Y29499" s="501"/>
    </row>
    <row r="29500" spans="25:25" hidden="1" x14ac:dyDescent="0.25">
      <c r="Y29500" s="501"/>
    </row>
    <row r="29501" spans="25:25" hidden="1" x14ac:dyDescent="0.25">
      <c r="Y29501" s="501"/>
    </row>
    <row r="29502" spans="25:25" hidden="1" x14ac:dyDescent="0.25">
      <c r="Y29502" s="501"/>
    </row>
    <row r="29503" spans="25:25" hidden="1" x14ac:dyDescent="0.25">
      <c r="Y29503" s="501"/>
    </row>
    <row r="29504" spans="25:25" hidden="1" x14ac:dyDescent="0.25">
      <c r="Y29504" s="501"/>
    </row>
    <row r="29505" spans="25:25" hidden="1" x14ac:dyDescent="0.25">
      <c r="Y29505" s="501"/>
    </row>
    <row r="29506" spans="25:25" hidden="1" x14ac:dyDescent="0.25">
      <c r="Y29506" s="501"/>
    </row>
    <row r="29507" spans="25:25" hidden="1" x14ac:dyDescent="0.25">
      <c r="Y29507" s="501"/>
    </row>
    <row r="29508" spans="25:25" hidden="1" x14ac:dyDescent="0.25">
      <c r="Y29508" s="501"/>
    </row>
    <row r="29509" spans="25:25" hidden="1" x14ac:dyDescent="0.25">
      <c r="Y29509" s="501"/>
    </row>
    <row r="29510" spans="25:25" hidden="1" x14ac:dyDescent="0.25">
      <c r="Y29510" s="501"/>
    </row>
    <row r="29511" spans="25:25" hidden="1" x14ac:dyDescent="0.25">
      <c r="Y29511" s="501"/>
    </row>
    <row r="29512" spans="25:25" hidden="1" x14ac:dyDescent="0.25">
      <c r="Y29512" s="501"/>
    </row>
    <row r="29513" spans="25:25" hidden="1" x14ac:dyDescent="0.25">
      <c r="Y29513" s="501"/>
    </row>
    <row r="29514" spans="25:25" hidden="1" x14ac:dyDescent="0.25">
      <c r="Y29514" s="501"/>
    </row>
    <row r="29515" spans="25:25" hidden="1" x14ac:dyDescent="0.25">
      <c r="Y29515" s="501"/>
    </row>
    <row r="29516" spans="25:25" hidden="1" x14ac:dyDescent="0.25">
      <c r="Y29516" s="501"/>
    </row>
    <row r="29517" spans="25:25" hidden="1" x14ac:dyDescent="0.25">
      <c r="Y29517" s="501"/>
    </row>
    <row r="29518" spans="25:25" hidden="1" x14ac:dyDescent="0.25">
      <c r="Y29518" s="501"/>
    </row>
    <row r="29519" spans="25:25" hidden="1" x14ac:dyDescent="0.25">
      <c r="Y29519" s="501"/>
    </row>
    <row r="29520" spans="25:25" hidden="1" x14ac:dyDescent="0.25">
      <c r="Y29520" s="501"/>
    </row>
    <row r="29521" spans="25:25" hidden="1" x14ac:dyDescent="0.25">
      <c r="Y29521" s="501"/>
    </row>
    <row r="29522" spans="25:25" hidden="1" x14ac:dyDescent="0.25">
      <c r="Y29522" s="501"/>
    </row>
    <row r="29523" spans="25:25" hidden="1" x14ac:dyDescent="0.25">
      <c r="Y29523" s="501"/>
    </row>
    <row r="29524" spans="25:25" hidden="1" x14ac:dyDescent="0.25">
      <c r="Y29524" s="501"/>
    </row>
    <row r="29525" spans="25:25" hidden="1" x14ac:dyDescent="0.25">
      <c r="Y29525" s="501"/>
    </row>
    <row r="29526" spans="25:25" hidden="1" x14ac:dyDescent="0.25">
      <c r="Y29526" s="501"/>
    </row>
    <row r="29527" spans="25:25" hidden="1" x14ac:dyDescent="0.25">
      <c r="Y29527" s="501"/>
    </row>
    <row r="29528" spans="25:25" hidden="1" x14ac:dyDescent="0.25">
      <c r="Y29528" s="501"/>
    </row>
    <row r="29529" spans="25:25" hidden="1" x14ac:dyDescent="0.25">
      <c r="Y29529" s="501"/>
    </row>
    <row r="29530" spans="25:25" hidden="1" x14ac:dyDescent="0.25">
      <c r="Y29530" s="501"/>
    </row>
    <row r="29531" spans="25:25" hidden="1" x14ac:dyDescent="0.25">
      <c r="Y29531" s="501"/>
    </row>
    <row r="29532" spans="25:25" hidden="1" x14ac:dyDescent="0.25">
      <c r="Y29532" s="501"/>
    </row>
    <row r="29533" spans="25:25" hidden="1" x14ac:dyDescent="0.25">
      <c r="Y29533" s="501"/>
    </row>
    <row r="29534" spans="25:25" hidden="1" x14ac:dyDescent="0.25">
      <c r="Y29534" s="501"/>
    </row>
    <row r="29535" spans="25:25" hidden="1" x14ac:dyDescent="0.25">
      <c r="Y29535" s="501"/>
    </row>
    <row r="29536" spans="25:25" hidden="1" x14ac:dyDescent="0.25">
      <c r="Y29536" s="501"/>
    </row>
    <row r="29537" spans="25:25" hidden="1" x14ac:dyDescent="0.25">
      <c r="Y29537" s="501"/>
    </row>
    <row r="29538" spans="25:25" hidden="1" x14ac:dyDescent="0.25">
      <c r="Y29538" s="501"/>
    </row>
    <row r="29539" spans="25:25" hidden="1" x14ac:dyDescent="0.25">
      <c r="Y29539" s="501"/>
    </row>
    <row r="29540" spans="25:25" hidden="1" x14ac:dyDescent="0.25">
      <c r="Y29540" s="501"/>
    </row>
    <row r="29541" spans="25:25" hidden="1" x14ac:dyDescent="0.25">
      <c r="Y29541" s="501"/>
    </row>
    <row r="29542" spans="25:25" hidden="1" x14ac:dyDescent="0.25">
      <c r="Y29542" s="501"/>
    </row>
    <row r="29543" spans="25:25" hidden="1" x14ac:dyDescent="0.25">
      <c r="Y29543" s="501"/>
    </row>
    <row r="29544" spans="25:25" hidden="1" x14ac:dyDescent="0.25">
      <c r="Y29544" s="501"/>
    </row>
    <row r="29545" spans="25:25" hidden="1" x14ac:dyDescent="0.25">
      <c r="Y29545" s="501"/>
    </row>
    <row r="29546" spans="25:25" hidden="1" x14ac:dyDescent="0.25">
      <c r="Y29546" s="501"/>
    </row>
    <row r="29547" spans="25:25" hidden="1" x14ac:dyDescent="0.25">
      <c r="Y29547" s="501"/>
    </row>
    <row r="29548" spans="25:25" hidden="1" x14ac:dyDescent="0.25">
      <c r="Y29548" s="501"/>
    </row>
    <row r="29549" spans="25:25" hidden="1" x14ac:dyDescent="0.25">
      <c r="Y29549" s="501"/>
    </row>
    <row r="29550" spans="25:25" hidden="1" x14ac:dyDescent="0.25">
      <c r="Y29550" s="501"/>
    </row>
    <row r="29551" spans="25:25" hidden="1" x14ac:dyDescent="0.25">
      <c r="Y29551" s="501"/>
    </row>
    <row r="29552" spans="25:25" hidden="1" x14ac:dyDescent="0.25">
      <c r="Y29552" s="501"/>
    </row>
    <row r="29553" spans="25:25" hidden="1" x14ac:dyDescent="0.25">
      <c r="Y29553" s="501"/>
    </row>
    <row r="29554" spans="25:25" hidden="1" x14ac:dyDescent="0.25">
      <c r="Y29554" s="501"/>
    </row>
    <row r="29555" spans="25:25" hidden="1" x14ac:dyDescent="0.25">
      <c r="Y29555" s="501"/>
    </row>
    <row r="29556" spans="25:25" hidden="1" x14ac:dyDescent="0.25">
      <c r="Y29556" s="501"/>
    </row>
    <row r="29557" spans="25:25" hidden="1" x14ac:dyDescent="0.25">
      <c r="Y29557" s="501"/>
    </row>
    <row r="29558" spans="25:25" hidden="1" x14ac:dyDescent="0.25">
      <c r="Y29558" s="501"/>
    </row>
    <row r="29559" spans="25:25" hidden="1" x14ac:dyDescent="0.25">
      <c r="Y29559" s="501"/>
    </row>
    <row r="29560" spans="25:25" hidden="1" x14ac:dyDescent="0.25">
      <c r="Y29560" s="501"/>
    </row>
    <row r="29561" spans="25:25" hidden="1" x14ac:dyDescent="0.25">
      <c r="Y29561" s="501"/>
    </row>
    <row r="29562" spans="25:25" hidden="1" x14ac:dyDescent="0.25">
      <c r="Y29562" s="501"/>
    </row>
    <row r="29563" spans="25:25" hidden="1" x14ac:dyDescent="0.25">
      <c r="Y29563" s="501"/>
    </row>
    <row r="29564" spans="25:25" hidden="1" x14ac:dyDescent="0.25">
      <c r="Y29564" s="501"/>
    </row>
    <row r="29565" spans="25:25" hidden="1" x14ac:dyDescent="0.25">
      <c r="Y29565" s="501"/>
    </row>
    <row r="29566" spans="25:25" hidden="1" x14ac:dyDescent="0.25">
      <c r="Y29566" s="501"/>
    </row>
    <row r="29567" spans="25:25" hidden="1" x14ac:dyDescent="0.25">
      <c r="Y29567" s="501"/>
    </row>
    <row r="29568" spans="25:25" hidden="1" x14ac:dyDescent="0.25">
      <c r="Y29568" s="501"/>
    </row>
    <row r="29569" spans="25:25" hidden="1" x14ac:dyDescent="0.25">
      <c r="Y29569" s="501"/>
    </row>
    <row r="29570" spans="25:25" hidden="1" x14ac:dyDescent="0.25">
      <c r="Y29570" s="501"/>
    </row>
    <row r="29571" spans="25:25" hidden="1" x14ac:dyDescent="0.25">
      <c r="Y29571" s="501"/>
    </row>
    <row r="29572" spans="25:25" hidden="1" x14ac:dyDescent="0.25">
      <c r="Y29572" s="501"/>
    </row>
    <row r="29573" spans="25:25" hidden="1" x14ac:dyDescent="0.25">
      <c r="Y29573" s="501"/>
    </row>
    <row r="29574" spans="25:25" hidden="1" x14ac:dyDescent="0.25">
      <c r="Y29574" s="501"/>
    </row>
    <row r="29575" spans="25:25" hidden="1" x14ac:dyDescent="0.25">
      <c r="Y29575" s="501"/>
    </row>
    <row r="29576" spans="25:25" hidden="1" x14ac:dyDescent="0.25">
      <c r="Y29576" s="501"/>
    </row>
    <row r="29577" spans="25:25" hidden="1" x14ac:dyDescent="0.25">
      <c r="Y29577" s="501"/>
    </row>
    <row r="29578" spans="25:25" hidden="1" x14ac:dyDescent="0.25">
      <c r="Y29578" s="501"/>
    </row>
    <row r="29579" spans="25:25" hidden="1" x14ac:dyDescent="0.25">
      <c r="Y29579" s="501"/>
    </row>
    <row r="29580" spans="25:25" hidden="1" x14ac:dyDescent="0.25">
      <c r="Y29580" s="501"/>
    </row>
    <row r="29581" spans="25:25" hidden="1" x14ac:dyDescent="0.25">
      <c r="Y29581" s="501"/>
    </row>
    <row r="29582" spans="25:25" hidden="1" x14ac:dyDescent="0.25">
      <c r="Y29582" s="501"/>
    </row>
    <row r="29583" spans="25:25" hidden="1" x14ac:dyDescent="0.25">
      <c r="Y29583" s="501"/>
    </row>
    <row r="29584" spans="25:25" hidden="1" x14ac:dyDescent="0.25">
      <c r="Y29584" s="501"/>
    </row>
    <row r="29585" spans="25:25" hidden="1" x14ac:dyDescent="0.25">
      <c r="Y29585" s="501"/>
    </row>
    <row r="29586" spans="25:25" hidden="1" x14ac:dyDescent="0.25">
      <c r="Y29586" s="501"/>
    </row>
    <row r="29587" spans="25:25" hidden="1" x14ac:dyDescent="0.25">
      <c r="Y29587" s="501"/>
    </row>
    <row r="29588" spans="25:25" hidden="1" x14ac:dyDescent="0.25">
      <c r="Y29588" s="501"/>
    </row>
    <row r="29589" spans="25:25" hidden="1" x14ac:dyDescent="0.25">
      <c r="Y29589" s="501"/>
    </row>
    <row r="29590" spans="25:25" hidden="1" x14ac:dyDescent="0.25">
      <c r="Y29590" s="501"/>
    </row>
    <row r="29591" spans="25:25" hidden="1" x14ac:dyDescent="0.25">
      <c r="Y29591" s="501"/>
    </row>
    <row r="29592" spans="25:25" hidden="1" x14ac:dyDescent="0.25">
      <c r="Y29592" s="501"/>
    </row>
    <row r="29593" spans="25:25" hidden="1" x14ac:dyDescent="0.25">
      <c r="Y29593" s="501"/>
    </row>
    <row r="29594" spans="25:25" hidden="1" x14ac:dyDescent="0.25">
      <c r="Y29594" s="501"/>
    </row>
    <row r="29595" spans="25:25" hidden="1" x14ac:dyDescent="0.25">
      <c r="Y29595" s="501"/>
    </row>
    <row r="29596" spans="25:25" hidden="1" x14ac:dyDescent="0.25">
      <c r="Y29596" s="501"/>
    </row>
    <row r="29597" spans="25:25" hidden="1" x14ac:dyDescent="0.25">
      <c r="Y29597" s="501"/>
    </row>
    <row r="29598" spans="25:25" hidden="1" x14ac:dyDescent="0.25">
      <c r="Y29598" s="501"/>
    </row>
    <row r="29599" spans="25:25" hidden="1" x14ac:dyDescent="0.25">
      <c r="Y29599" s="501"/>
    </row>
    <row r="29600" spans="25:25" hidden="1" x14ac:dyDescent="0.25">
      <c r="Y29600" s="501"/>
    </row>
    <row r="29601" spans="25:25" hidden="1" x14ac:dyDescent="0.25">
      <c r="Y29601" s="501"/>
    </row>
    <row r="29602" spans="25:25" hidden="1" x14ac:dyDescent="0.25">
      <c r="Y29602" s="501"/>
    </row>
    <row r="29603" spans="25:25" hidden="1" x14ac:dyDescent="0.25">
      <c r="Y29603" s="501"/>
    </row>
    <row r="29604" spans="25:25" hidden="1" x14ac:dyDescent="0.25">
      <c r="Y29604" s="501"/>
    </row>
    <row r="29605" spans="25:25" hidden="1" x14ac:dyDescent="0.25">
      <c r="Y29605" s="501"/>
    </row>
    <row r="29606" spans="25:25" hidden="1" x14ac:dyDescent="0.25">
      <c r="Y29606" s="501"/>
    </row>
    <row r="29607" spans="25:25" hidden="1" x14ac:dyDescent="0.25">
      <c r="Y29607" s="501"/>
    </row>
    <row r="29608" spans="25:25" hidden="1" x14ac:dyDescent="0.25">
      <c r="Y29608" s="501"/>
    </row>
    <row r="29609" spans="25:25" hidden="1" x14ac:dyDescent="0.25">
      <c r="Y29609" s="501"/>
    </row>
    <row r="29610" spans="25:25" hidden="1" x14ac:dyDescent="0.25">
      <c r="Y29610" s="501"/>
    </row>
    <row r="29611" spans="25:25" hidden="1" x14ac:dyDescent="0.25">
      <c r="Y29611" s="501"/>
    </row>
    <row r="29612" spans="25:25" hidden="1" x14ac:dyDescent="0.25">
      <c r="Y29612" s="501"/>
    </row>
    <row r="29613" spans="25:25" hidden="1" x14ac:dyDescent="0.25">
      <c r="Y29613" s="501"/>
    </row>
    <row r="29614" spans="25:25" hidden="1" x14ac:dyDescent="0.25">
      <c r="Y29614" s="501"/>
    </row>
    <row r="29615" spans="25:25" hidden="1" x14ac:dyDescent="0.25">
      <c r="Y29615" s="501"/>
    </row>
    <row r="29616" spans="25:25" hidden="1" x14ac:dyDescent="0.25">
      <c r="Y29616" s="501"/>
    </row>
    <row r="29617" spans="25:25" hidden="1" x14ac:dyDescent="0.25">
      <c r="Y29617" s="501"/>
    </row>
    <row r="29618" spans="25:25" hidden="1" x14ac:dyDescent="0.25">
      <c r="Y29618" s="501"/>
    </row>
    <row r="29619" spans="25:25" hidden="1" x14ac:dyDescent="0.25">
      <c r="Y29619" s="501"/>
    </row>
    <row r="29620" spans="25:25" hidden="1" x14ac:dyDescent="0.25">
      <c r="Y29620" s="501"/>
    </row>
    <row r="29621" spans="25:25" hidden="1" x14ac:dyDescent="0.25">
      <c r="Y29621" s="501"/>
    </row>
    <row r="29622" spans="25:25" hidden="1" x14ac:dyDescent="0.25">
      <c r="Y29622" s="501"/>
    </row>
    <row r="29623" spans="25:25" hidden="1" x14ac:dyDescent="0.25">
      <c r="Y29623" s="501"/>
    </row>
    <row r="29624" spans="25:25" hidden="1" x14ac:dyDescent="0.25">
      <c r="Y29624" s="501"/>
    </row>
    <row r="29625" spans="25:25" hidden="1" x14ac:dyDescent="0.25">
      <c r="Y29625" s="501"/>
    </row>
    <row r="29626" spans="25:25" hidden="1" x14ac:dyDescent="0.25">
      <c r="Y29626" s="501"/>
    </row>
    <row r="29627" spans="25:25" hidden="1" x14ac:dyDescent="0.25">
      <c r="Y29627" s="501"/>
    </row>
    <row r="29628" spans="25:25" hidden="1" x14ac:dyDescent="0.25">
      <c r="Y29628" s="501"/>
    </row>
    <row r="29629" spans="25:25" hidden="1" x14ac:dyDescent="0.25">
      <c r="Y29629" s="501"/>
    </row>
    <row r="29630" spans="25:25" hidden="1" x14ac:dyDescent="0.25">
      <c r="Y29630" s="501"/>
    </row>
    <row r="29631" spans="25:25" hidden="1" x14ac:dyDescent="0.25">
      <c r="Y29631" s="501"/>
    </row>
    <row r="29632" spans="25:25" hidden="1" x14ac:dyDescent="0.25">
      <c r="Y29632" s="501"/>
    </row>
    <row r="29633" spans="25:25" hidden="1" x14ac:dyDescent="0.25">
      <c r="Y29633" s="501"/>
    </row>
    <row r="29634" spans="25:25" hidden="1" x14ac:dyDescent="0.25">
      <c r="Y29634" s="501"/>
    </row>
    <row r="29635" spans="25:25" hidden="1" x14ac:dyDescent="0.25">
      <c r="Y29635" s="501"/>
    </row>
    <row r="29636" spans="25:25" hidden="1" x14ac:dyDescent="0.25">
      <c r="Y29636" s="501"/>
    </row>
    <row r="29637" spans="25:25" hidden="1" x14ac:dyDescent="0.25">
      <c r="Y29637" s="501"/>
    </row>
    <row r="29638" spans="25:25" hidden="1" x14ac:dyDescent="0.25">
      <c r="Y29638" s="501"/>
    </row>
    <row r="29639" spans="25:25" hidden="1" x14ac:dyDescent="0.25">
      <c r="Y29639" s="501"/>
    </row>
    <row r="29640" spans="25:25" hidden="1" x14ac:dyDescent="0.25">
      <c r="Y29640" s="501"/>
    </row>
    <row r="29641" spans="25:25" hidden="1" x14ac:dyDescent="0.25">
      <c r="Y29641" s="501"/>
    </row>
    <row r="29642" spans="25:25" hidden="1" x14ac:dyDescent="0.25">
      <c r="Y29642" s="501"/>
    </row>
    <row r="29643" spans="25:25" hidden="1" x14ac:dyDescent="0.25">
      <c r="Y29643" s="501"/>
    </row>
    <row r="29644" spans="25:25" hidden="1" x14ac:dyDescent="0.25">
      <c r="Y29644" s="501"/>
    </row>
    <row r="29645" spans="25:25" hidden="1" x14ac:dyDescent="0.25">
      <c r="Y29645" s="501"/>
    </row>
    <row r="29646" spans="25:25" hidden="1" x14ac:dyDescent="0.25">
      <c r="Y29646" s="501"/>
    </row>
    <row r="29647" spans="25:25" hidden="1" x14ac:dyDescent="0.25">
      <c r="Y29647" s="501"/>
    </row>
    <row r="29648" spans="25:25" hidden="1" x14ac:dyDescent="0.25">
      <c r="Y29648" s="501"/>
    </row>
    <row r="29649" spans="25:25" hidden="1" x14ac:dyDescent="0.25">
      <c r="Y29649" s="501"/>
    </row>
    <row r="29650" spans="25:25" hidden="1" x14ac:dyDescent="0.25">
      <c r="Y29650" s="501"/>
    </row>
    <row r="29651" spans="25:25" hidden="1" x14ac:dyDescent="0.25">
      <c r="Y29651" s="501"/>
    </row>
    <row r="29652" spans="25:25" hidden="1" x14ac:dyDescent="0.25">
      <c r="Y29652" s="501"/>
    </row>
    <row r="29653" spans="25:25" hidden="1" x14ac:dyDescent="0.25">
      <c r="Y29653" s="501"/>
    </row>
    <row r="29654" spans="25:25" hidden="1" x14ac:dyDescent="0.25">
      <c r="Y29654" s="501"/>
    </row>
    <row r="29655" spans="25:25" hidden="1" x14ac:dyDescent="0.25">
      <c r="Y29655" s="501"/>
    </row>
    <row r="29656" spans="25:25" hidden="1" x14ac:dyDescent="0.25">
      <c r="Y29656" s="501"/>
    </row>
    <row r="29657" spans="25:25" hidden="1" x14ac:dyDescent="0.25">
      <c r="Y29657" s="501"/>
    </row>
    <row r="29658" spans="25:25" hidden="1" x14ac:dyDescent="0.25">
      <c r="Y29658" s="501"/>
    </row>
    <row r="29659" spans="25:25" hidden="1" x14ac:dyDescent="0.25">
      <c r="Y29659" s="501"/>
    </row>
    <row r="29660" spans="25:25" hidden="1" x14ac:dyDescent="0.25">
      <c r="Y29660" s="501"/>
    </row>
    <row r="29661" spans="25:25" hidden="1" x14ac:dyDescent="0.25">
      <c r="Y29661" s="501"/>
    </row>
    <row r="29662" spans="25:25" hidden="1" x14ac:dyDescent="0.25">
      <c r="Y29662" s="501"/>
    </row>
    <row r="29663" spans="25:25" hidden="1" x14ac:dyDescent="0.25">
      <c r="Y29663" s="501"/>
    </row>
    <row r="29664" spans="25:25" hidden="1" x14ac:dyDescent="0.25">
      <c r="Y29664" s="501"/>
    </row>
    <row r="29665" spans="25:25" hidden="1" x14ac:dyDescent="0.25">
      <c r="Y29665" s="501"/>
    </row>
    <row r="29666" spans="25:25" hidden="1" x14ac:dyDescent="0.25">
      <c r="Y29666" s="501"/>
    </row>
    <row r="29667" spans="25:25" hidden="1" x14ac:dyDescent="0.25">
      <c r="Y29667" s="501"/>
    </row>
    <row r="29668" spans="25:25" hidden="1" x14ac:dyDescent="0.25">
      <c r="Y29668" s="501"/>
    </row>
    <row r="29669" spans="25:25" hidden="1" x14ac:dyDescent="0.25">
      <c r="Y29669" s="501"/>
    </row>
    <row r="29670" spans="25:25" hidden="1" x14ac:dyDescent="0.25">
      <c r="Y29670" s="501"/>
    </row>
    <row r="29671" spans="25:25" hidden="1" x14ac:dyDescent="0.25">
      <c r="Y29671" s="501"/>
    </row>
    <row r="29672" spans="25:25" hidden="1" x14ac:dyDescent="0.25">
      <c r="Y29672" s="501"/>
    </row>
    <row r="29673" spans="25:25" hidden="1" x14ac:dyDescent="0.25">
      <c r="Y29673" s="501"/>
    </row>
    <row r="29674" spans="25:25" hidden="1" x14ac:dyDescent="0.25">
      <c r="Y29674" s="501"/>
    </row>
    <row r="29675" spans="25:25" hidden="1" x14ac:dyDescent="0.25">
      <c r="Y29675" s="501"/>
    </row>
    <row r="29676" spans="25:25" hidden="1" x14ac:dyDescent="0.25">
      <c r="Y29676" s="501"/>
    </row>
    <row r="29677" spans="25:25" hidden="1" x14ac:dyDescent="0.25">
      <c r="Y29677" s="501"/>
    </row>
    <row r="29678" spans="25:25" hidden="1" x14ac:dyDescent="0.25">
      <c r="Y29678" s="501"/>
    </row>
    <row r="29679" spans="25:25" hidden="1" x14ac:dyDescent="0.25">
      <c r="Y29679" s="501"/>
    </row>
    <row r="29680" spans="25:25" hidden="1" x14ac:dyDescent="0.25">
      <c r="Y29680" s="501"/>
    </row>
    <row r="29681" spans="25:25" hidden="1" x14ac:dyDescent="0.25">
      <c r="Y29681" s="501"/>
    </row>
    <row r="29682" spans="25:25" hidden="1" x14ac:dyDescent="0.25">
      <c r="Y29682" s="501"/>
    </row>
    <row r="29683" spans="25:25" hidden="1" x14ac:dyDescent="0.25">
      <c r="Y29683" s="501"/>
    </row>
    <row r="29684" spans="25:25" hidden="1" x14ac:dyDescent="0.25">
      <c r="Y29684" s="501"/>
    </row>
    <row r="29685" spans="25:25" hidden="1" x14ac:dyDescent="0.25">
      <c r="Y29685" s="501"/>
    </row>
    <row r="29686" spans="25:25" hidden="1" x14ac:dyDescent="0.25">
      <c r="Y29686" s="501"/>
    </row>
    <row r="29687" spans="25:25" hidden="1" x14ac:dyDescent="0.25">
      <c r="Y29687" s="501"/>
    </row>
    <row r="29688" spans="25:25" hidden="1" x14ac:dyDescent="0.25">
      <c r="Y29688" s="501"/>
    </row>
    <row r="29689" spans="25:25" hidden="1" x14ac:dyDescent="0.25">
      <c r="Y29689" s="501"/>
    </row>
    <row r="29690" spans="25:25" hidden="1" x14ac:dyDescent="0.25">
      <c r="Y29690" s="501"/>
    </row>
    <row r="29691" spans="25:25" hidden="1" x14ac:dyDescent="0.25">
      <c r="Y29691" s="501"/>
    </row>
    <row r="29692" spans="25:25" hidden="1" x14ac:dyDescent="0.25">
      <c r="Y29692" s="501"/>
    </row>
    <row r="29693" spans="25:25" hidden="1" x14ac:dyDescent="0.25">
      <c r="Y29693" s="501"/>
    </row>
    <row r="29694" spans="25:25" hidden="1" x14ac:dyDescent="0.25">
      <c r="Y29694" s="501"/>
    </row>
    <row r="29695" spans="25:25" hidden="1" x14ac:dyDescent="0.25">
      <c r="Y29695" s="501"/>
    </row>
    <row r="29696" spans="25:25" hidden="1" x14ac:dyDescent="0.25">
      <c r="Y29696" s="501"/>
    </row>
    <row r="29697" spans="25:25" hidden="1" x14ac:dyDescent="0.25">
      <c r="Y29697" s="501"/>
    </row>
    <row r="29698" spans="25:25" hidden="1" x14ac:dyDescent="0.25">
      <c r="Y29698" s="501"/>
    </row>
    <row r="29699" spans="25:25" hidden="1" x14ac:dyDescent="0.25">
      <c r="Y29699" s="501"/>
    </row>
    <row r="29700" spans="25:25" hidden="1" x14ac:dyDescent="0.25">
      <c r="Y29700" s="501"/>
    </row>
    <row r="29701" spans="25:25" hidden="1" x14ac:dyDescent="0.25">
      <c r="Y29701" s="501"/>
    </row>
    <row r="29702" spans="25:25" hidden="1" x14ac:dyDescent="0.25">
      <c r="Y29702" s="501"/>
    </row>
    <row r="29703" spans="25:25" hidden="1" x14ac:dyDescent="0.25">
      <c r="Y29703" s="501"/>
    </row>
    <row r="29704" spans="25:25" hidden="1" x14ac:dyDescent="0.25">
      <c r="Y29704" s="501"/>
    </row>
    <row r="29705" spans="25:25" hidden="1" x14ac:dyDescent="0.25">
      <c r="Y29705" s="501"/>
    </row>
    <row r="29706" spans="25:25" hidden="1" x14ac:dyDescent="0.25">
      <c r="Y29706" s="501"/>
    </row>
    <row r="29707" spans="25:25" hidden="1" x14ac:dyDescent="0.25">
      <c r="Y29707" s="501"/>
    </row>
    <row r="29708" spans="25:25" hidden="1" x14ac:dyDescent="0.25">
      <c r="Y29708" s="501"/>
    </row>
    <row r="29709" spans="25:25" hidden="1" x14ac:dyDescent="0.25">
      <c r="Y29709" s="501"/>
    </row>
    <row r="29710" spans="25:25" hidden="1" x14ac:dyDescent="0.25">
      <c r="Y29710" s="501"/>
    </row>
    <row r="29711" spans="25:25" hidden="1" x14ac:dyDescent="0.25">
      <c r="Y29711" s="501"/>
    </row>
    <row r="29712" spans="25:25" hidden="1" x14ac:dyDescent="0.25">
      <c r="Y29712" s="501"/>
    </row>
    <row r="29713" spans="25:25" hidden="1" x14ac:dyDescent="0.25">
      <c r="Y29713" s="501"/>
    </row>
    <row r="29714" spans="25:25" hidden="1" x14ac:dyDescent="0.25">
      <c r="Y29714" s="501"/>
    </row>
    <row r="29715" spans="25:25" hidden="1" x14ac:dyDescent="0.25">
      <c r="Y29715" s="501"/>
    </row>
    <row r="29716" spans="25:25" hidden="1" x14ac:dyDescent="0.25">
      <c r="Y29716" s="501"/>
    </row>
    <row r="29717" spans="25:25" hidden="1" x14ac:dyDescent="0.25">
      <c r="Y29717" s="501"/>
    </row>
    <row r="29718" spans="25:25" hidden="1" x14ac:dyDescent="0.25">
      <c r="Y29718" s="501"/>
    </row>
    <row r="29719" spans="25:25" hidden="1" x14ac:dyDescent="0.25">
      <c r="Y29719" s="501"/>
    </row>
    <row r="29720" spans="25:25" hidden="1" x14ac:dyDescent="0.25">
      <c r="Y29720" s="501"/>
    </row>
    <row r="29721" spans="25:25" hidden="1" x14ac:dyDescent="0.25">
      <c r="Y29721" s="501"/>
    </row>
    <row r="29722" spans="25:25" hidden="1" x14ac:dyDescent="0.25">
      <c r="Y29722" s="501"/>
    </row>
    <row r="29723" spans="25:25" hidden="1" x14ac:dyDescent="0.25">
      <c r="Y29723" s="501"/>
    </row>
    <row r="29724" spans="25:25" hidden="1" x14ac:dyDescent="0.25">
      <c r="Y29724" s="501"/>
    </row>
    <row r="29725" spans="25:25" hidden="1" x14ac:dyDescent="0.25">
      <c r="Y29725" s="501"/>
    </row>
    <row r="29726" spans="25:25" hidden="1" x14ac:dyDescent="0.25">
      <c r="Y29726" s="501"/>
    </row>
    <row r="29727" spans="25:25" hidden="1" x14ac:dyDescent="0.25">
      <c r="Y29727" s="501"/>
    </row>
    <row r="29728" spans="25:25" hidden="1" x14ac:dyDescent="0.25">
      <c r="Y29728" s="501"/>
    </row>
    <row r="29729" spans="25:25" hidden="1" x14ac:dyDescent="0.25">
      <c r="Y29729" s="501"/>
    </row>
    <row r="29730" spans="25:25" hidden="1" x14ac:dyDescent="0.25">
      <c r="Y29730" s="501"/>
    </row>
    <row r="29731" spans="25:25" hidden="1" x14ac:dyDescent="0.25">
      <c r="Y29731" s="501"/>
    </row>
    <row r="29732" spans="25:25" hidden="1" x14ac:dyDescent="0.25">
      <c r="Y29732" s="501"/>
    </row>
    <row r="29733" spans="25:25" hidden="1" x14ac:dyDescent="0.25">
      <c r="Y29733" s="501"/>
    </row>
    <row r="29734" spans="25:25" hidden="1" x14ac:dyDescent="0.25">
      <c r="Y29734" s="501"/>
    </row>
    <row r="29735" spans="25:25" hidden="1" x14ac:dyDescent="0.25">
      <c r="Y29735" s="501"/>
    </row>
    <row r="29736" spans="25:25" hidden="1" x14ac:dyDescent="0.25">
      <c r="Y29736" s="501"/>
    </row>
    <row r="29737" spans="25:25" hidden="1" x14ac:dyDescent="0.25">
      <c r="Y29737" s="501"/>
    </row>
    <row r="29738" spans="25:25" hidden="1" x14ac:dyDescent="0.25">
      <c r="Y29738" s="501"/>
    </row>
    <row r="29739" spans="25:25" hidden="1" x14ac:dyDescent="0.25">
      <c r="Y29739" s="501"/>
    </row>
    <row r="29740" spans="25:25" hidden="1" x14ac:dyDescent="0.25">
      <c r="Y29740" s="501"/>
    </row>
    <row r="29741" spans="25:25" hidden="1" x14ac:dyDescent="0.25">
      <c r="Y29741" s="501"/>
    </row>
    <row r="29742" spans="25:25" hidden="1" x14ac:dyDescent="0.25">
      <c r="Y29742" s="501"/>
    </row>
    <row r="29743" spans="25:25" hidden="1" x14ac:dyDescent="0.25">
      <c r="Y29743" s="501"/>
    </row>
    <row r="29744" spans="25:25" hidden="1" x14ac:dyDescent="0.25">
      <c r="Y29744" s="501"/>
    </row>
    <row r="29745" spans="25:25" hidden="1" x14ac:dyDescent="0.25">
      <c r="Y29745" s="501"/>
    </row>
    <row r="29746" spans="25:25" hidden="1" x14ac:dyDescent="0.25">
      <c r="Y29746" s="501"/>
    </row>
    <row r="29747" spans="25:25" hidden="1" x14ac:dyDescent="0.25">
      <c r="Y29747" s="501"/>
    </row>
    <row r="29748" spans="25:25" hidden="1" x14ac:dyDescent="0.25">
      <c r="Y29748" s="501"/>
    </row>
    <row r="29749" spans="25:25" hidden="1" x14ac:dyDescent="0.25">
      <c r="Y29749" s="501"/>
    </row>
    <row r="29750" spans="25:25" hidden="1" x14ac:dyDescent="0.25">
      <c r="Y29750" s="501"/>
    </row>
    <row r="29751" spans="25:25" hidden="1" x14ac:dyDescent="0.25">
      <c r="Y29751" s="501"/>
    </row>
    <row r="29752" spans="25:25" hidden="1" x14ac:dyDescent="0.25">
      <c r="Y29752" s="501"/>
    </row>
    <row r="29753" spans="25:25" hidden="1" x14ac:dyDescent="0.25">
      <c r="Y29753" s="501"/>
    </row>
    <row r="29754" spans="25:25" hidden="1" x14ac:dyDescent="0.25">
      <c r="Y29754" s="501"/>
    </row>
    <row r="29755" spans="25:25" hidden="1" x14ac:dyDescent="0.25">
      <c r="Y29755" s="501"/>
    </row>
    <row r="29756" spans="25:25" hidden="1" x14ac:dyDescent="0.25">
      <c r="Y29756" s="501"/>
    </row>
    <row r="29757" spans="25:25" hidden="1" x14ac:dyDescent="0.25">
      <c r="Y29757" s="501"/>
    </row>
    <row r="29758" spans="25:25" hidden="1" x14ac:dyDescent="0.25">
      <c r="Y29758" s="501"/>
    </row>
    <row r="29759" spans="25:25" hidden="1" x14ac:dyDescent="0.25">
      <c r="Y29759" s="501"/>
    </row>
    <row r="29760" spans="25:25" hidden="1" x14ac:dyDescent="0.25">
      <c r="Y29760" s="501"/>
    </row>
    <row r="29761" spans="25:25" hidden="1" x14ac:dyDescent="0.25">
      <c r="Y29761" s="501"/>
    </row>
    <row r="29762" spans="25:25" hidden="1" x14ac:dyDescent="0.25">
      <c r="Y29762" s="501"/>
    </row>
    <row r="29763" spans="25:25" hidden="1" x14ac:dyDescent="0.25">
      <c r="Y29763" s="501"/>
    </row>
    <row r="29764" spans="25:25" hidden="1" x14ac:dyDescent="0.25">
      <c r="Y29764" s="501"/>
    </row>
    <row r="29765" spans="25:25" hidden="1" x14ac:dyDescent="0.25">
      <c r="Y29765" s="501"/>
    </row>
    <row r="29766" spans="25:25" hidden="1" x14ac:dyDescent="0.25">
      <c r="Y29766" s="501"/>
    </row>
    <row r="29767" spans="25:25" hidden="1" x14ac:dyDescent="0.25">
      <c r="Y29767" s="501"/>
    </row>
    <row r="29768" spans="25:25" hidden="1" x14ac:dyDescent="0.25">
      <c r="Y29768" s="501"/>
    </row>
    <row r="29769" spans="25:25" hidden="1" x14ac:dyDescent="0.25">
      <c r="Y29769" s="501"/>
    </row>
    <row r="29770" spans="25:25" hidden="1" x14ac:dyDescent="0.25">
      <c r="Y29770" s="501"/>
    </row>
    <row r="29771" spans="25:25" hidden="1" x14ac:dyDescent="0.25">
      <c r="Y29771" s="501"/>
    </row>
    <row r="29772" spans="25:25" hidden="1" x14ac:dyDescent="0.25">
      <c r="Y29772" s="501"/>
    </row>
    <row r="29773" spans="25:25" hidden="1" x14ac:dyDescent="0.25">
      <c r="Y29773" s="501"/>
    </row>
    <row r="29774" spans="25:25" hidden="1" x14ac:dyDescent="0.25">
      <c r="Y29774" s="501"/>
    </row>
    <row r="29775" spans="25:25" hidden="1" x14ac:dyDescent="0.25">
      <c r="Y29775" s="501"/>
    </row>
    <row r="29776" spans="25:25" hidden="1" x14ac:dyDescent="0.25">
      <c r="Y29776" s="501"/>
    </row>
    <row r="29777" spans="25:25" hidden="1" x14ac:dyDescent="0.25">
      <c r="Y29777" s="501"/>
    </row>
    <row r="29778" spans="25:25" hidden="1" x14ac:dyDescent="0.25">
      <c r="Y29778" s="501"/>
    </row>
    <row r="29779" spans="25:25" hidden="1" x14ac:dyDescent="0.25">
      <c r="Y29779" s="501"/>
    </row>
    <row r="29780" spans="25:25" hidden="1" x14ac:dyDescent="0.25">
      <c r="Y29780" s="501"/>
    </row>
    <row r="29781" spans="25:25" hidden="1" x14ac:dyDescent="0.25">
      <c r="Y29781" s="501"/>
    </row>
    <row r="29782" spans="25:25" hidden="1" x14ac:dyDescent="0.25">
      <c r="Y29782" s="501"/>
    </row>
    <row r="29783" spans="25:25" hidden="1" x14ac:dyDescent="0.25">
      <c r="Y29783" s="501"/>
    </row>
    <row r="29784" spans="25:25" hidden="1" x14ac:dyDescent="0.25">
      <c r="Y29784" s="501"/>
    </row>
    <row r="29785" spans="25:25" hidden="1" x14ac:dyDescent="0.25">
      <c r="Y29785" s="501"/>
    </row>
    <row r="29786" spans="25:25" hidden="1" x14ac:dyDescent="0.25">
      <c r="Y29786" s="501"/>
    </row>
    <row r="29787" spans="25:25" hidden="1" x14ac:dyDescent="0.25">
      <c r="Y29787" s="501"/>
    </row>
    <row r="29788" spans="25:25" hidden="1" x14ac:dyDescent="0.25">
      <c r="Y29788" s="501"/>
    </row>
    <row r="29789" spans="25:25" hidden="1" x14ac:dyDescent="0.25">
      <c r="Y29789" s="501"/>
    </row>
    <row r="29790" spans="25:25" hidden="1" x14ac:dyDescent="0.25">
      <c r="Y29790" s="501"/>
    </row>
    <row r="29791" spans="25:25" hidden="1" x14ac:dyDescent="0.25">
      <c r="Y29791" s="501"/>
    </row>
    <row r="29792" spans="25:25" hidden="1" x14ac:dyDescent="0.25">
      <c r="Y29792" s="501"/>
    </row>
    <row r="29793" spans="25:25" hidden="1" x14ac:dyDescent="0.25">
      <c r="Y29793" s="501"/>
    </row>
    <row r="29794" spans="25:25" hidden="1" x14ac:dyDescent="0.25">
      <c r="Y29794" s="501"/>
    </row>
    <row r="29795" spans="25:25" hidden="1" x14ac:dyDescent="0.25">
      <c r="Y29795" s="501"/>
    </row>
    <row r="29796" spans="25:25" hidden="1" x14ac:dyDescent="0.25">
      <c r="Y29796" s="501"/>
    </row>
    <row r="29797" spans="25:25" hidden="1" x14ac:dyDescent="0.25">
      <c r="Y29797" s="501"/>
    </row>
    <row r="29798" spans="25:25" hidden="1" x14ac:dyDescent="0.25">
      <c r="Y29798" s="501"/>
    </row>
    <row r="29799" spans="25:25" hidden="1" x14ac:dyDescent="0.25">
      <c r="Y29799" s="501"/>
    </row>
    <row r="29800" spans="25:25" hidden="1" x14ac:dyDescent="0.25">
      <c r="Y29800" s="501"/>
    </row>
    <row r="29801" spans="25:25" hidden="1" x14ac:dyDescent="0.25">
      <c r="Y29801" s="501"/>
    </row>
    <row r="29802" spans="25:25" hidden="1" x14ac:dyDescent="0.25">
      <c r="Y29802" s="501"/>
    </row>
    <row r="29803" spans="25:25" hidden="1" x14ac:dyDescent="0.25">
      <c r="Y29803" s="501"/>
    </row>
    <row r="29804" spans="25:25" hidden="1" x14ac:dyDescent="0.25">
      <c r="Y29804" s="501"/>
    </row>
    <row r="29805" spans="25:25" hidden="1" x14ac:dyDescent="0.25">
      <c r="Y29805" s="501"/>
    </row>
    <row r="29806" spans="25:25" hidden="1" x14ac:dyDescent="0.25">
      <c r="Y29806" s="501"/>
    </row>
    <row r="29807" spans="25:25" hidden="1" x14ac:dyDescent="0.25">
      <c r="Y29807" s="501"/>
    </row>
    <row r="29808" spans="25:25" hidden="1" x14ac:dyDescent="0.25">
      <c r="Y29808" s="501"/>
    </row>
    <row r="29809" spans="25:25" hidden="1" x14ac:dyDescent="0.25">
      <c r="Y29809" s="501"/>
    </row>
    <row r="29810" spans="25:25" hidden="1" x14ac:dyDescent="0.25">
      <c r="Y29810" s="501"/>
    </row>
    <row r="29811" spans="25:25" hidden="1" x14ac:dyDescent="0.25">
      <c r="Y29811" s="501"/>
    </row>
    <row r="29812" spans="25:25" hidden="1" x14ac:dyDescent="0.25">
      <c r="Y29812" s="501"/>
    </row>
    <row r="29813" spans="25:25" hidden="1" x14ac:dyDescent="0.25">
      <c r="Y29813" s="501"/>
    </row>
    <row r="29814" spans="25:25" hidden="1" x14ac:dyDescent="0.25">
      <c r="Y29814" s="501"/>
    </row>
    <row r="29815" spans="25:25" hidden="1" x14ac:dyDescent="0.25">
      <c r="Y29815" s="501"/>
    </row>
    <row r="29816" spans="25:25" hidden="1" x14ac:dyDescent="0.25">
      <c r="Y29816" s="501"/>
    </row>
    <row r="29817" spans="25:25" hidden="1" x14ac:dyDescent="0.25">
      <c r="Y29817" s="501"/>
    </row>
    <row r="29818" spans="25:25" hidden="1" x14ac:dyDescent="0.25">
      <c r="Y29818" s="501"/>
    </row>
    <row r="29819" spans="25:25" hidden="1" x14ac:dyDescent="0.25">
      <c r="Y29819" s="501"/>
    </row>
    <row r="29820" spans="25:25" hidden="1" x14ac:dyDescent="0.25">
      <c r="Y29820" s="501"/>
    </row>
    <row r="29821" spans="25:25" hidden="1" x14ac:dyDescent="0.25">
      <c r="Y29821" s="501"/>
    </row>
    <row r="29822" spans="25:25" hidden="1" x14ac:dyDescent="0.25">
      <c r="Y29822" s="501"/>
    </row>
    <row r="29823" spans="25:25" hidden="1" x14ac:dyDescent="0.25">
      <c r="Y29823" s="501"/>
    </row>
    <row r="29824" spans="25:25" hidden="1" x14ac:dyDescent="0.25">
      <c r="Y29824" s="501"/>
    </row>
    <row r="29825" spans="25:25" hidden="1" x14ac:dyDescent="0.25">
      <c r="Y29825" s="501"/>
    </row>
    <row r="29826" spans="25:25" hidden="1" x14ac:dyDescent="0.25">
      <c r="Y29826" s="501"/>
    </row>
    <row r="29827" spans="25:25" hidden="1" x14ac:dyDescent="0.25">
      <c r="Y29827" s="501"/>
    </row>
    <row r="29828" spans="25:25" hidden="1" x14ac:dyDescent="0.25">
      <c r="Y29828" s="501"/>
    </row>
    <row r="29829" spans="25:25" hidden="1" x14ac:dyDescent="0.25">
      <c r="Y29829" s="501"/>
    </row>
    <row r="29830" spans="25:25" hidden="1" x14ac:dyDescent="0.25">
      <c r="Y29830" s="501"/>
    </row>
    <row r="29831" spans="25:25" hidden="1" x14ac:dyDescent="0.25">
      <c r="Y29831" s="501"/>
    </row>
    <row r="29832" spans="25:25" hidden="1" x14ac:dyDescent="0.25">
      <c r="Y29832" s="501"/>
    </row>
    <row r="29833" spans="25:25" hidden="1" x14ac:dyDescent="0.25">
      <c r="Y29833" s="501"/>
    </row>
    <row r="29834" spans="25:25" hidden="1" x14ac:dyDescent="0.25">
      <c r="Y29834" s="501"/>
    </row>
    <row r="29835" spans="25:25" hidden="1" x14ac:dyDescent="0.25">
      <c r="Y29835" s="501"/>
    </row>
    <row r="29836" spans="25:25" hidden="1" x14ac:dyDescent="0.25">
      <c r="Y29836" s="501"/>
    </row>
    <row r="29837" spans="25:25" hidden="1" x14ac:dyDescent="0.25">
      <c r="Y29837" s="501"/>
    </row>
    <row r="29838" spans="25:25" hidden="1" x14ac:dyDescent="0.25">
      <c r="Y29838" s="501"/>
    </row>
    <row r="29839" spans="25:25" hidden="1" x14ac:dyDescent="0.25">
      <c r="Y29839" s="501"/>
    </row>
    <row r="29840" spans="25:25" hidden="1" x14ac:dyDescent="0.25">
      <c r="Y29840" s="501"/>
    </row>
    <row r="29841" spans="25:25" hidden="1" x14ac:dyDescent="0.25">
      <c r="Y29841" s="501"/>
    </row>
    <row r="29842" spans="25:25" hidden="1" x14ac:dyDescent="0.25">
      <c r="Y29842" s="501"/>
    </row>
    <row r="29843" spans="25:25" hidden="1" x14ac:dyDescent="0.25">
      <c r="Y29843" s="501"/>
    </row>
    <row r="29844" spans="25:25" hidden="1" x14ac:dyDescent="0.25">
      <c r="Y29844" s="501"/>
    </row>
    <row r="29845" spans="25:25" hidden="1" x14ac:dyDescent="0.25">
      <c r="Y29845" s="501"/>
    </row>
    <row r="29846" spans="25:25" hidden="1" x14ac:dyDescent="0.25">
      <c r="Y29846" s="501"/>
    </row>
    <row r="29847" spans="25:25" hidden="1" x14ac:dyDescent="0.25">
      <c r="Y29847" s="501"/>
    </row>
    <row r="29848" spans="25:25" hidden="1" x14ac:dyDescent="0.25">
      <c r="Y29848" s="501"/>
    </row>
    <row r="29849" spans="25:25" hidden="1" x14ac:dyDescent="0.25">
      <c r="Y29849" s="501"/>
    </row>
    <row r="29850" spans="25:25" hidden="1" x14ac:dyDescent="0.25">
      <c r="Y29850" s="501"/>
    </row>
    <row r="29851" spans="25:25" hidden="1" x14ac:dyDescent="0.25">
      <c r="Y29851" s="501"/>
    </row>
    <row r="29852" spans="25:25" hidden="1" x14ac:dyDescent="0.25">
      <c r="Y29852" s="501"/>
    </row>
    <row r="29853" spans="25:25" hidden="1" x14ac:dyDescent="0.25">
      <c r="Y29853" s="501"/>
    </row>
    <row r="29854" spans="25:25" hidden="1" x14ac:dyDescent="0.25">
      <c r="Y29854" s="501"/>
    </row>
    <row r="29855" spans="25:25" hidden="1" x14ac:dyDescent="0.25">
      <c r="Y29855" s="501"/>
    </row>
    <row r="29856" spans="25:25" hidden="1" x14ac:dyDescent="0.25">
      <c r="Y29856" s="501"/>
    </row>
    <row r="29857" spans="25:25" hidden="1" x14ac:dyDescent="0.25">
      <c r="Y29857" s="501"/>
    </row>
    <row r="29858" spans="25:25" hidden="1" x14ac:dyDescent="0.25">
      <c r="Y29858" s="501"/>
    </row>
    <row r="29859" spans="25:25" hidden="1" x14ac:dyDescent="0.25">
      <c r="Y29859" s="501"/>
    </row>
    <row r="29860" spans="25:25" hidden="1" x14ac:dyDescent="0.25">
      <c r="Y29860" s="501"/>
    </row>
    <row r="29861" spans="25:25" hidden="1" x14ac:dyDescent="0.25">
      <c r="Y29861" s="501"/>
    </row>
    <row r="29862" spans="25:25" hidden="1" x14ac:dyDescent="0.25">
      <c r="Y29862" s="501"/>
    </row>
    <row r="29863" spans="25:25" hidden="1" x14ac:dyDescent="0.25">
      <c r="Y29863" s="501"/>
    </row>
    <row r="29864" spans="25:25" hidden="1" x14ac:dyDescent="0.25">
      <c r="Y29864" s="501"/>
    </row>
    <row r="29865" spans="25:25" hidden="1" x14ac:dyDescent="0.25">
      <c r="Y29865" s="501"/>
    </row>
    <row r="29866" spans="25:25" hidden="1" x14ac:dyDescent="0.25">
      <c r="Y29866" s="501"/>
    </row>
    <row r="29867" spans="25:25" hidden="1" x14ac:dyDescent="0.25">
      <c r="Y29867" s="501"/>
    </row>
    <row r="29868" spans="25:25" hidden="1" x14ac:dyDescent="0.25">
      <c r="Y29868" s="501"/>
    </row>
    <row r="29869" spans="25:25" hidden="1" x14ac:dyDescent="0.25">
      <c r="Y29869" s="501"/>
    </row>
    <row r="29870" spans="25:25" hidden="1" x14ac:dyDescent="0.25">
      <c r="Y29870" s="501"/>
    </row>
    <row r="29871" spans="25:25" hidden="1" x14ac:dyDescent="0.25">
      <c r="Y29871" s="501"/>
    </row>
    <row r="29872" spans="25:25" hidden="1" x14ac:dyDescent="0.25">
      <c r="Y29872" s="501"/>
    </row>
    <row r="29873" spans="25:25" hidden="1" x14ac:dyDescent="0.25">
      <c r="Y29873" s="501"/>
    </row>
    <row r="29874" spans="25:25" hidden="1" x14ac:dyDescent="0.25">
      <c r="Y29874" s="501"/>
    </row>
    <row r="29875" spans="25:25" hidden="1" x14ac:dyDescent="0.25">
      <c r="Y29875" s="501"/>
    </row>
    <row r="29876" spans="25:25" hidden="1" x14ac:dyDescent="0.25">
      <c r="Y29876" s="501"/>
    </row>
    <row r="29877" spans="25:25" hidden="1" x14ac:dyDescent="0.25">
      <c r="Y29877" s="501"/>
    </row>
    <row r="29878" spans="25:25" hidden="1" x14ac:dyDescent="0.25">
      <c r="Y29878" s="501"/>
    </row>
    <row r="29879" spans="25:25" hidden="1" x14ac:dyDescent="0.25">
      <c r="Y29879" s="501"/>
    </row>
    <row r="29880" spans="25:25" hidden="1" x14ac:dyDescent="0.25">
      <c r="Y29880" s="501"/>
    </row>
    <row r="29881" spans="25:25" hidden="1" x14ac:dyDescent="0.25">
      <c r="Y29881" s="501"/>
    </row>
    <row r="29882" spans="25:25" hidden="1" x14ac:dyDescent="0.25">
      <c r="Y29882" s="501"/>
    </row>
    <row r="29883" spans="25:25" hidden="1" x14ac:dyDescent="0.25">
      <c r="Y29883" s="501"/>
    </row>
    <row r="29884" spans="25:25" hidden="1" x14ac:dyDescent="0.25">
      <c r="Y29884" s="501"/>
    </row>
    <row r="29885" spans="25:25" hidden="1" x14ac:dyDescent="0.25">
      <c r="Y29885" s="501"/>
    </row>
    <row r="29886" spans="25:25" hidden="1" x14ac:dyDescent="0.25">
      <c r="Y29886" s="501"/>
    </row>
    <row r="29887" spans="25:25" hidden="1" x14ac:dyDescent="0.25">
      <c r="Y29887" s="501"/>
    </row>
    <row r="29888" spans="25:25" hidden="1" x14ac:dyDescent="0.25">
      <c r="Y29888" s="501"/>
    </row>
    <row r="29889" spans="25:25" hidden="1" x14ac:dyDescent="0.25">
      <c r="Y29889" s="501"/>
    </row>
    <row r="29890" spans="25:25" hidden="1" x14ac:dyDescent="0.25">
      <c r="Y29890" s="501"/>
    </row>
    <row r="29891" spans="25:25" hidden="1" x14ac:dyDescent="0.25">
      <c r="Y29891" s="501"/>
    </row>
    <row r="29892" spans="25:25" hidden="1" x14ac:dyDescent="0.25">
      <c r="Y29892" s="501"/>
    </row>
    <row r="29893" spans="25:25" hidden="1" x14ac:dyDescent="0.25">
      <c r="Y29893" s="501"/>
    </row>
    <row r="29894" spans="25:25" hidden="1" x14ac:dyDescent="0.25">
      <c r="Y29894" s="501"/>
    </row>
    <row r="29895" spans="25:25" hidden="1" x14ac:dyDescent="0.25">
      <c r="Y29895" s="501"/>
    </row>
    <row r="29896" spans="25:25" hidden="1" x14ac:dyDescent="0.25">
      <c r="Y29896" s="501"/>
    </row>
    <row r="29897" spans="25:25" hidden="1" x14ac:dyDescent="0.25">
      <c r="Y29897" s="501"/>
    </row>
    <row r="29898" spans="25:25" hidden="1" x14ac:dyDescent="0.25">
      <c r="Y29898" s="501"/>
    </row>
    <row r="29899" spans="25:25" hidden="1" x14ac:dyDescent="0.25">
      <c r="Y29899" s="501"/>
    </row>
    <row r="29900" spans="25:25" hidden="1" x14ac:dyDescent="0.25">
      <c r="Y29900" s="501"/>
    </row>
    <row r="29901" spans="25:25" hidden="1" x14ac:dyDescent="0.25">
      <c r="Y29901" s="501"/>
    </row>
    <row r="29902" spans="25:25" hidden="1" x14ac:dyDescent="0.25">
      <c r="Y29902" s="501"/>
    </row>
    <row r="29903" spans="25:25" hidden="1" x14ac:dyDescent="0.25">
      <c r="Y29903" s="501"/>
    </row>
    <row r="29904" spans="25:25" hidden="1" x14ac:dyDescent="0.25">
      <c r="Y29904" s="501"/>
    </row>
    <row r="29905" spans="25:25" hidden="1" x14ac:dyDescent="0.25">
      <c r="Y29905" s="501"/>
    </row>
    <row r="29906" spans="25:25" hidden="1" x14ac:dyDescent="0.25">
      <c r="Y29906" s="501"/>
    </row>
    <row r="29907" spans="25:25" hidden="1" x14ac:dyDescent="0.25">
      <c r="Y29907" s="501"/>
    </row>
    <row r="29908" spans="25:25" hidden="1" x14ac:dyDescent="0.25">
      <c r="Y29908" s="501"/>
    </row>
    <row r="29909" spans="25:25" hidden="1" x14ac:dyDescent="0.25">
      <c r="Y29909" s="501"/>
    </row>
    <row r="29910" spans="25:25" hidden="1" x14ac:dyDescent="0.25">
      <c r="Y29910" s="501"/>
    </row>
    <row r="29911" spans="25:25" hidden="1" x14ac:dyDescent="0.25">
      <c r="Y29911" s="501"/>
    </row>
    <row r="29912" spans="25:25" hidden="1" x14ac:dyDescent="0.25">
      <c r="Y29912" s="501"/>
    </row>
    <row r="29913" spans="25:25" hidden="1" x14ac:dyDescent="0.25">
      <c r="Y29913" s="501"/>
    </row>
    <row r="29914" spans="25:25" hidden="1" x14ac:dyDescent="0.25">
      <c r="Y29914" s="501"/>
    </row>
    <row r="29915" spans="25:25" hidden="1" x14ac:dyDescent="0.25">
      <c r="Y29915" s="501"/>
    </row>
    <row r="29916" spans="25:25" hidden="1" x14ac:dyDescent="0.25">
      <c r="Y29916" s="501"/>
    </row>
    <row r="29917" spans="25:25" hidden="1" x14ac:dyDescent="0.25">
      <c r="Y29917" s="501"/>
    </row>
    <row r="29918" spans="25:25" hidden="1" x14ac:dyDescent="0.25">
      <c r="Y29918" s="501"/>
    </row>
    <row r="29919" spans="25:25" hidden="1" x14ac:dyDescent="0.25">
      <c r="Y29919" s="501"/>
    </row>
    <row r="29920" spans="25:25" hidden="1" x14ac:dyDescent="0.25">
      <c r="Y29920" s="501"/>
    </row>
    <row r="29921" spans="25:25" hidden="1" x14ac:dyDescent="0.25">
      <c r="Y29921" s="501"/>
    </row>
    <row r="29922" spans="25:25" hidden="1" x14ac:dyDescent="0.25">
      <c r="Y29922" s="501"/>
    </row>
    <row r="29923" spans="25:25" hidden="1" x14ac:dyDescent="0.25">
      <c r="Y29923" s="501"/>
    </row>
    <row r="29924" spans="25:25" hidden="1" x14ac:dyDescent="0.25">
      <c r="Y29924" s="501"/>
    </row>
    <row r="29925" spans="25:25" hidden="1" x14ac:dyDescent="0.25">
      <c r="Y29925" s="501"/>
    </row>
    <row r="29926" spans="25:25" hidden="1" x14ac:dyDescent="0.25">
      <c r="Y29926" s="501"/>
    </row>
    <row r="29927" spans="25:25" hidden="1" x14ac:dyDescent="0.25">
      <c r="Y29927" s="501"/>
    </row>
    <row r="29928" spans="25:25" hidden="1" x14ac:dyDescent="0.25">
      <c r="Y29928" s="501"/>
    </row>
    <row r="29929" spans="25:25" hidden="1" x14ac:dyDescent="0.25">
      <c r="Y29929" s="501"/>
    </row>
    <row r="29930" spans="25:25" hidden="1" x14ac:dyDescent="0.25">
      <c r="Y29930" s="501"/>
    </row>
    <row r="29931" spans="25:25" hidden="1" x14ac:dyDescent="0.25">
      <c r="Y29931" s="501"/>
    </row>
    <row r="29932" spans="25:25" hidden="1" x14ac:dyDescent="0.25">
      <c r="Y29932" s="501"/>
    </row>
    <row r="29933" spans="25:25" hidden="1" x14ac:dyDescent="0.25">
      <c r="Y29933" s="501"/>
    </row>
    <row r="29934" spans="25:25" hidden="1" x14ac:dyDescent="0.25">
      <c r="Y29934" s="501"/>
    </row>
    <row r="29935" spans="25:25" hidden="1" x14ac:dyDescent="0.25">
      <c r="Y29935" s="501"/>
    </row>
    <row r="29936" spans="25:25" hidden="1" x14ac:dyDescent="0.25">
      <c r="Y29936" s="501"/>
    </row>
    <row r="29937" spans="25:25" hidden="1" x14ac:dyDescent="0.25">
      <c r="Y29937" s="501"/>
    </row>
    <row r="29938" spans="25:25" hidden="1" x14ac:dyDescent="0.25">
      <c r="Y29938" s="501"/>
    </row>
    <row r="29939" spans="25:25" hidden="1" x14ac:dyDescent="0.25">
      <c r="Y29939" s="501"/>
    </row>
    <row r="29940" spans="25:25" hidden="1" x14ac:dyDescent="0.25">
      <c r="Y29940" s="501"/>
    </row>
    <row r="29941" spans="25:25" hidden="1" x14ac:dyDescent="0.25">
      <c r="Y29941" s="501"/>
    </row>
    <row r="29942" spans="25:25" hidden="1" x14ac:dyDescent="0.25">
      <c r="Y29942" s="501"/>
    </row>
    <row r="29943" spans="25:25" hidden="1" x14ac:dyDescent="0.25">
      <c r="Y29943" s="501"/>
    </row>
    <row r="29944" spans="25:25" hidden="1" x14ac:dyDescent="0.25">
      <c r="Y29944" s="501"/>
    </row>
    <row r="29945" spans="25:25" hidden="1" x14ac:dyDescent="0.25">
      <c r="Y29945" s="501"/>
    </row>
    <row r="29946" spans="25:25" hidden="1" x14ac:dyDescent="0.25">
      <c r="Y29946" s="501"/>
    </row>
    <row r="29947" spans="25:25" hidden="1" x14ac:dyDescent="0.25">
      <c r="Y29947" s="501"/>
    </row>
    <row r="29948" spans="25:25" hidden="1" x14ac:dyDescent="0.25">
      <c r="Y29948" s="501"/>
    </row>
    <row r="29949" spans="25:25" hidden="1" x14ac:dyDescent="0.25">
      <c r="Y29949" s="501"/>
    </row>
    <row r="29950" spans="25:25" hidden="1" x14ac:dyDescent="0.25">
      <c r="Y29950" s="501"/>
    </row>
    <row r="29951" spans="25:25" hidden="1" x14ac:dyDescent="0.25">
      <c r="Y29951" s="501"/>
    </row>
    <row r="29952" spans="25:25" hidden="1" x14ac:dyDescent="0.25">
      <c r="Y29952" s="501"/>
    </row>
    <row r="29953" spans="25:25" hidden="1" x14ac:dyDescent="0.25">
      <c r="Y29953" s="501"/>
    </row>
    <row r="29954" spans="25:25" hidden="1" x14ac:dyDescent="0.25">
      <c r="Y29954" s="501"/>
    </row>
    <row r="29955" spans="25:25" hidden="1" x14ac:dyDescent="0.25">
      <c r="Y29955" s="501"/>
    </row>
    <row r="29956" spans="25:25" hidden="1" x14ac:dyDescent="0.25">
      <c r="Y29956" s="501"/>
    </row>
    <row r="29957" spans="25:25" hidden="1" x14ac:dyDescent="0.25">
      <c r="Y29957" s="501"/>
    </row>
    <row r="29958" spans="25:25" hidden="1" x14ac:dyDescent="0.25">
      <c r="Y29958" s="501"/>
    </row>
    <row r="29959" spans="25:25" hidden="1" x14ac:dyDescent="0.25">
      <c r="Y29959" s="501"/>
    </row>
    <row r="29960" spans="25:25" hidden="1" x14ac:dyDescent="0.25">
      <c r="Y29960" s="501"/>
    </row>
    <row r="29961" spans="25:25" hidden="1" x14ac:dyDescent="0.25">
      <c r="Y29961" s="501"/>
    </row>
    <row r="29962" spans="25:25" hidden="1" x14ac:dyDescent="0.25">
      <c r="Y29962" s="501"/>
    </row>
    <row r="29963" spans="25:25" hidden="1" x14ac:dyDescent="0.25">
      <c r="Y29963" s="501"/>
    </row>
    <row r="29964" spans="25:25" hidden="1" x14ac:dyDescent="0.25">
      <c r="Y29964" s="501"/>
    </row>
    <row r="29965" spans="25:25" hidden="1" x14ac:dyDescent="0.25">
      <c r="Y29965" s="501"/>
    </row>
    <row r="29966" spans="25:25" hidden="1" x14ac:dyDescent="0.25">
      <c r="Y29966" s="501"/>
    </row>
    <row r="29967" spans="25:25" hidden="1" x14ac:dyDescent="0.25">
      <c r="Y29967" s="501"/>
    </row>
    <row r="29968" spans="25:25" hidden="1" x14ac:dyDescent="0.25">
      <c r="Y29968" s="501"/>
    </row>
    <row r="29969" spans="25:25" hidden="1" x14ac:dyDescent="0.25">
      <c r="Y29969" s="501"/>
    </row>
    <row r="29970" spans="25:25" hidden="1" x14ac:dyDescent="0.25">
      <c r="Y29970" s="501"/>
    </row>
    <row r="29971" spans="25:25" hidden="1" x14ac:dyDescent="0.25">
      <c r="Y29971" s="501"/>
    </row>
    <row r="29972" spans="25:25" hidden="1" x14ac:dyDescent="0.25">
      <c r="Y29972" s="501"/>
    </row>
    <row r="29973" spans="25:25" hidden="1" x14ac:dyDescent="0.25">
      <c r="Y29973" s="501"/>
    </row>
    <row r="29974" spans="25:25" hidden="1" x14ac:dyDescent="0.25">
      <c r="Y29974" s="501"/>
    </row>
    <row r="29975" spans="25:25" hidden="1" x14ac:dyDescent="0.25">
      <c r="Y29975" s="501"/>
    </row>
    <row r="29976" spans="25:25" hidden="1" x14ac:dyDescent="0.25">
      <c r="Y29976" s="501"/>
    </row>
    <row r="29977" spans="25:25" hidden="1" x14ac:dyDescent="0.25">
      <c r="Y29977" s="501"/>
    </row>
    <row r="29978" spans="25:25" hidden="1" x14ac:dyDescent="0.25">
      <c r="Y29978" s="501"/>
    </row>
    <row r="29979" spans="25:25" hidden="1" x14ac:dyDescent="0.25">
      <c r="Y29979" s="501"/>
    </row>
    <row r="29980" spans="25:25" hidden="1" x14ac:dyDescent="0.25">
      <c r="Y29980" s="501"/>
    </row>
    <row r="29981" spans="25:25" hidden="1" x14ac:dyDescent="0.25">
      <c r="Y29981" s="501"/>
    </row>
    <row r="29982" spans="25:25" hidden="1" x14ac:dyDescent="0.25">
      <c r="Y29982" s="501"/>
    </row>
    <row r="29983" spans="25:25" hidden="1" x14ac:dyDescent="0.25">
      <c r="Y29983" s="501"/>
    </row>
    <row r="29984" spans="25:25" hidden="1" x14ac:dyDescent="0.25">
      <c r="Y29984" s="501"/>
    </row>
    <row r="29985" spans="25:25" hidden="1" x14ac:dyDescent="0.25">
      <c r="Y29985" s="501"/>
    </row>
    <row r="29986" spans="25:25" hidden="1" x14ac:dyDescent="0.25">
      <c r="Y29986" s="501"/>
    </row>
    <row r="29987" spans="25:25" hidden="1" x14ac:dyDescent="0.25">
      <c r="Y29987" s="501"/>
    </row>
    <row r="29988" spans="25:25" hidden="1" x14ac:dyDescent="0.25">
      <c r="Y29988" s="501"/>
    </row>
    <row r="29989" spans="25:25" hidden="1" x14ac:dyDescent="0.25">
      <c r="Y29989" s="501"/>
    </row>
    <row r="29990" spans="25:25" hidden="1" x14ac:dyDescent="0.25">
      <c r="Y29990" s="501"/>
    </row>
    <row r="29991" spans="25:25" hidden="1" x14ac:dyDescent="0.25">
      <c r="Y29991" s="501"/>
    </row>
    <row r="29992" spans="25:25" hidden="1" x14ac:dyDescent="0.25">
      <c r="Y29992" s="501"/>
    </row>
    <row r="29993" spans="25:25" hidden="1" x14ac:dyDescent="0.25">
      <c r="Y29993" s="501"/>
    </row>
    <row r="29994" spans="25:25" hidden="1" x14ac:dyDescent="0.25">
      <c r="Y29994" s="501"/>
    </row>
    <row r="29995" spans="25:25" hidden="1" x14ac:dyDescent="0.25">
      <c r="Y29995" s="501"/>
    </row>
    <row r="29996" spans="25:25" hidden="1" x14ac:dyDescent="0.25">
      <c r="Y29996" s="501"/>
    </row>
    <row r="29997" spans="25:25" hidden="1" x14ac:dyDescent="0.25">
      <c r="Y29997" s="501"/>
    </row>
    <row r="29998" spans="25:25" hidden="1" x14ac:dyDescent="0.25">
      <c r="Y29998" s="501"/>
    </row>
    <row r="29999" spans="25:25" hidden="1" x14ac:dyDescent="0.25">
      <c r="Y29999" s="501"/>
    </row>
    <row r="30000" spans="25:25" hidden="1" x14ac:dyDescent="0.25">
      <c r="Y30000" s="501"/>
    </row>
    <row r="30001" spans="25:25" hidden="1" x14ac:dyDescent="0.25">
      <c r="Y30001" s="501"/>
    </row>
    <row r="30002" spans="25:25" hidden="1" x14ac:dyDescent="0.25">
      <c r="Y30002" s="501"/>
    </row>
    <row r="30003" spans="25:25" hidden="1" x14ac:dyDescent="0.25">
      <c r="Y30003" s="501"/>
    </row>
    <row r="30004" spans="25:25" hidden="1" x14ac:dyDescent="0.25">
      <c r="Y30004" s="501"/>
    </row>
    <row r="30005" spans="25:25" hidden="1" x14ac:dyDescent="0.25">
      <c r="Y30005" s="501"/>
    </row>
    <row r="30006" spans="25:25" hidden="1" x14ac:dyDescent="0.25">
      <c r="Y30006" s="501"/>
    </row>
    <row r="30007" spans="25:25" hidden="1" x14ac:dyDescent="0.25">
      <c r="Y30007" s="501"/>
    </row>
    <row r="30008" spans="25:25" hidden="1" x14ac:dyDescent="0.25">
      <c r="Y30008" s="501"/>
    </row>
    <row r="30009" spans="25:25" hidden="1" x14ac:dyDescent="0.25">
      <c r="Y30009" s="501"/>
    </row>
    <row r="30010" spans="25:25" hidden="1" x14ac:dyDescent="0.25">
      <c r="Y30010" s="501"/>
    </row>
    <row r="30011" spans="25:25" hidden="1" x14ac:dyDescent="0.25">
      <c r="Y30011" s="501"/>
    </row>
    <row r="30012" spans="25:25" hidden="1" x14ac:dyDescent="0.25">
      <c r="Y30012" s="501"/>
    </row>
    <row r="30013" spans="25:25" hidden="1" x14ac:dyDescent="0.25">
      <c r="Y30013" s="501"/>
    </row>
    <row r="30014" spans="25:25" hidden="1" x14ac:dyDescent="0.25">
      <c r="Y30014" s="501"/>
    </row>
    <row r="30015" spans="25:25" hidden="1" x14ac:dyDescent="0.25">
      <c r="Y30015" s="501"/>
    </row>
    <row r="30016" spans="25:25" hidden="1" x14ac:dyDescent="0.25">
      <c r="Y30016" s="501"/>
    </row>
    <row r="30017" spans="25:25" hidden="1" x14ac:dyDescent="0.25">
      <c r="Y30017" s="501"/>
    </row>
    <row r="30018" spans="25:25" hidden="1" x14ac:dyDescent="0.25">
      <c r="Y30018" s="501"/>
    </row>
    <row r="30019" spans="25:25" hidden="1" x14ac:dyDescent="0.25">
      <c r="Y30019" s="501"/>
    </row>
    <row r="30020" spans="25:25" hidden="1" x14ac:dyDescent="0.25">
      <c r="Y30020" s="501"/>
    </row>
    <row r="30021" spans="25:25" hidden="1" x14ac:dyDescent="0.25">
      <c r="Y30021" s="501"/>
    </row>
    <row r="30022" spans="25:25" hidden="1" x14ac:dyDescent="0.25">
      <c r="Y30022" s="501"/>
    </row>
    <row r="30023" spans="25:25" hidden="1" x14ac:dyDescent="0.25">
      <c r="Y30023" s="501"/>
    </row>
    <row r="30024" spans="25:25" hidden="1" x14ac:dyDescent="0.25">
      <c r="Y30024" s="501"/>
    </row>
    <row r="30025" spans="25:25" hidden="1" x14ac:dyDescent="0.25">
      <c r="Y30025" s="501"/>
    </row>
    <row r="30026" spans="25:25" hidden="1" x14ac:dyDescent="0.25">
      <c r="Y30026" s="501"/>
    </row>
    <row r="30027" spans="25:25" hidden="1" x14ac:dyDescent="0.25">
      <c r="Y30027" s="501"/>
    </row>
    <row r="30028" spans="25:25" hidden="1" x14ac:dyDescent="0.25">
      <c r="Y30028" s="501"/>
    </row>
    <row r="30029" spans="25:25" hidden="1" x14ac:dyDescent="0.25">
      <c r="Y30029" s="501"/>
    </row>
    <row r="30030" spans="25:25" hidden="1" x14ac:dyDescent="0.25">
      <c r="Y30030" s="501"/>
    </row>
    <row r="30031" spans="25:25" hidden="1" x14ac:dyDescent="0.25">
      <c r="Y30031" s="501"/>
    </row>
    <row r="30032" spans="25:25" hidden="1" x14ac:dyDescent="0.25">
      <c r="Y30032" s="501"/>
    </row>
    <row r="30033" spans="25:25" hidden="1" x14ac:dyDescent="0.25">
      <c r="Y30033" s="501"/>
    </row>
    <row r="30034" spans="25:25" hidden="1" x14ac:dyDescent="0.25">
      <c r="Y30034" s="501"/>
    </row>
    <row r="30035" spans="25:25" hidden="1" x14ac:dyDescent="0.25">
      <c r="Y30035" s="501"/>
    </row>
    <row r="30036" spans="25:25" hidden="1" x14ac:dyDescent="0.25">
      <c r="Y30036" s="501"/>
    </row>
    <row r="30037" spans="25:25" hidden="1" x14ac:dyDescent="0.25">
      <c r="Y30037" s="501"/>
    </row>
    <row r="30038" spans="25:25" hidden="1" x14ac:dyDescent="0.25">
      <c r="Y30038" s="501"/>
    </row>
    <row r="30039" spans="25:25" hidden="1" x14ac:dyDescent="0.25">
      <c r="Y30039" s="501"/>
    </row>
    <row r="30040" spans="25:25" hidden="1" x14ac:dyDescent="0.25">
      <c r="Y30040" s="501"/>
    </row>
    <row r="30041" spans="25:25" hidden="1" x14ac:dyDescent="0.25">
      <c r="Y30041" s="501"/>
    </row>
    <row r="30042" spans="25:25" hidden="1" x14ac:dyDescent="0.25">
      <c r="Y30042" s="501"/>
    </row>
    <row r="30043" spans="25:25" hidden="1" x14ac:dyDescent="0.25">
      <c r="Y30043" s="501"/>
    </row>
    <row r="30044" spans="25:25" hidden="1" x14ac:dyDescent="0.25">
      <c r="Y30044" s="501"/>
    </row>
    <row r="30045" spans="25:25" hidden="1" x14ac:dyDescent="0.25">
      <c r="Y30045" s="501"/>
    </row>
    <row r="30046" spans="25:25" hidden="1" x14ac:dyDescent="0.25">
      <c r="Y30046" s="501"/>
    </row>
    <row r="30047" spans="25:25" hidden="1" x14ac:dyDescent="0.25">
      <c r="Y30047" s="501"/>
    </row>
    <row r="30048" spans="25:25" hidden="1" x14ac:dyDescent="0.25">
      <c r="Y30048" s="501"/>
    </row>
    <row r="30049" spans="25:25" hidden="1" x14ac:dyDescent="0.25">
      <c r="Y30049" s="501"/>
    </row>
    <row r="30050" spans="25:25" hidden="1" x14ac:dyDescent="0.25">
      <c r="Y30050" s="501"/>
    </row>
    <row r="30051" spans="25:25" hidden="1" x14ac:dyDescent="0.25">
      <c r="Y30051" s="501"/>
    </row>
    <row r="30052" spans="25:25" hidden="1" x14ac:dyDescent="0.25">
      <c r="Y30052" s="501"/>
    </row>
    <row r="30053" spans="25:25" hidden="1" x14ac:dyDescent="0.25">
      <c r="Y30053" s="501"/>
    </row>
    <row r="30054" spans="25:25" hidden="1" x14ac:dyDescent="0.25">
      <c r="Y30054" s="501"/>
    </row>
    <row r="30055" spans="25:25" hidden="1" x14ac:dyDescent="0.25">
      <c r="Y30055" s="501"/>
    </row>
    <row r="30056" spans="25:25" hidden="1" x14ac:dyDescent="0.25">
      <c r="Y30056" s="501"/>
    </row>
    <row r="30057" spans="25:25" hidden="1" x14ac:dyDescent="0.25">
      <c r="Y30057" s="501"/>
    </row>
    <row r="30058" spans="25:25" hidden="1" x14ac:dyDescent="0.25">
      <c r="Y30058" s="501"/>
    </row>
    <row r="30059" spans="25:25" hidden="1" x14ac:dyDescent="0.25">
      <c r="Y30059" s="501"/>
    </row>
    <row r="30060" spans="25:25" hidden="1" x14ac:dyDescent="0.25">
      <c r="Y30060" s="501"/>
    </row>
    <row r="30061" spans="25:25" hidden="1" x14ac:dyDescent="0.25">
      <c r="Y30061" s="501"/>
    </row>
    <row r="30062" spans="25:25" hidden="1" x14ac:dyDescent="0.25">
      <c r="Y30062" s="501"/>
    </row>
    <row r="30063" spans="25:25" hidden="1" x14ac:dyDescent="0.25">
      <c r="Y30063" s="501"/>
    </row>
    <row r="30064" spans="25:25" hidden="1" x14ac:dyDescent="0.25">
      <c r="Y30064" s="501"/>
    </row>
    <row r="30065" spans="25:25" hidden="1" x14ac:dyDescent="0.25">
      <c r="Y30065" s="501"/>
    </row>
    <row r="30066" spans="25:25" hidden="1" x14ac:dyDescent="0.25">
      <c r="Y30066" s="501"/>
    </row>
    <row r="30067" spans="25:25" hidden="1" x14ac:dyDescent="0.25">
      <c r="Y30067" s="501"/>
    </row>
    <row r="30068" spans="25:25" hidden="1" x14ac:dyDescent="0.25">
      <c r="Y30068" s="501"/>
    </row>
    <row r="30069" spans="25:25" hidden="1" x14ac:dyDescent="0.25">
      <c r="Y30069" s="501"/>
    </row>
    <row r="30070" spans="25:25" hidden="1" x14ac:dyDescent="0.25">
      <c r="Y30070" s="501"/>
    </row>
    <row r="30071" spans="25:25" hidden="1" x14ac:dyDescent="0.25">
      <c r="Y30071" s="501"/>
    </row>
    <row r="30072" spans="25:25" hidden="1" x14ac:dyDescent="0.25">
      <c r="Y30072" s="501"/>
    </row>
    <row r="30073" spans="25:25" hidden="1" x14ac:dyDescent="0.25">
      <c r="Y30073" s="501"/>
    </row>
    <row r="30074" spans="25:25" hidden="1" x14ac:dyDescent="0.25">
      <c r="Y30074" s="501"/>
    </row>
    <row r="30075" spans="25:25" hidden="1" x14ac:dyDescent="0.25">
      <c r="Y30075" s="501"/>
    </row>
    <row r="30076" spans="25:25" hidden="1" x14ac:dyDescent="0.25">
      <c r="Y30076" s="501"/>
    </row>
    <row r="30077" spans="25:25" hidden="1" x14ac:dyDescent="0.25">
      <c r="Y30077" s="501"/>
    </row>
    <row r="30078" spans="25:25" hidden="1" x14ac:dyDescent="0.25">
      <c r="Y30078" s="501"/>
    </row>
    <row r="30079" spans="25:25" hidden="1" x14ac:dyDescent="0.25">
      <c r="Y30079" s="501"/>
    </row>
    <row r="30080" spans="25:25" hidden="1" x14ac:dyDescent="0.25">
      <c r="Y30080" s="501"/>
    </row>
    <row r="30081" spans="25:25" hidden="1" x14ac:dyDescent="0.25">
      <c r="Y30081" s="501"/>
    </row>
    <row r="30082" spans="25:25" hidden="1" x14ac:dyDescent="0.25">
      <c r="Y30082" s="501"/>
    </row>
    <row r="30083" spans="25:25" hidden="1" x14ac:dyDescent="0.25">
      <c r="Y30083" s="501"/>
    </row>
    <row r="30084" spans="25:25" hidden="1" x14ac:dyDescent="0.25">
      <c r="Y30084" s="501"/>
    </row>
    <row r="30085" spans="25:25" hidden="1" x14ac:dyDescent="0.25">
      <c r="Y30085" s="501"/>
    </row>
    <row r="30086" spans="25:25" hidden="1" x14ac:dyDescent="0.25">
      <c r="Y30086" s="501"/>
    </row>
    <row r="30087" spans="25:25" hidden="1" x14ac:dyDescent="0.25">
      <c r="Y30087" s="501"/>
    </row>
    <row r="30088" spans="25:25" hidden="1" x14ac:dyDescent="0.25">
      <c r="Y30088" s="501"/>
    </row>
    <row r="30089" spans="25:25" hidden="1" x14ac:dyDescent="0.25">
      <c r="Y30089" s="501"/>
    </row>
    <row r="30090" spans="25:25" hidden="1" x14ac:dyDescent="0.25">
      <c r="Y30090" s="501"/>
    </row>
    <row r="30091" spans="25:25" hidden="1" x14ac:dyDescent="0.25">
      <c r="Y30091" s="501"/>
    </row>
    <row r="30092" spans="25:25" hidden="1" x14ac:dyDescent="0.25">
      <c r="Y30092" s="501"/>
    </row>
    <row r="30093" spans="25:25" hidden="1" x14ac:dyDescent="0.25">
      <c r="Y30093" s="501"/>
    </row>
    <row r="30094" spans="25:25" hidden="1" x14ac:dyDescent="0.25">
      <c r="Y30094" s="501"/>
    </row>
    <row r="30095" spans="25:25" hidden="1" x14ac:dyDescent="0.25">
      <c r="Y30095" s="501"/>
    </row>
    <row r="30096" spans="25:25" hidden="1" x14ac:dyDescent="0.25">
      <c r="Y30096" s="501"/>
    </row>
    <row r="30097" spans="25:25" hidden="1" x14ac:dyDescent="0.25">
      <c r="Y30097" s="501"/>
    </row>
    <row r="30098" spans="25:25" hidden="1" x14ac:dyDescent="0.25">
      <c r="Y30098" s="501"/>
    </row>
    <row r="30099" spans="25:25" hidden="1" x14ac:dyDescent="0.25">
      <c r="Y30099" s="501"/>
    </row>
    <row r="30100" spans="25:25" hidden="1" x14ac:dyDescent="0.25">
      <c r="Y30100" s="501"/>
    </row>
    <row r="30101" spans="25:25" hidden="1" x14ac:dyDescent="0.25">
      <c r="Y30101" s="501"/>
    </row>
    <row r="30102" spans="25:25" hidden="1" x14ac:dyDescent="0.25">
      <c r="Y30102" s="501"/>
    </row>
    <row r="30103" spans="25:25" hidden="1" x14ac:dyDescent="0.25">
      <c r="Y30103" s="501"/>
    </row>
    <row r="30104" spans="25:25" hidden="1" x14ac:dyDescent="0.25">
      <c r="Y30104" s="501"/>
    </row>
    <row r="30105" spans="25:25" hidden="1" x14ac:dyDescent="0.25">
      <c r="Y30105" s="501"/>
    </row>
    <row r="30106" spans="25:25" hidden="1" x14ac:dyDescent="0.25">
      <c r="Y30106" s="501"/>
    </row>
    <row r="30107" spans="25:25" hidden="1" x14ac:dyDescent="0.25">
      <c r="Y30107" s="501"/>
    </row>
    <row r="30108" spans="25:25" hidden="1" x14ac:dyDescent="0.25">
      <c r="Y30108" s="501"/>
    </row>
    <row r="30109" spans="25:25" hidden="1" x14ac:dyDescent="0.25">
      <c r="Y30109" s="501"/>
    </row>
    <row r="30110" spans="25:25" hidden="1" x14ac:dyDescent="0.25">
      <c r="Y30110" s="501"/>
    </row>
    <row r="30111" spans="25:25" hidden="1" x14ac:dyDescent="0.25">
      <c r="Y30111" s="501"/>
    </row>
    <row r="30112" spans="25:25" hidden="1" x14ac:dyDescent="0.25">
      <c r="Y30112" s="501"/>
    </row>
    <row r="30113" spans="25:25" hidden="1" x14ac:dyDescent="0.25">
      <c r="Y30113" s="501"/>
    </row>
    <row r="30114" spans="25:25" hidden="1" x14ac:dyDescent="0.25">
      <c r="Y30114" s="501"/>
    </row>
    <row r="30115" spans="25:25" hidden="1" x14ac:dyDescent="0.25">
      <c r="Y30115" s="501"/>
    </row>
    <row r="30116" spans="25:25" hidden="1" x14ac:dyDescent="0.25">
      <c r="Y30116" s="501"/>
    </row>
    <row r="30117" spans="25:25" hidden="1" x14ac:dyDescent="0.25">
      <c r="Y30117" s="501"/>
    </row>
    <row r="30118" spans="25:25" hidden="1" x14ac:dyDescent="0.25">
      <c r="Y30118" s="501"/>
    </row>
    <row r="30119" spans="25:25" hidden="1" x14ac:dyDescent="0.25">
      <c r="Y30119" s="501"/>
    </row>
    <row r="30120" spans="25:25" hidden="1" x14ac:dyDescent="0.25">
      <c r="Y30120" s="501"/>
    </row>
    <row r="30121" spans="25:25" hidden="1" x14ac:dyDescent="0.25">
      <c r="Y30121" s="501"/>
    </row>
    <row r="30122" spans="25:25" hidden="1" x14ac:dyDescent="0.25">
      <c r="Y30122" s="501"/>
    </row>
    <row r="30123" spans="25:25" hidden="1" x14ac:dyDescent="0.25">
      <c r="Y30123" s="501"/>
    </row>
    <row r="30124" spans="25:25" hidden="1" x14ac:dyDescent="0.25">
      <c r="Y30124" s="501"/>
    </row>
    <row r="30125" spans="25:25" hidden="1" x14ac:dyDescent="0.25">
      <c r="Y30125" s="501"/>
    </row>
    <row r="30126" spans="25:25" hidden="1" x14ac:dyDescent="0.25">
      <c r="Y30126" s="501"/>
    </row>
    <row r="30127" spans="25:25" hidden="1" x14ac:dyDescent="0.25">
      <c r="Y30127" s="501"/>
    </row>
    <row r="30128" spans="25:25" hidden="1" x14ac:dyDescent="0.25">
      <c r="Y30128" s="501"/>
    </row>
    <row r="30129" spans="25:25" hidden="1" x14ac:dyDescent="0.25">
      <c r="Y30129" s="501"/>
    </row>
    <row r="30130" spans="25:25" hidden="1" x14ac:dyDescent="0.25">
      <c r="Y30130" s="501"/>
    </row>
    <row r="30131" spans="25:25" hidden="1" x14ac:dyDescent="0.25">
      <c r="Y30131" s="501"/>
    </row>
    <row r="30132" spans="25:25" hidden="1" x14ac:dyDescent="0.25">
      <c r="Y30132" s="501"/>
    </row>
    <row r="30133" spans="25:25" hidden="1" x14ac:dyDescent="0.25">
      <c r="Y30133" s="501"/>
    </row>
    <row r="30134" spans="25:25" hidden="1" x14ac:dyDescent="0.25">
      <c r="Y30134" s="501"/>
    </row>
    <row r="30135" spans="25:25" hidden="1" x14ac:dyDescent="0.25">
      <c r="Y30135" s="501"/>
    </row>
    <row r="30136" spans="25:25" hidden="1" x14ac:dyDescent="0.25">
      <c r="Y30136" s="501"/>
    </row>
    <row r="30137" spans="25:25" hidden="1" x14ac:dyDescent="0.25">
      <c r="Y30137" s="501"/>
    </row>
    <row r="30138" spans="25:25" hidden="1" x14ac:dyDescent="0.25">
      <c r="Y30138" s="501"/>
    </row>
    <row r="30139" spans="25:25" hidden="1" x14ac:dyDescent="0.25">
      <c r="Y30139" s="501"/>
    </row>
    <row r="30140" spans="25:25" hidden="1" x14ac:dyDescent="0.25">
      <c r="Y30140" s="501"/>
    </row>
    <row r="30141" spans="25:25" hidden="1" x14ac:dyDescent="0.25">
      <c r="Y30141" s="501"/>
    </row>
    <row r="30142" spans="25:25" hidden="1" x14ac:dyDescent="0.25">
      <c r="Y30142" s="501"/>
    </row>
    <row r="30143" spans="25:25" hidden="1" x14ac:dyDescent="0.25">
      <c r="Y30143" s="501"/>
    </row>
    <row r="30144" spans="25:25" hidden="1" x14ac:dyDescent="0.25">
      <c r="Y30144" s="501"/>
    </row>
    <row r="30145" spans="25:25" hidden="1" x14ac:dyDescent="0.25">
      <c r="Y30145" s="501"/>
    </row>
    <row r="30146" spans="25:25" hidden="1" x14ac:dyDescent="0.25">
      <c r="Y30146" s="501"/>
    </row>
    <row r="30147" spans="25:25" hidden="1" x14ac:dyDescent="0.25">
      <c r="Y30147" s="501"/>
    </row>
    <row r="30148" spans="25:25" hidden="1" x14ac:dyDescent="0.25">
      <c r="Y30148" s="501"/>
    </row>
    <row r="30149" spans="25:25" hidden="1" x14ac:dyDescent="0.25">
      <c r="Y30149" s="501"/>
    </row>
    <row r="30150" spans="25:25" hidden="1" x14ac:dyDescent="0.25">
      <c r="Y30150" s="501"/>
    </row>
    <row r="30151" spans="25:25" hidden="1" x14ac:dyDescent="0.25">
      <c r="Y30151" s="501"/>
    </row>
    <row r="30152" spans="25:25" hidden="1" x14ac:dyDescent="0.25">
      <c r="Y30152" s="501"/>
    </row>
    <row r="30153" spans="25:25" hidden="1" x14ac:dyDescent="0.25">
      <c r="Y30153" s="501"/>
    </row>
    <row r="30154" spans="25:25" hidden="1" x14ac:dyDescent="0.25">
      <c r="Y30154" s="501"/>
    </row>
    <row r="30155" spans="25:25" hidden="1" x14ac:dyDescent="0.25">
      <c r="Y30155" s="501"/>
    </row>
    <row r="30156" spans="25:25" hidden="1" x14ac:dyDescent="0.25">
      <c r="Y30156" s="501"/>
    </row>
    <row r="30157" spans="25:25" hidden="1" x14ac:dyDescent="0.25">
      <c r="Y30157" s="501"/>
    </row>
    <row r="30158" spans="25:25" hidden="1" x14ac:dyDescent="0.25">
      <c r="Y30158" s="501"/>
    </row>
    <row r="30159" spans="25:25" hidden="1" x14ac:dyDescent="0.25">
      <c r="Y30159" s="501"/>
    </row>
    <row r="30160" spans="25:25" hidden="1" x14ac:dyDescent="0.25">
      <c r="Y30160" s="501"/>
    </row>
    <row r="30161" spans="25:25" hidden="1" x14ac:dyDescent="0.25">
      <c r="Y30161" s="501"/>
    </row>
    <row r="30162" spans="25:25" hidden="1" x14ac:dyDescent="0.25">
      <c r="Y30162" s="501"/>
    </row>
    <row r="30163" spans="25:25" hidden="1" x14ac:dyDescent="0.25">
      <c r="Y30163" s="501"/>
    </row>
    <row r="30164" spans="25:25" hidden="1" x14ac:dyDescent="0.25">
      <c r="Y30164" s="501"/>
    </row>
    <row r="30165" spans="25:25" hidden="1" x14ac:dyDescent="0.25">
      <c r="Y30165" s="501"/>
    </row>
    <row r="30166" spans="25:25" hidden="1" x14ac:dyDescent="0.25">
      <c r="Y30166" s="501"/>
    </row>
    <row r="30167" spans="25:25" hidden="1" x14ac:dyDescent="0.25">
      <c r="Y30167" s="501"/>
    </row>
    <row r="30168" spans="25:25" hidden="1" x14ac:dyDescent="0.25">
      <c r="Y30168" s="501"/>
    </row>
    <row r="30169" spans="25:25" hidden="1" x14ac:dyDescent="0.25">
      <c r="Y30169" s="501"/>
    </row>
    <row r="30170" spans="25:25" hidden="1" x14ac:dyDescent="0.25">
      <c r="Y30170" s="501"/>
    </row>
    <row r="30171" spans="25:25" hidden="1" x14ac:dyDescent="0.25">
      <c r="Y30171" s="501"/>
    </row>
    <row r="30172" spans="25:25" hidden="1" x14ac:dyDescent="0.25">
      <c r="Y30172" s="501"/>
    </row>
    <row r="30173" spans="25:25" hidden="1" x14ac:dyDescent="0.25">
      <c r="Y30173" s="501"/>
    </row>
    <row r="30174" spans="25:25" hidden="1" x14ac:dyDescent="0.25">
      <c r="Y30174" s="501"/>
    </row>
    <row r="30175" spans="25:25" hidden="1" x14ac:dyDescent="0.25">
      <c r="Y30175" s="501"/>
    </row>
    <row r="30176" spans="25:25" hidden="1" x14ac:dyDescent="0.25">
      <c r="Y30176" s="501"/>
    </row>
    <row r="30177" spans="25:25" hidden="1" x14ac:dyDescent="0.25">
      <c r="Y30177" s="501"/>
    </row>
    <row r="30178" spans="25:25" hidden="1" x14ac:dyDescent="0.25">
      <c r="Y30178" s="501"/>
    </row>
    <row r="30179" spans="25:25" hidden="1" x14ac:dyDescent="0.25">
      <c r="Y30179" s="501"/>
    </row>
    <row r="30180" spans="25:25" hidden="1" x14ac:dyDescent="0.25">
      <c r="Y30180" s="501"/>
    </row>
    <row r="30181" spans="25:25" hidden="1" x14ac:dyDescent="0.25">
      <c r="Y30181" s="501"/>
    </row>
    <row r="30182" spans="25:25" hidden="1" x14ac:dyDescent="0.25">
      <c r="Y30182" s="501"/>
    </row>
    <row r="30183" spans="25:25" hidden="1" x14ac:dyDescent="0.25">
      <c r="Y30183" s="501"/>
    </row>
    <row r="30184" spans="25:25" hidden="1" x14ac:dyDescent="0.25">
      <c r="Y30184" s="501"/>
    </row>
    <row r="30185" spans="25:25" hidden="1" x14ac:dyDescent="0.25">
      <c r="Y30185" s="501"/>
    </row>
    <row r="30186" spans="25:25" hidden="1" x14ac:dyDescent="0.25">
      <c r="Y30186" s="501"/>
    </row>
    <row r="30187" spans="25:25" hidden="1" x14ac:dyDescent="0.25">
      <c r="Y30187" s="501"/>
    </row>
    <row r="30188" spans="25:25" hidden="1" x14ac:dyDescent="0.25">
      <c r="Y30188" s="501"/>
    </row>
    <row r="30189" spans="25:25" hidden="1" x14ac:dyDescent="0.25">
      <c r="Y30189" s="501"/>
    </row>
    <row r="30190" spans="25:25" hidden="1" x14ac:dyDescent="0.25">
      <c r="Y30190" s="501"/>
    </row>
    <row r="30191" spans="25:25" hidden="1" x14ac:dyDescent="0.25">
      <c r="Y30191" s="501"/>
    </row>
    <row r="30192" spans="25:25" hidden="1" x14ac:dyDescent="0.25">
      <c r="Y30192" s="501"/>
    </row>
    <row r="30193" spans="25:25" hidden="1" x14ac:dyDescent="0.25">
      <c r="Y30193" s="501"/>
    </row>
    <row r="30194" spans="25:25" hidden="1" x14ac:dyDescent="0.25">
      <c r="Y30194" s="501"/>
    </row>
    <row r="30195" spans="25:25" hidden="1" x14ac:dyDescent="0.25">
      <c r="Y30195" s="501"/>
    </row>
    <row r="30196" spans="25:25" hidden="1" x14ac:dyDescent="0.25">
      <c r="Y30196" s="501"/>
    </row>
    <row r="30197" spans="25:25" hidden="1" x14ac:dyDescent="0.25">
      <c r="Y30197" s="501"/>
    </row>
    <row r="30198" spans="25:25" hidden="1" x14ac:dyDescent="0.25">
      <c r="Y30198" s="501"/>
    </row>
    <row r="30199" spans="25:25" hidden="1" x14ac:dyDescent="0.25">
      <c r="Y30199" s="501"/>
    </row>
    <row r="30200" spans="25:25" hidden="1" x14ac:dyDescent="0.25">
      <c r="Y30200" s="501"/>
    </row>
    <row r="30201" spans="25:25" hidden="1" x14ac:dyDescent="0.25">
      <c r="Y30201" s="501"/>
    </row>
    <row r="30202" spans="25:25" hidden="1" x14ac:dyDescent="0.25">
      <c r="Y30202" s="501"/>
    </row>
    <row r="30203" spans="25:25" hidden="1" x14ac:dyDescent="0.25">
      <c r="Y30203" s="501"/>
    </row>
    <row r="30204" spans="25:25" hidden="1" x14ac:dyDescent="0.25">
      <c r="Y30204" s="501"/>
    </row>
    <row r="30205" spans="25:25" hidden="1" x14ac:dyDescent="0.25">
      <c r="Y30205" s="501"/>
    </row>
    <row r="30206" spans="25:25" hidden="1" x14ac:dyDescent="0.25">
      <c r="Y30206" s="501"/>
    </row>
    <row r="30207" spans="25:25" hidden="1" x14ac:dyDescent="0.25">
      <c r="Y30207" s="501"/>
    </row>
    <row r="30208" spans="25:25" hidden="1" x14ac:dyDescent="0.25">
      <c r="Y30208" s="501"/>
    </row>
    <row r="30209" spans="25:25" hidden="1" x14ac:dyDescent="0.25">
      <c r="Y30209" s="501"/>
    </row>
    <row r="30210" spans="25:25" hidden="1" x14ac:dyDescent="0.25">
      <c r="Y30210" s="501"/>
    </row>
    <row r="30211" spans="25:25" hidden="1" x14ac:dyDescent="0.25">
      <c r="Y30211" s="501"/>
    </row>
    <row r="30212" spans="25:25" hidden="1" x14ac:dyDescent="0.25">
      <c r="Y30212" s="501"/>
    </row>
    <row r="30213" spans="25:25" hidden="1" x14ac:dyDescent="0.25">
      <c r="Y30213" s="501"/>
    </row>
    <row r="30214" spans="25:25" hidden="1" x14ac:dyDescent="0.25">
      <c r="Y30214" s="501"/>
    </row>
    <row r="30215" spans="25:25" hidden="1" x14ac:dyDescent="0.25">
      <c r="Y30215" s="501"/>
    </row>
    <row r="30216" spans="25:25" hidden="1" x14ac:dyDescent="0.25">
      <c r="Y30216" s="501"/>
    </row>
    <row r="30217" spans="25:25" hidden="1" x14ac:dyDescent="0.25">
      <c r="Y30217" s="501"/>
    </row>
    <row r="30218" spans="25:25" hidden="1" x14ac:dyDescent="0.25">
      <c r="Y30218" s="501"/>
    </row>
    <row r="30219" spans="25:25" hidden="1" x14ac:dyDescent="0.25">
      <c r="Y30219" s="501"/>
    </row>
    <row r="30220" spans="25:25" hidden="1" x14ac:dyDescent="0.25">
      <c r="Y30220" s="501"/>
    </row>
    <row r="30221" spans="25:25" hidden="1" x14ac:dyDescent="0.25">
      <c r="Y30221" s="501"/>
    </row>
    <row r="30222" spans="25:25" hidden="1" x14ac:dyDescent="0.25">
      <c r="Y30222" s="501"/>
    </row>
    <row r="30223" spans="25:25" hidden="1" x14ac:dyDescent="0.25">
      <c r="Y30223" s="501"/>
    </row>
    <row r="30224" spans="25:25" hidden="1" x14ac:dyDescent="0.25">
      <c r="Y30224" s="501"/>
    </row>
    <row r="30225" spans="25:25" hidden="1" x14ac:dyDescent="0.25">
      <c r="Y30225" s="501"/>
    </row>
    <row r="30226" spans="25:25" hidden="1" x14ac:dyDescent="0.25">
      <c r="Y30226" s="501"/>
    </row>
    <row r="30227" spans="25:25" hidden="1" x14ac:dyDescent="0.25">
      <c r="Y30227" s="501"/>
    </row>
    <row r="30228" spans="25:25" hidden="1" x14ac:dyDescent="0.25">
      <c r="Y30228" s="501"/>
    </row>
    <row r="30229" spans="25:25" hidden="1" x14ac:dyDescent="0.25">
      <c r="Y30229" s="501"/>
    </row>
    <row r="30230" spans="25:25" hidden="1" x14ac:dyDescent="0.25">
      <c r="Y30230" s="501"/>
    </row>
    <row r="30231" spans="25:25" hidden="1" x14ac:dyDescent="0.25">
      <c r="Y30231" s="501"/>
    </row>
    <row r="30232" spans="25:25" hidden="1" x14ac:dyDescent="0.25">
      <c r="Y30232" s="501"/>
    </row>
    <row r="30233" spans="25:25" hidden="1" x14ac:dyDescent="0.25">
      <c r="Y30233" s="501"/>
    </row>
    <row r="30234" spans="25:25" hidden="1" x14ac:dyDescent="0.25">
      <c r="Y30234" s="501"/>
    </row>
    <row r="30235" spans="25:25" hidden="1" x14ac:dyDescent="0.25">
      <c r="Y30235" s="501"/>
    </row>
    <row r="30236" spans="25:25" hidden="1" x14ac:dyDescent="0.25">
      <c r="Y30236" s="501"/>
    </row>
    <row r="30237" spans="25:25" hidden="1" x14ac:dyDescent="0.25">
      <c r="Y30237" s="501"/>
    </row>
    <row r="30238" spans="25:25" hidden="1" x14ac:dyDescent="0.25">
      <c r="Y30238" s="501"/>
    </row>
    <row r="30239" spans="25:25" hidden="1" x14ac:dyDescent="0.25">
      <c r="Y30239" s="501"/>
    </row>
    <row r="30240" spans="25:25" hidden="1" x14ac:dyDescent="0.25">
      <c r="Y30240" s="501"/>
    </row>
    <row r="30241" spans="25:25" hidden="1" x14ac:dyDescent="0.25">
      <c r="Y30241" s="501"/>
    </row>
    <row r="30242" spans="25:25" hidden="1" x14ac:dyDescent="0.25">
      <c r="Y30242" s="501"/>
    </row>
    <row r="30243" spans="25:25" hidden="1" x14ac:dyDescent="0.25">
      <c r="Y30243" s="501"/>
    </row>
    <row r="30244" spans="25:25" hidden="1" x14ac:dyDescent="0.25">
      <c r="Y30244" s="501"/>
    </row>
    <row r="30245" spans="25:25" hidden="1" x14ac:dyDescent="0.25">
      <c r="Y30245" s="501"/>
    </row>
    <row r="30246" spans="25:25" hidden="1" x14ac:dyDescent="0.25">
      <c r="Y30246" s="501"/>
    </row>
    <row r="30247" spans="25:25" hidden="1" x14ac:dyDescent="0.25">
      <c r="Y30247" s="501"/>
    </row>
    <row r="30248" spans="25:25" hidden="1" x14ac:dyDescent="0.25">
      <c r="Y30248" s="501"/>
    </row>
    <row r="30249" spans="25:25" hidden="1" x14ac:dyDescent="0.25">
      <c r="Y30249" s="501"/>
    </row>
    <row r="30250" spans="25:25" hidden="1" x14ac:dyDescent="0.25">
      <c r="Y30250" s="501"/>
    </row>
    <row r="30251" spans="25:25" hidden="1" x14ac:dyDescent="0.25">
      <c r="Y30251" s="501"/>
    </row>
    <row r="30252" spans="25:25" hidden="1" x14ac:dyDescent="0.25">
      <c r="Y30252" s="501"/>
    </row>
    <row r="30253" spans="25:25" hidden="1" x14ac:dyDescent="0.25">
      <c r="Y30253" s="501"/>
    </row>
    <row r="30254" spans="25:25" hidden="1" x14ac:dyDescent="0.25">
      <c r="Y30254" s="501"/>
    </row>
    <row r="30255" spans="25:25" hidden="1" x14ac:dyDescent="0.25">
      <c r="Y30255" s="501"/>
    </row>
    <row r="30256" spans="25:25" hidden="1" x14ac:dyDescent="0.25">
      <c r="Y30256" s="501"/>
    </row>
    <row r="30257" spans="25:25" hidden="1" x14ac:dyDescent="0.25">
      <c r="Y30257" s="501"/>
    </row>
    <row r="30258" spans="25:25" hidden="1" x14ac:dyDescent="0.25">
      <c r="Y30258" s="501"/>
    </row>
    <row r="30259" spans="25:25" hidden="1" x14ac:dyDescent="0.25">
      <c r="Y30259" s="501"/>
    </row>
    <row r="30260" spans="25:25" hidden="1" x14ac:dyDescent="0.25">
      <c r="Y30260" s="501"/>
    </row>
    <row r="30261" spans="25:25" hidden="1" x14ac:dyDescent="0.25">
      <c r="Y30261" s="501"/>
    </row>
    <row r="30262" spans="25:25" hidden="1" x14ac:dyDescent="0.25">
      <c r="Y30262" s="501"/>
    </row>
    <row r="30263" spans="25:25" hidden="1" x14ac:dyDescent="0.25">
      <c r="Y30263" s="501"/>
    </row>
    <row r="30264" spans="25:25" hidden="1" x14ac:dyDescent="0.25">
      <c r="Y30264" s="501"/>
    </row>
    <row r="30265" spans="25:25" hidden="1" x14ac:dyDescent="0.25">
      <c r="Y30265" s="501"/>
    </row>
    <row r="30266" spans="25:25" hidden="1" x14ac:dyDescent="0.25">
      <c r="Y30266" s="501"/>
    </row>
    <row r="30267" spans="25:25" hidden="1" x14ac:dyDescent="0.25">
      <c r="Y30267" s="501"/>
    </row>
    <row r="30268" spans="25:25" hidden="1" x14ac:dyDescent="0.25">
      <c r="Y30268" s="501"/>
    </row>
    <row r="30269" spans="25:25" hidden="1" x14ac:dyDescent="0.25">
      <c r="Y30269" s="501"/>
    </row>
    <row r="30270" spans="25:25" hidden="1" x14ac:dyDescent="0.25">
      <c r="Y30270" s="501"/>
    </row>
    <row r="30271" spans="25:25" hidden="1" x14ac:dyDescent="0.25">
      <c r="Y30271" s="501"/>
    </row>
    <row r="30272" spans="25:25" hidden="1" x14ac:dyDescent="0.25">
      <c r="Y30272" s="501"/>
    </row>
    <row r="30273" spans="25:25" hidden="1" x14ac:dyDescent="0.25">
      <c r="Y30273" s="501"/>
    </row>
    <row r="30274" spans="25:25" hidden="1" x14ac:dyDescent="0.25">
      <c r="Y30274" s="501"/>
    </row>
    <row r="30275" spans="25:25" hidden="1" x14ac:dyDescent="0.25">
      <c r="Y30275" s="501"/>
    </row>
    <row r="30276" spans="25:25" hidden="1" x14ac:dyDescent="0.25">
      <c r="Y30276" s="501"/>
    </row>
    <row r="30277" spans="25:25" hidden="1" x14ac:dyDescent="0.25">
      <c r="Y30277" s="501"/>
    </row>
    <row r="30278" spans="25:25" hidden="1" x14ac:dyDescent="0.25">
      <c r="Y30278" s="501"/>
    </row>
    <row r="30279" spans="25:25" hidden="1" x14ac:dyDescent="0.25">
      <c r="Y30279" s="501"/>
    </row>
    <row r="30280" spans="25:25" hidden="1" x14ac:dyDescent="0.25">
      <c r="Y30280" s="501"/>
    </row>
    <row r="30281" spans="25:25" hidden="1" x14ac:dyDescent="0.25">
      <c r="Y30281" s="501"/>
    </row>
    <row r="30282" spans="25:25" hidden="1" x14ac:dyDescent="0.25">
      <c r="Y30282" s="501"/>
    </row>
    <row r="30283" spans="25:25" hidden="1" x14ac:dyDescent="0.25">
      <c r="Y30283" s="501"/>
    </row>
    <row r="30284" spans="25:25" hidden="1" x14ac:dyDescent="0.25">
      <c r="Y30284" s="501"/>
    </row>
    <row r="30285" spans="25:25" hidden="1" x14ac:dyDescent="0.25">
      <c r="Y30285" s="501"/>
    </row>
    <row r="30286" spans="25:25" hidden="1" x14ac:dyDescent="0.25">
      <c r="Y30286" s="501"/>
    </row>
    <row r="30287" spans="25:25" hidden="1" x14ac:dyDescent="0.25">
      <c r="Y30287" s="501"/>
    </row>
    <row r="30288" spans="25:25" hidden="1" x14ac:dyDescent="0.25">
      <c r="Y30288" s="501"/>
    </row>
    <row r="30289" spans="25:25" hidden="1" x14ac:dyDescent="0.25">
      <c r="Y30289" s="501"/>
    </row>
    <row r="30290" spans="25:25" hidden="1" x14ac:dyDescent="0.25">
      <c r="Y30290" s="501"/>
    </row>
    <row r="30291" spans="25:25" hidden="1" x14ac:dyDescent="0.25">
      <c r="Y30291" s="501"/>
    </row>
    <row r="30292" spans="25:25" hidden="1" x14ac:dyDescent="0.25">
      <c r="Y30292" s="501"/>
    </row>
    <row r="30293" spans="25:25" hidden="1" x14ac:dyDescent="0.25">
      <c r="Y30293" s="501"/>
    </row>
    <row r="30294" spans="25:25" hidden="1" x14ac:dyDescent="0.25">
      <c r="Y30294" s="501"/>
    </row>
    <row r="30295" spans="25:25" hidden="1" x14ac:dyDescent="0.25">
      <c r="Y30295" s="501"/>
    </row>
    <row r="30296" spans="25:25" hidden="1" x14ac:dyDescent="0.25">
      <c r="Y30296" s="501"/>
    </row>
    <row r="30297" spans="25:25" hidden="1" x14ac:dyDescent="0.25">
      <c r="Y30297" s="501"/>
    </row>
    <row r="30298" spans="25:25" hidden="1" x14ac:dyDescent="0.25">
      <c r="Y30298" s="501"/>
    </row>
    <row r="30299" spans="25:25" hidden="1" x14ac:dyDescent="0.25">
      <c r="Y30299" s="501"/>
    </row>
    <row r="30300" spans="25:25" hidden="1" x14ac:dyDescent="0.25">
      <c r="Y30300" s="501"/>
    </row>
    <row r="30301" spans="25:25" hidden="1" x14ac:dyDescent="0.25">
      <c r="Y30301" s="501"/>
    </row>
    <row r="30302" spans="25:25" hidden="1" x14ac:dyDescent="0.25">
      <c r="Y30302" s="501"/>
    </row>
    <row r="30303" spans="25:25" hidden="1" x14ac:dyDescent="0.25">
      <c r="Y30303" s="501"/>
    </row>
    <row r="30304" spans="25:25" hidden="1" x14ac:dyDescent="0.25">
      <c r="Y30304" s="501"/>
    </row>
    <row r="30305" spans="25:25" hidden="1" x14ac:dyDescent="0.25">
      <c r="Y30305" s="501"/>
    </row>
    <row r="30306" spans="25:25" hidden="1" x14ac:dyDescent="0.25">
      <c r="Y30306" s="501"/>
    </row>
    <row r="30307" spans="25:25" hidden="1" x14ac:dyDescent="0.25">
      <c r="Y30307" s="501"/>
    </row>
    <row r="30308" spans="25:25" hidden="1" x14ac:dyDescent="0.25">
      <c r="Y30308" s="501"/>
    </row>
    <row r="30309" spans="25:25" hidden="1" x14ac:dyDescent="0.25">
      <c r="Y30309" s="501"/>
    </row>
    <row r="30310" spans="25:25" hidden="1" x14ac:dyDescent="0.25">
      <c r="Y30310" s="501"/>
    </row>
    <row r="30311" spans="25:25" hidden="1" x14ac:dyDescent="0.25">
      <c r="Y30311" s="501"/>
    </row>
    <row r="30312" spans="25:25" hidden="1" x14ac:dyDescent="0.25">
      <c r="Y30312" s="501"/>
    </row>
    <row r="30313" spans="25:25" hidden="1" x14ac:dyDescent="0.25">
      <c r="Y30313" s="501"/>
    </row>
    <row r="30314" spans="25:25" hidden="1" x14ac:dyDescent="0.25">
      <c r="Y30314" s="501"/>
    </row>
    <row r="30315" spans="25:25" hidden="1" x14ac:dyDescent="0.25">
      <c r="Y30315" s="501"/>
    </row>
    <row r="30316" spans="25:25" hidden="1" x14ac:dyDescent="0.25">
      <c r="Y30316" s="501"/>
    </row>
    <row r="30317" spans="25:25" hidden="1" x14ac:dyDescent="0.25">
      <c r="Y30317" s="501"/>
    </row>
    <row r="30318" spans="25:25" hidden="1" x14ac:dyDescent="0.25">
      <c r="Y30318" s="501"/>
    </row>
    <row r="30319" spans="25:25" hidden="1" x14ac:dyDescent="0.25">
      <c r="Y30319" s="501"/>
    </row>
    <row r="30320" spans="25:25" hidden="1" x14ac:dyDescent="0.25">
      <c r="Y30320" s="501"/>
    </row>
    <row r="30321" spans="25:25" hidden="1" x14ac:dyDescent="0.25">
      <c r="Y30321" s="501"/>
    </row>
    <row r="30322" spans="25:25" hidden="1" x14ac:dyDescent="0.25">
      <c r="Y30322" s="501"/>
    </row>
    <row r="30323" spans="25:25" hidden="1" x14ac:dyDescent="0.25">
      <c r="Y30323" s="501"/>
    </row>
    <row r="30324" spans="25:25" hidden="1" x14ac:dyDescent="0.25">
      <c r="Y30324" s="501"/>
    </row>
    <row r="30325" spans="25:25" hidden="1" x14ac:dyDescent="0.25">
      <c r="Y30325" s="501"/>
    </row>
    <row r="30326" spans="25:25" hidden="1" x14ac:dyDescent="0.25">
      <c r="Y30326" s="501"/>
    </row>
    <row r="30327" spans="25:25" hidden="1" x14ac:dyDescent="0.25">
      <c r="Y30327" s="501"/>
    </row>
    <row r="30328" spans="25:25" hidden="1" x14ac:dyDescent="0.25">
      <c r="Y30328" s="501"/>
    </row>
    <row r="30329" spans="25:25" hidden="1" x14ac:dyDescent="0.25">
      <c r="Y30329" s="501"/>
    </row>
    <row r="30330" spans="25:25" hidden="1" x14ac:dyDescent="0.25">
      <c r="Y30330" s="501"/>
    </row>
    <row r="30331" spans="25:25" hidden="1" x14ac:dyDescent="0.25">
      <c r="Y30331" s="501"/>
    </row>
    <row r="30332" spans="25:25" hidden="1" x14ac:dyDescent="0.25">
      <c r="Y30332" s="501"/>
    </row>
    <row r="30333" spans="25:25" hidden="1" x14ac:dyDescent="0.25">
      <c r="Y30333" s="501"/>
    </row>
    <row r="30334" spans="25:25" hidden="1" x14ac:dyDescent="0.25">
      <c r="Y30334" s="501"/>
    </row>
    <row r="30335" spans="25:25" hidden="1" x14ac:dyDescent="0.25">
      <c r="Y30335" s="501"/>
    </row>
    <row r="30336" spans="25:25" hidden="1" x14ac:dyDescent="0.25">
      <c r="Y30336" s="501"/>
    </row>
    <row r="30337" spans="25:25" hidden="1" x14ac:dyDescent="0.25">
      <c r="Y30337" s="501"/>
    </row>
    <row r="30338" spans="25:25" hidden="1" x14ac:dyDescent="0.25">
      <c r="Y30338" s="501"/>
    </row>
    <row r="30339" spans="25:25" hidden="1" x14ac:dyDescent="0.25">
      <c r="Y30339" s="501"/>
    </row>
    <row r="30340" spans="25:25" hidden="1" x14ac:dyDescent="0.25">
      <c r="Y30340" s="501"/>
    </row>
    <row r="30341" spans="25:25" hidden="1" x14ac:dyDescent="0.25">
      <c r="Y30341" s="501"/>
    </row>
    <row r="30342" spans="25:25" hidden="1" x14ac:dyDescent="0.25">
      <c r="Y30342" s="501"/>
    </row>
    <row r="30343" spans="25:25" hidden="1" x14ac:dyDescent="0.25">
      <c r="Y30343" s="501"/>
    </row>
    <row r="30344" spans="25:25" hidden="1" x14ac:dyDescent="0.25">
      <c r="Y30344" s="501"/>
    </row>
    <row r="30345" spans="25:25" hidden="1" x14ac:dyDescent="0.25">
      <c r="Y30345" s="501"/>
    </row>
    <row r="30346" spans="25:25" hidden="1" x14ac:dyDescent="0.25">
      <c r="Y30346" s="501"/>
    </row>
    <row r="30347" spans="25:25" hidden="1" x14ac:dyDescent="0.25">
      <c r="Y30347" s="501"/>
    </row>
    <row r="30348" spans="25:25" hidden="1" x14ac:dyDescent="0.25">
      <c r="Y30348" s="501"/>
    </row>
    <row r="30349" spans="25:25" hidden="1" x14ac:dyDescent="0.25">
      <c r="Y30349" s="501"/>
    </row>
    <row r="30350" spans="25:25" hidden="1" x14ac:dyDescent="0.25">
      <c r="Y30350" s="501"/>
    </row>
    <row r="30351" spans="25:25" hidden="1" x14ac:dyDescent="0.25">
      <c r="Y30351" s="501"/>
    </row>
    <row r="30352" spans="25:25" hidden="1" x14ac:dyDescent="0.25">
      <c r="Y30352" s="501"/>
    </row>
    <row r="30353" spans="25:25" hidden="1" x14ac:dyDescent="0.25">
      <c r="Y30353" s="501"/>
    </row>
    <row r="30354" spans="25:25" hidden="1" x14ac:dyDescent="0.25">
      <c r="Y30354" s="501"/>
    </row>
    <row r="30355" spans="25:25" hidden="1" x14ac:dyDescent="0.25">
      <c r="Y30355" s="501"/>
    </row>
    <row r="30356" spans="25:25" hidden="1" x14ac:dyDescent="0.25">
      <c r="Y30356" s="501"/>
    </row>
    <row r="30357" spans="25:25" hidden="1" x14ac:dyDescent="0.25">
      <c r="Y30357" s="501"/>
    </row>
    <row r="30358" spans="25:25" hidden="1" x14ac:dyDescent="0.25">
      <c r="Y30358" s="501"/>
    </row>
    <row r="30359" spans="25:25" hidden="1" x14ac:dyDescent="0.25">
      <c r="Y30359" s="501"/>
    </row>
    <row r="30360" spans="25:25" hidden="1" x14ac:dyDescent="0.25">
      <c r="Y30360" s="501"/>
    </row>
    <row r="30361" spans="25:25" hidden="1" x14ac:dyDescent="0.25">
      <c r="Y30361" s="501"/>
    </row>
    <row r="30362" spans="25:25" hidden="1" x14ac:dyDescent="0.25">
      <c r="Y30362" s="501"/>
    </row>
    <row r="30363" spans="25:25" hidden="1" x14ac:dyDescent="0.25">
      <c r="Y30363" s="501"/>
    </row>
    <row r="30364" spans="25:25" hidden="1" x14ac:dyDescent="0.25">
      <c r="Y30364" s="501"/>
    </row>
    <row r="30365" spans="25:25" hidden="1" x14ac:dyDescent="0.25">
      <c r="Y30365" s="501"/>
    </row>
    <row r="30366" spans="25:25" hidden="1" x14ac:dyDescent="0.25">
      <c r="Y30366" s="501"/>
    </row>
    <row r="30367" spans="25:25" hidden="1" x14ac:dyDescent="0.25">
      <c r="Y30367" s="501"/>
    </row>
    <row r="30368" spans="25:25" hidden="1" x14ac:dyDescent="0.25">
      <c r="Y30368" s="501"/>
    </row>
    <row r="30369" spans="25:25" hidden="1" x14ac:dyDescent="0.25">
      <c r="Y30369" s="501"/>
    </row>
    <row r="30370" spans="25:25" hidden="1" x14ac:dyDescent="0.25">
      <c r="Y30370" s="501"/>
    </row>
    <row r="30371" spans="25:25" hidden="1" x14ac:dyDescent="0.25">
      <c r="Y30371" s="501"/>
    </row>
    <row r="30372" spans="25:25" hidden="1" x14ac:dyDescent="0.25">
      <c r="Y30372" s="501"/>
    </row>
    <row r="30373" spans="25:25" hidden="1" x14ac:dyDescent="0.25">
      <c r="Y30373" s="501"/>
    </row>
    <row r="30374" spans="25:25" hidden="1" x14ac:dyDescent="0.25">
      <c r="Y30374" s="501"/>
    </row>
    <row r="30375" spans="25:25" hidden="1" x14ac:dyDescent="0.25">
      <c r="Y30375" s="501"/>
    </row>
    <row r="30376" spans="25:25" hidden="1" x14ac:dyDescent="0.25">
      <c r="Y30376" s="501"/>
    </row>
    <row r="30377" spans="25:25" hidden="1" x14ac:dyDescent="0.25">
      <c r="Y30377" s="501"/>
    </row>
    <row r="30378" spans="25:25" hidden="1" x14ac:dyDescent="0.25">
      <c r="Y30378" s="501"/>
    </row>
    <row r="30379" spans="25:25" hidden="1" x14ac:dyDescent="0.25">
      <c r="Y30379" s="501"/>
    </row>
    <row r="30380" spans="25:25" hidden="1" x14ac:dyDescent="0.25">
      <c r="Y30380" s="501"/>
    </row>
    <row r="30381" spans="25:25" hidden="1" x14ac:dyDescent="0.25">
      <c r="Y30381" s="501"/>
    </row>
    <row r="30382" spans="25:25" hidden="1" x14ac:dyDescent="0.25">
      <c r="Y30382" s="501"/>
    </row>
    <row r="30383" spans="25:25" hidden="1" x14ac:dyDescent="0.25">
      <c r="Y30383" s="501"/>
    </row>
    <row r="30384" spans="25:25" hidden="1" x14ac:dyDescent="0.25">
      <c r="Y30384" s="501"/>
    </row>
    <row r="30385" spans="25:25" hidden="1" x14ac:dyDescent="0.25">
      <c r="Y30385" s="501"/>
    </row>
    <row r="30386" spans="25:25" hidden="1" x14ac:dyDescent="0.25">
      <c r="Y30386" s="501"/>
    </row>
    <row r="30387" spans="25:25" hidden="1" x14ac:dyDescent="0.25">
      <c r="Y30387" s="501"/>
    </row>
    <row r="30388" spans="25:25" hidden="1" x14ac:dyDescent="0.25">
      <c r="Y30388" s="501"/>
    </row>
    <row r="30389" spans="25:25" hidden="1" x14ac:dyDescent="0.25">
      <c r="Y30389" s="501"/>
    </row>
    <row r="30390" spans="25:25" hidden="1" x14ac:dyDescent="0.25">
      <c r="Y30390" s="501"/>
    </row>
    <row r="30391" spans="25:25" hidden="1" x14ac:dyDescent="0.25">
      <c r="Y30391" s="501"/>
    </row>
    <row r="30392" spans="25:25" hidden="1" x14ac:dyDescent="0.25">
      <c r="Y30392" s="501"/>
    </row>
    <row r="30393" spans="25:25" hidden="1" x14ac:dyDescent="0.25">
      <c r="Y30393" s="501"/>
    </row>
    <row r="30394" spans="25:25" hidden="1" x14ac:dyDescent="0.25">
      <c r="Y30394" s="501"/>
    </row>
    <row r="30395" spans="25:25" hidden="1" x14ac:dyDescent="0.25">
      <c r="Y30395" s="501"/>
    </row>
    <row r="30396" spans="25:25" hidden="1" x14ac:dyDescent="0.25">
      <c r="Y30396" s="501"/>
    </row>
    <row r="30397" spans="25:25" hidden="1" x14ac:dyDescent="0.25">
      <c r="Y30397" s="501"/>
    </row>
    <row r="30398" spans="25:25" hidden="1" x14ac:dyDescent="0.25">
      <c r="Y30398" s="501"/>
    </row>
    <row r="30399" spans="25:25" hidden="1" x14ac:dyDescent="0.25">
      <c r="Y30399" s="501"/>
    </row>
    <row r="30400" spans="25:25" hidden="1" x14ac:dyDescent="0.25">
      <c r="Y30400" s="501"/>
    </row>
    <row r="30401" spans="25:25" hidden="1" x14ac:dyDescent="0.25">
      <c r="Y30401" s="501"/>
    </row>
    <row r="30402" spans="25:25" hidden="1" x14ac:dyDescent="0.25">
      <c r="Y30402" s="501"/>
    </row>
    <row r="30403" spans="25:25" hidden="1" x14ac:dyDescent="0.25">
      <c r="Y30403" s="501"/>
    </row>
    <row r="30404" spans="25:25" hidden="1" x14ac:dyDescent="0.25">
      <c r="Y30404" s="501"/>
    </row>
    <row r="30405" spans="25:25" hidden="1" x14ac:dyDescent="0.25">
      <c r="Y30405" s="501"/>
    </row>
    <row r="30406" spans="25:25" hidden="1" x14ac:dyDescent="0.25">
      <c r="Y30406" s="501"/>
    </row>
    <row r="30407" spans="25:25" hidden="1" x14ac:dyDescent="0.25">
      <c r="Y30407" s="501"/>
    </row>
    <row r="30408" spans="25:25" hidden="1" x14ac:dyDescent="0.25">
      <c r="Y30408" s="501"/>
    </row>
    <row r="30409" spans="25:25" hidden="1" x14ac:dyDescent="0.25">
      <c r="Y30409" s="501"/>
    </row>
    <row r="30410" spans="25:25" hidden="1" x14ac:dyDescent="0.25">
      <c r="Y30410" s="501"/>
    </row>
    <row r="30411" spans="25:25" hidden="1" x14ac:dyDescent="0.25">
      <c r="Y30411" s="501"/>
    </row>
    <row r="30412" spans="25:25" hidden="1" x14ac:dyDescent="0.25">
      <c r="Y30412" s="501"/>
    </row>
    <row r="30413" spans="25:25" hidden="1" x14ac:dyDescent="0.25">
      <c r="Y30413" s="501"/>
    </row>
    <row r="30414" spans="25:25" hidden="1" x14ac:dyDescent="0.25">
      <c r="Y30414" s="501"/>
    </row>
    <row r="30415" spans="25:25" hidden="1" x14ac:dyDescent="0.25">
      <c r="Y30415" s="501"/>
    </row>
    <row r="30416" spans="25:25" hidden="1" x14ac:dyDescent="0.25">
      <c r="Y30416" s="501"/>
    </row>
    <row r="30417" spans="25:25" hidden="1" x14ac:dyDescent="0.25">
      <c r="Y30417" s="501"/>
    </row>
    <row r="30418" spans="25:25" hidden="1" x14ac:dyDescent="0.25">
      <c r="Y30418" s="501"/>
    </row>
    <row r="30419" spans="25:25" hidden="1" x14ac:dyDescent="0.25">
      <c r="Y30419" s="501"/>
    </row>
    <row r="30420" spans="25:25" hidden="1" x14ac:dyDescent="0.25">
      <c r="Y30420" s="501"/>
    </row>
    <row r="30421" spans="25:25" hidden="1" x14ac:dyDescent="0.25">
      <c r="Y30421" s="501"/>
    </row>
    <row r="30422" spans="25:25" hidden="1" x14ac:dyDescent="0.25">
      <c r="Y30422" s="501"/>
    </row>
    <row r="30423" spans="25:25" hidden="1" x14ac:dyDescent="0.25">
      <c r="Y30423" s="501"/>
    </row>
    <row r="30424" spans="25:25" hidden="1" x14ac:dyDescent="0.25">
      <c r="Y30424" s="501"/>
    </row>
    <row r="30425" spans="25:25" hidden="1" x14ac:dyDescent="0.25">
      <c r="Y30425" s="501"/>
    </row>
    <row r="30426" spans="25:25" hidden="1" x14ac:dyDescent="0.25">
      <c r="Y30426" s="501"/>
    </row>
    <row r="30427" spans="25:25" hidden="1" x14ac:dyDescent="0.25">
      <c r="Y30427" s="501"/>
    </row>
    <row r="30428" spans="25:25" hidden="1" x14ac:dyDescent="0.25">
      <c r="Y30428" s="501"/>
    </row>
    <row r="30429" spans="25:25" hidden="1" x14ac:dyDescent="0.25">
      <c r="Y30429" s="501"/>
    </row>
    <row r="30430" spans="25:25" hidden="1" x14ac:dyDescent="0.25">
      <c r="Y30430" s="501"/>
    </row>
    <row r="30431" spans="25:25" hidden="1" x14ac:dyDescent="0.25">
      <c r="Y30431" s="501"/>
    </row>
    <row r="30432" spans="25:25" hidden="1" x14ac:dyDescent="0.25">
      <c r="Y30432" s="501"/>
    </row>
    <row r="30433" spans="25:25" hidden="1" x14ac:dyDescent="0.25">
      <c r="Y30433" s="501"/>
    </row>
    <row r="30434" spans="25:25" hidden="1" x14ac:dyDescent="0.25">
      <c r="Y30434" s="501"/>
    </row>
    <row r="30435" spans="25:25" hidden="1" x14ac:dyDescent="0.25">
      <c r="Y30435" s="501"/>
    </row>
    <row r="30436" spans="25:25" hidden="1" x14ac:dyDescent="0.25">
      <c r="Y30436" s="501"/>
    </row>
    <row r="30437" spans="25:25" hidden="1" x14ac:dyDescent="0.25">
      <c r="Y30437" s="501"/>
    </row>
    <row r="30438" spans="25:25" hidden="1" x14ac:dyDescent="0.25">
      <c r="Y30438" s="501"/>
    </row>
    <row r="30439" spans="25:25" hidden="1" x14ac:dyDescent="0.25">
      <c r="Y30439" s="501"/>
    </row>
    <row r="30440" spans="25:25" hidden="1" x14ac:dyDescent="0.25">
      <c r="Y30440" s="501"/>
    </row>
    <row r="30441" spans="25:25" hidden="1" x14ac:dyDescent="0.25">
      <c r="Y30441" s="501"/>
    </row>
    <row r="30442" spans="25:25" hidden="1" x14ac:dyDescent="0.25">
      <c r="Y30442" s="501"/>
    </row>
    <row r="30443" spans="25:25" hidden="1" x14ac:dyDescent="0.25">
      <c r="Y30443" s="501"/>
    </row>
    <row r="30444" spans="25:25" hidden="1" x14ac:dyDescent="0.25">
      <c r="Y30444" s="501"/>
    </row>
    <row r="30445" spans="25:25" hidden="1" x14ac:dyDescent="0.25">
      <c r="Y30445" s="501"/>
    </row>
    <row r="30446" spans="25:25" hidden="1" x14ac:dyDescent="0.25">
      <c r="Y30446" s="501"/>
    </row>
    <row r="30447" spans="25:25" hidden="1" x14ac:dyDescent="0.25">
      <c r="Y30447" s="501"/>
    </row>
    <row r="30448" spans="25:25" hidden="1" x14ac:dyDescent="0.25">
      <c r="Y30448" s="501"/>
    </row>
    <row r="30449" spans="25:25" hidden="1" x14ac:dyDescent="0.25">
      <c r="Y30449" s="501"/>
    </row>
    <row r="30450" spans="25:25" hidden="1" x14ac:dyDescent="0.25">
      <c r="Y30450" s="501"/>
    </row>
    <row r="30451" spans="25:25" hidden="1" x14ac:dyDescent="0.25">
      <c r="Y30451" s="501"/>
    </row>
    <row r="30452" spans="25:25" hidden="1" x14ac:dyDescent="0.25">
      <c r="Y30452" s="501"/>
    </row>
    <row r="30453" spans="25:25" hidden="1" x14ac:dyDescent="0.25">
      <c r="Y30453" s="501"/>
    </row>
    <row r="30454" spans="25:25" hidden="1" x14ac:dyDescent="0.25">
      <c r="Y30454" s="501"/>
    </row>
    <row r="30455" spans="25:25" hidden="1" x14ac:dyDescent="0.25">
      <c r="Y30455" s="501"/>
    </row>
    <row r="30456" spans="25:25" hidden="1" x14ac:dyDescent="0.25">
      <c r="Y30456" s="501"/>
    </row>
    <row r="30457" spans="25:25" hidden="1" x14ac:dyDescent="0.25">
      <c r="Y30457" s="501"/>
    </row>
    <row r="30458" spans="25:25" hidden="1" x14ac:dyDescent="0.25">
      <c r="Y30458" s="501"/>
    </row>
    <row r="30459" spans="25:25" hidden="1" x14ac:dyDescent="0.25">
      <c r="Y30459" s="501"/>
    </row>
    <row r="30460" spans="25:25" hidden="1" x14ac:dyDescent="0.25">
      <c r="Y30460" s="501"/>
    </row>
    <row r="30461" spans="25:25" hidden="1" x14ac:dyDescent="0.25">
      <c r="Y30461" s="501"/>
    </row>
    <row r="30462" spans="25:25" hidden="1" x14ac:dyDescent="0.25">
      <c r="Y30462" s="501"/>
    </row>
    <row r="30463" spans="25:25" hidden="1" x14ac:dyDescent="0.25">
      <c r="Y30463" s="501"/>
    </row>
    <row r="30464" spans="25:25" hidden="1" x14ac:dyDescent="0.25">
      <c r="Y30464" s="501"/>
    </row>
    <row r="30465" spans="25:25" hidden="1" x14ac:dyDescent="0.25">
      <c r="Y30465" s="501"/>
    </row>
    <row r="30466" spans="25:25" hidden="1" x14ac:dyDescent="0.25">
      <c r="Y30466" s="501"/>
    </row>
    <row r="30467" spans="25:25" hidden="1" x14ac:dyDescent="0.25">
      <c r="Y30467" s="501"/>
    </row>
    <row r="30468" spans="25:25" hidden="1" x14ac:dyDescent="0.25">
      <c r="Y30468" s="501"/>
    </row>
    <row r="30469" spans="25:25" hidden="1" x14ac:dyDescent="0.25">
      <c r="Y30469" s="501"/>
    </row>
    <row r="30470" spans="25:25" hidden="1" x14ac:dyDescent="0.25">
      <c r="Y30470" s="501"/>
    </row>
    <row r="30471" spans="25:25" hidden="1" x14ac:dyDescent="0.25">
      <c r="Y30471" s="501"/>
    </row>
    <row r="30472" spans="25:25" hidden="1" x14ac:dyDescent="0.25">
      <c r="Y30472" s="501"/>
    </row>
    <row r="30473" spans="25:25" hidden="1" x14ac:dyDescent="0.25">
      <c r="Y30473" s="501"/>
    </row>
    <row r="30474" spans="25:25" hidden="1" x14ac:dyDescent="0.25">
      <c r="Y30474" s="501"/>
    </row>
    <row r="30475" spans="25:25" hidden="1" x14ac:dyDescent="0.25">
      <c r="Y30475" s="501"/>
    </row>
    <row r="30476" spans="25:25" hidden="1" x14ac:dyDescent="0.25">
      <c r="Y30476" s="501"/>
    </row>
    <row r="30477" spans="25:25" hidden="1" x14ac:dyDescent="0.25">
      <c r="Y30477" s="501"/>
    </row>
    <row r="30478" spans="25:25" hidden="1" x14ac:dyDescent="0.25">
      <c r="Y30478" s="501"/>
    </row>
    <row r="30479" spans="25:25" hidden="1" x14ac:dyDescent="0.25">
      <c r="Y30479" s="501"/>
    </row>
    <row r="30480" spans="25:25" hidden="1" x14ac:dyDescent="0.25">
      <c r="Y30480" s="501"/>
    </row>
    <row r="30481" spans="25:25" hidden="1" x14ac:dyDescent="0.25">
      <c r="Y30481" s="501"/>
    </row>
    <row r="30482" spans="25:25" hidden="1" x14ac:dyDescent="0.25">
      <c r="Y30482" s="501"/>
    </row>
    <row r="30483" spans="25:25" hidden="1" x14ac:dyDescent="0.25">
      <c r="Y30483" s="501"/>
    </row>
    <row r="30484" spans="25:25" hidden="1" x14ac:dyDescent="0.25">
      <c r="Y30484" s="501"/>
    </row>
    <row r="30485" spans="25:25" hidden="1" x14ac:dyDescent="0.25">
      <c r="Y30485" s="501"/>
    </row>
    <row r="30486" spans="25:25" hidden="1" x14ac:dyDescent="0.25">
      <c r="Y30486" s="501"/>
    </row>
    <row r="30487" spans="25:25" hidden="1" x14ac:dyDescent="0.25">
      <c r="Y30487" s="501"/>
    </row>
    <row r="30488" spans="25:25" hidden="1" x14ac:dyDescent="0.25">
      <c r="Y30488" s="501"/>
    </row>
    <row r="30489" spans="25:25" hidden="1" x14ac:dyDescent="0.25">
      <c r="Y30489" s="501"/>
    </row>
    <row r="30490" spans="25:25" hidden="1" x14ac:dyDescent="0.25">
      <c r="Y30490" s="501"/>
    </row>
    <row r="30491" spans="25:25" hidden="1" x14ac:dyDescent="0.25">
      <c r="Y30491" s="501"/>
    </row>
    <row r="30492" spans="25:25" hidden="1" x14ac:dyDescent="0.25">
      <c r="Y30492" s="501"/>
    </row>
    <row r="30493" spans="25:25" hidden="1" x14ac:dyDescent="0.25">
      <c r="Y30493" s="501"/>
    </row>
    <row r="30494" spans="25:25" hidden="1" x14ac:dyDescent="0.25">
      <c r="Y30494" s="501"/>
    </row>
    <row r="30495" spans="25:25" hidden="1" x14ac:dyDescent="0.25">
      <c r="Y30495" s="501"/>
    </row>
    <row r="30496" spans="25:25" hidden="1" x14ac:dyDescent="0.25">
      <c r="Y30496" s="501"/>
    </row>
    <row r="30497" spans="25:25" hidden="1" x14ac:dyDescent="0.25">
      <c r="Y30497" s="501"/>
    </row>
    <row r="30498" spans="25:25" hidden="1" x14ac:dyDescent="0.25">
      <c r="Y30498" s="501"/>
    </row>
    <row r="30499" spans="25:25" hidden="1" x14ac:dyDescent="0.25">
      <c r="Y30499" s="501"/>
    </row>
    <row r="30500" spans="25:25" hidden="1" x14ac:dyDescent="0.25">
      <c r="Y30500" s="501"/>
    </row>
    <row r="30501" spans="25:25" hidden="1" x14ac:dyDescent="0.25">
      <c r="Y30501" s="501"/>
    </row>
    <row r="30502" spans="25:25" hidden="1" x14ac:dyDescent="0.25">
      <c r="Y30502" s="501"/>
    </row>
    <row r="30503" spans="25:25" hidden="1" x14ac:dyDescent="0.25">
      <c r="Y30503" s="501"/>
    </row>
    <row r="30504" spans="25:25" hidden="1" x14ac:dyDescent="0.25">
      <c r="Y30504" s="501"/>
    </row>
    <row r="30505" spans="25:25" hidden="1" x14ac:dyDescent="0.25">
      <c r="Y30505" s="501"/>
    </row>
    <row r="30506" spans="25:25" hidden="1" x14ac:dyDescent="0.25">
      <c r="Y30506" s="501"/>
    </row>
    <row r="30507" spans="25:25" hidden="1" x14ac:dyDescent="0.25">
      <c r="Y30507" s="501"/>
    </row>
    <row r="30508" spans="25:25" hidden="1" x14ac:dyDescent="0.25">
      <c r="Y30508" s="501"/>
    </row>
    <row r="30509" spans="25:25" hidden="1" x14ac:dyDescent="0.25">
      <c r="Y30509" s="501"/>
    </row>
    <row r="30510" spans="25:25" hidden="1" x14ac:dyDescent="0.25">
      <c r="Y30510" s="501"/>
    </row>
    <row r="30511" spans="25:25" hidden="1" x14ac:dyDescent="0.25">
      <c r="Y30511" s="501"/>
    </row>
    <row r="30512" spans="25:25" hidden="1" x14ac:dyDescent="0.25">
      <c r="Y30512" s="501"/>
    </row>
    <row r="30513" spans="25:25" hidden="1" x14ac:dyDescent="0.25">
      <c r="Y30513" s="501"/>
    </row>
    <row r="30514" spans="25:25" hidden="1" x14ac:dyDescent="0.25">
      <c r="Y30514" s="501"/>
    </row>
    <row r="30515" spans="25:25" hidden="1" x14ac:dyDescent="0.25">
      <c r="Y30515" s="501"/>
    </row>
    <row r="30516" spans="25:25" hidden="1" x14ac:dyDescent="0.25">
      <c r="Y30516" s="501"/>
    </row>
    <row r="30517" spans="25:25" hidden="1" x14ac:dyDescent="0.25">
      <c r="Y30517" s="501"/>
    </row>
    <row r="30518" spans="25:25" hidden="1" x14ac:dyDescent="0.25">
      <c r="Y30518" s="501"/>
    </row>
    <row r="30519" spans="25:25" hidden="1" x14ac:dyDescent="0.25">
      <c r="Y30519" s="501"/>
    </row>
    <row r="30520" spans="25:25" hidden="1" x14ac:dyDescent="0.25">
      <c r="Y30520" s="501"/>
    </row>
    <row r="30521" spans="25:25" hidden="1" x14ac:dyDescent="0.25">
      <c r="Y30521" s="501"/>
    </row>
    <row r="30522" spans="25:25" hidden="1" x14ac:dyDescent="0.25">
      <c r="Y30522" s="501"/>
    </row>
    <row r="30523" spans="25:25" hidden="1" x14ac:dyDescent="0.25">
      <c r="Y30523" s="501"/>
    </row>
    <row r="30524" spans="25:25" hidden="1" x14ac:dyDescent="0.25">
      <c r="Y30524" s="501"/>
    </row>
    <row r="30525" spans="25:25" hidden="1" x14ac:dyDescent="0.25">
      <c r="Y30525" s="501"/>
    </row>
    <row r="30526" spans="25:25" hidden="1" x14ac:dyDescent="0.25">
      <c r="Y30526" s="501"/>
    </row>
    <row r="30527" spans="25:25" hidden="1" x14ac:dyDescent="0.25">
      <c r="Y30527" s="501"/>
    </row>
    <row r="30528" spans="25:25" hidden="1" x14ac:dyDescent="0.25">
      <c r="Y30528" s="501"/>
    </row>
    <row r="30529" spans="25:25" hidden="1" x14ac:dyDescent="0.25">
      <c r="Y30529" s="501"/>
    </row>
    <row r="30530" spans="25:25" hidden="1" x14ac:dyDescent="0.25">
      <c r="Y30530" s="501"/>
    </row>
    <row r="30531" spans="25:25" hidden="1" x14ac:dyDescent="0.25">
      <c r="Y30531" s="501"/>
    </row>
    <row r="30532" spans="25:25" hidden="1" x14ac:dyDescent="0.25">
      <c r="Y30532" s="501"/>
    </row>
    <row r="30533" spans="25:25" hidden="1" x14ac:dyDescent="0.25">
      <c r="Y30533" s="501"/>
    </row>
    <row r="30534" spans="25:25" hidden="1" x14ac:dyDescent="0.25">
      <c r="Y30534" s="501"/>
    </row>
    <row r="30535" spans="25:25" hidden="1" x14ac:dyDescent="0.25">
      <c r="Y30535" s="501"/>
    </row>
    <row r="30536" spans="25:25" hidden="1" x14ac:dyDescent="0.25">
      <c r="Y30536" s="501"/>
    </row>
    <row r="30537" spans="25:25" hidden="1" x14ac:dyDescent="0.25">
      <c r="Y30537" s="501"/>
    </row>
    <row r="30538" spans="25:25" hidden="1" x14ac:dyDescent="0.25">
      <c r="Y30538" s="501"/>
    </row>
    <row r="30539" spans="25:25" hidden="1" x14ac:dyDescent="0.25">
      <c r="Y30539" s="501"/>
    </row>
    <row r="30540" spans="25:25" hidden="1" x14ac:dyDescent="0.25">
      <c r="Y30540" s="501"/>
    </row>
    <row r="30541" spans="25:25" hidden="1" x14ac:dyDescent="0.25">
      <c r="Y30541" s="501"/>
    </row>
    <row r="30542" spans="25:25" hidden="1" x14ac:dyDescent="0.25">
      <c r="Y30542" s="501"/>
    </row>
    <row r="30543" spans="25:25" hidden="1" x14ac:dyDescent="0.25">
      <c r="Y30543" s="501"/>
    </row>
    <row r="30544" spans="25:25" hidden="1" x14ac:dyDescent="0.25">
      <c r="Y30544" s="501"/>
    </row>
    <row r="30545" spans="25:25" hidden="1" x14ac:dyDescent="0.25">
      <c r="Y30545" s="501"/>
    </row>
    <row r="30546" spans="25:25" hidden="1" x14ac:dyDescent="0.25">
      <c r="Y30546" s="501"/>
    </row>
    <row r="30547" spans="25:25" hidden="1" x14ac:dyDescent="0.25">
      <c r="Y30547" s="501"/>
    </row>
    <row r="30548" spans="25:25" hidden="1" x14ac:dyDescent="0.25">
      <c r="Y30548" s="501"/>
    </row>
    <row r="30549" spans="25:25" hidden="1" x14ac:dyDescent="0.25">
      <c r="Y30549" s="501"/>
    </row>
    <row r="30550" spans="25:25" hidden="1" x14ac:dyDescent="0.25">
      <c r="Y30550" s="501"/>
    </row>
    <row r="30551" spans="25:25" hidden="1" x14ac:dyDescent="0.25">
      <c r="Y30551" s="501"/>
    </row>
    <row r="30552" spans="25:25" hidden="1" x14ac:dyDescent="0.25">
      <c r="Y30552" s="501"/>
    </row>
    <row r="30553" spans="25:25" hidden="1" x14ac:dyDescent="0.25">
      <c r="Y30553" s="501"/>
    </row>
    <row r="30554" spans="25:25" hidden="1" x14ac:dyDescent="0.25">
      <c r="Y30554" s="501"/>
    </row>
    <row r="30555" spans="25:25" hidden="1" x14ac:dyDescent="0.25">
      <c r="Y30555" s="501"/>
    </row>
    <row r="30556" spans="25:25" hidden="1" x14ac:dyDescent="0.25">
      <c r="Y30556" s="501"/>
    </row>
    <row r="30557" spans="25:25" hidden="1" x14ac:dyDescent="0.25">
      <c r="Y30557" s="501"/>
    </row>
    <row r="30558" spans="25:25" hidden="1" x14ac:dyDescent="0.25">
      <c r="Y30558" s="501"/>
    </row>
    <row r="30559" spans="25:25" hidden="1" x14ac:dyDescent="0.25">
      <c r="Y30559" s="501"/>
    </row>
    <row r="30560" spans="25:25" hidden="1" x14ac:dyDescent="0.25">
      <c r="Y30560" s="501"/>
    </row>
    <row r="30561" spans="25:25" hidden="1" x14ac:dyDescent="0.25">
      <c r="Y30561" s="501"/>
    </row>
    <row r="30562" spans="25:25" hidden="1" x14ac:dyDescent="0.25">
      <c r="Y30562" s="501"/>
    </row>
    <row r="30563" spans="25:25" hidden="1" x14ac:dyDescent="0.25">
      <c r="Y30563" s="501"/>
    </row>
    <row r="30564" spans="25:25" hidden="1" x14ac:dyDescent="0.25">
      <c r="Y30564" s="501"/>
    </row>
    <row r="30565" spans="25:25" hidden="1" x14ac:dyDescent="0.25">
      <c r="Y30565" s="501"/>
    </row>
    <row r="30566" spans="25:25" hidden="1" x14ac:dyDescent="0.25">
      <c r="Y30566" s="501"/>
    </row>
    <row r="30567" spans="25:25" hidden="1" x14ac:dyDescent="0.25">
      <c r="Y30567" s="501"/>
    </row>
    <row r="30568" spans="25:25" hidden="1" x14ac:dyDescent="0.25">
      <c r="Y30568" s="501"/>
    </row>
    <row r="30569" spans="25:25" hidden="1" x14ac:dyDescent="0.25">
      <c r="Y30569" s="501"/>
    </row>
    <row r="30570" spans="25:25" hidden="1" x14ac:dyDescent="0.25">
      <c r="Y30570" s="501"/>
    </row>
    <row r="30571" spans="25:25" hidden="1" x14ac:dyDescent="0.25">
      <c r="Y30571" s="501"/>
    </row>
    <row r="30572" spans="25:25" hidden="1" x14ac:dyDescent="0.25">
      <c r="Y30572" s="501"/>
    </row>
    <row r="30573" spans="25:25" hidden="1" x14ac:dyDescent="0.25">
      <c r="Y30573" s="501"/>
    </row>
    <row r="30574" spans="25:25" hidden="1" x14ac:dyDescent="0.25">
      <c r="Y30574" s="501"/>
    </row>
    <row r="30575" spans="25:25" hidden="1" x14ac:dyDescent="0.25">
      <c r="Y30575" s="501"/>
    </row>
    <row r="30576" spans="25:25" hidden="1" x14ac:dyDescent="0.25">
      <c r="Y30576" s="501"/>
    </row>
    <row r="30577" spans="25:25" hidden="1" x14ac:dyDescent="0.25">
      <c r="Y30577" s="501"/>
    </row>
    <row r="30578" spans="25:25" hidden="1" x14ac:dyDescent="0.25">
      <c r="Y30578" s="501"/>
    </row>
    <row r="30579" spans="25:25" hidden="1" x14ac:dyDescent="0.25">
      <c r="Y30579" s="501"/>
    </row>
    <row r="30580" spans="25:25" hidden="1" x14ac:dyDescent="0.25">
      <c r="Y30580" s="501"/>
    </row>
    <row r="30581" spans="25:25" hidden="1" x14ac:dyDescent="0.25">
      <c r="Y30581" s="501"/>
    </row>
    <row r="30582" spans="25:25" hidden="1" x14ac:dyDescent="0.25">
      <c r="Y30582" s="501"/>
    </row>
    <row r="30583" spans="25:25" hidden="1" x14ac:dyDescent="0.25">
      <c r="Y30583" s="501"/>
    </row>
    <row r="30584" spans="25:25" hidden="1" x14ac:dyDescent="0.25">
      <c r="Y30584" s="501"/>
    </row>
    <row r="30585" spans="25:25" hidden="1" x14ac:dyDescent="0.25">
      <c r="Y30585" s="501"/>
    </row>
    <row r="30586" spans="25:25" hidden="1" x14ac:dyDescent="0.25">
      <c r="Y30586" s="501"/>
    </row>
    <row r="30587" spans="25:25" hidden="1" x14ac:dyDescent="0.25">
      <c r="Y30587" s="501"/>
    </row>
    <row r="30588" spans="25:25" hidden="1" x14ac:dyDescent="0.25">
      <c r="Y30588" s="501"/>
    </row>
    <row r="30589" spans="25:25" hidden="1" x14ac:dyDescent="0.25">
      <c r="Y30589" s="501"/>
    </row>
    <row r="30590" spans="25:25" hidden="1" x14ac:dyDescent="0.25">
      <c r="Y30590" s="501"/>
    </row>
    <row r="30591" spans="25:25" hidden="1" x14ac:dyDescent="0.25">
      <c r="Y30591" s="501"/>
    </row>
    <row r="30592" spans="25:25" hidden="1" x14ac:dyDescent="0.25">
      <c r="Y30592" s="501"/>
    </row>
    <row r="30593" spans="25:25" hidden="1" x14ac:dyDescent="0.25">
      <c r="Y30593" s="501"/>
    </row>
    <row r="30594" spans="25:25" hidden="1" x14ac:dyDescent="0.25">
      <c r="Y30594" s="501"/>
    </row>
    <row r="30595" spans="25:25" hidden="1" x14ac:dyDescent="0.25">
      <c r="Y30595" s="501"/>
    </row>
    <row r="30596" spans="25:25" hidden="1" x14ac:dyDescent="0.25">
      <c r="Y30596" s="501"/>
    </row>
    <row r="30597" spans="25:25" hidden="1" x14ac:dyDescent="0.25">
      <c r="Y30597" s="501"/>
    </row>
    <row r="30598" spans="25:25" hidden="1" x14ac:dyDescent="0.25">
      <c r="Y30598" s="501"/>
    </row>
    <row r="30599" spans="25:25" hidden="1" x14ac:dyDescent="0.25">
      <c r="Y30599" s="501"/>
    </row>
    <row r="30600" spans="25:25" hidden="1" x14ac:dyDescent="0.25">
      <c r="Y30600" s="501"/>
    </row>
    <row r="30601" spans="25:25" hidden="1" x14ac:dyDescent="0.25">
      <c r="Y30601" s="501"/>
    </row>
    <row r="30602" spans="25:25" hidden="1" x14ac:dyDescent="0.25">
      <c r="Y30602" s="501"/>
    </row>
    <row r="30603" spans="25:25" hidden="1" x14ac:dyDescent="0.25">
      <c r="Y30603" s="501"/>
    </row>
    <row r="30604" spans="25:25" hidden="1" x14ac:dyDescent="0.25">
      <c r="Y30604" s="501"/>
    </row>
    <row r="30605" spans="25:25" hidden="1" x14ac:dyDescent="0.25">
      <c r="Y30605" s="501"/>
    </row>
    <row r="30606" spans="25:25" hidden="1" x14ac:dyDescent="0.25">
      <c r="Y30606" s="501"/>
    </row>
    <row r="30607" spans="25:25" hidden="1" x14ac:dyDescent="0.25">
      <c r="Y30607" s="501"/>
    </row>
    <row r="30608" spans="25:25" hidden="1" x14ac:dyDescent="0.25">
      <c r="Y30608" s="501"/>
    </row>
    <row r="30609" spans="25:25" hidden="1" x14ac:dyDescent="0.25">
      <c r="Y30609" s="501"/>
    </row>
    <row r="30610" spans="25:25" hidden="1" x14ac:dyDescent="0.25">
      <c r="Y30610" s="501"/>
    </row>
    <row r="30611" spans="25:25" hidden="1" x14ac:dyDescent="0.25">
      <c r="Y30611" s="501"/>
    </row>
    <row r="30612" spans="25:25" hidden="1" x14ac:dyDescent="0.25">
      <c r="Y30612" s="501"/>
    </row>
    <row r="30613" spans="25:25" hidden="1" x14ac:dyDescent="0.25">
      <c r="Y30613" s="501"/>
    </row>
    <row r="30614" spans="25:25" hidden="1" x14ac:dyDescent="0.25">
      <c r="Y30614" s="501"/>
    </row>
    <row r="30615" spans="25:25" hidden="1" x14ac:dyDescent="0.25">
      <c r="Y30615" s="501"/>
    </row>
    <row r="30616" spans="25:25" hidden="1" x14ac:dyDescent="0.25">
      <c r="Y30616" s="501"/>
    </row>
    <row r="30617" spans="25:25" hidden="1" x14ac:dyDescent="0.25">
      <c r="Y30617" s="501"/>
    </row>
    <row r="30618" spans="25:25" hidden="1" x14ac:dyDescent="0.25">
      <c r="Y30618" s="501"/>
    </row>
    <row r="30619" spans="25:25" hidden="1" x14ac:dyDescent="0.25">
      <c r="Y30619" s="501"/>
    </row>
    <row r="30620" spans="25:25" hidden="1" x14ac:dyDescent="0.25">
      <c r="Y30620" s="501"/>
    </row>
    <row r="30621" spans="25:25" hidden="1" x14ac:dyDescent="0.25">
      <c r="Y30621" s="501"/>
    </row>
    <row r="30622" spans="25:25" hidden="1" x14ac:dyDescent="0.25">
      <c r="Y30622" s="501"/>
    </row>
    <row r="30623" spans="25:25" hidden="1" x14ac:dyDescent="0.25">
      <c r="Y30623" s="501"/>
    </row>
    <row r="30624" spans="25:25" hidden="1" x14ac:dyDescent="0.25">
      <c r="Y30624" s="501"/>
    </row>
    <row r="30625" spans="25:25" hidden="1" x14ac:dyDescent="0.25">
      <c r="Y30625" s="501"/>
    </row>
    <row r="30626" spans="25:25" hidden="1" x14ac:dyDescent="0.25">
      <c r="Y30626" s="501"/>
    </row>
    <row r="30627" spans="25:25" hidden="1" x14ac:dyDescent="0.25">
      <c r="Y30627" s="501"/>
    </row>
    <row r="30628" spans="25:25" hidden="1" x14ac:dyDescent="0.25">
      <c r="Y30628" s="501"/>
    </row>
    <row r="30629" spans="25:25" hidden="1" x14ac:dyDescent="0.25">
      <c r="Y30629" s="501"/>
    </row>
    <row r="30630" spans="25:25" hidden="1" x14ac:dyDescent="0.25">
      <c r="Y30630" s="501"/>
    </row>
    <row r="30631" spans="25:25" hidden="1" x14ac:dyDescent="0.25">
      <c r="Y30631" s="501"/>
    </row>
    <row r="30632" spans="25:25" hidden="1" x14ac:dyDescent="0.25">
      <c r="Y30632" s="501"/>
    </row>
    <row r="30633" spans="25:25" hidden="1" x14ac:dyDescent="0.25">
      <c r="Y30633" s="501"/>
    </row>
    <row r="30634" spans="25:25" hidden="1" x14ac:dyDescent="0.25">
      <c r="Y30634" s="501"/>
    </row>
    <row r="30635" spans="25:25" hidden="1" x14ac:dyDescent="0.25">
      <c r="Y30635" s="501"/>
    </row>
    <row r="30636" spans="25:25" hidden="1" x14ac:dyDescent="0.25">
      <c r="Y30636" s="501"/>
    </row>
    <row r="30637" spans="25:25" hidden="1" x14ac:dyDescent="0.25">
      <c r="Y30637" s="501"/>
    </row>
    <row r="30638" spans="25:25" hidden="1" x14ac:dyDescent="0.25">
      <c r="Y30638" s="501"/>
    </row>
    <row r="30639" spans="25:25" hidden="1" x14ac:dyDescent="0.25">
      <c r="Y30639" s="501"/>
    </row>
    <row r="30640" spans="25:25" hidden="1" x14ac:dyDescent="0.25">
      <c r="Y30640" s="501"/>
    </row>
    <row r="30641" spans="25:25" hidden="1" x14ac:dyDescent="0.25">
      <c r="Y30641" s="501"/>
    </row>
    <row r="30642" spans="25:25" hidden="1" x14ac:dyDescent="0.25">
      <c r="Y30642" s="501"/>
    </row>
    <row r="30643" spans="25:25" hidden="1" x14ac:dyDescent="0.25">
      <c r="Y30643" s="501"/>
    </row>
    <row r="30644" spans="25:25" hidden="1" x14ac:dyDescent="0.25">
      <c r="Y30644" s="501"/>
    </row>
    <row r="30645" spans="25:25" hidden="1" x14ac:dyDescent="0.25">
      <c r="Y30645" s="501"/>
    </row>
    <row r="30646" spans="25:25" hidden="1" x14ac:dyDescent="0.25">
      <c r="Y30646" s="501"/>
    </row>
    <row r="30647" spans="25:25" hidden="1" x14ac:dyDescent="0.25">
      <c r="Y30647" s="501"/>
    </row>
    <row r="30648" spans="25:25" hidden="1" x14ac:dyDescent="0.25">
      <c r="Y30648" s="501"/>
    </row>
    <row r="30649" spans="25:25" hidden="1" x14ac:dyDescent="0.25">
      <c r="Y30649" s="501"/>
    </row>
    <row r="30650" spans="25:25" hidden="1" x14ac:dyDescent="0.25">
      <c r="Y30650" s="501"/>
    </row>
    <row r="30651" spans="25:25" hidden="1" x14ac:dyDescent="0.25">
      <c r="Y30651" s="501"/>
    </row>
    <row r="30652" spans="25:25" hidden="1" x14ac:dyDescent="0.25">
      <c r="Y30652" s="501"/>
    </row>
    <row r="30653" spans="25:25" hidden="1" x14ac:dyDescent="0.25">
      <c r="Y30653" s="501"/>
    </row>
    <row r="30654" spans="25:25" hidden="1" x14ac:dyDescent="0.25">
      <c r="Y30654" s="501"/>
    </row>
    <row r="30655" spans="25:25" hidden="1" x14ac:dyDescent="0.25">
      <c r="Y30655" s="501"/>
    </row>
    <row r="30656" spans="25:25" hidden="1" x14ac:dyDescent="0.25">
      <c r="Y30656" s="501"/>
    </row>
    <row r="30657" spans="25:25" hidden="1" x14ac:dyDescent="0.25">
      <c r="Y30657" s="501"/>
    </row>
    <row r="30658" spans="25:25" hidden="1" x14ac:dyDescent="0.25">
      <c r="Y30658" s="501"/>
    </row>
    <row r="30659" spans="25:25" hidden="1" x14ac:dyDescent="0.25">
      <c r="Y30659" s="501"/>
    </row>
    <row r="30660" spans="25:25" hidden="1" x14ac:dyDescent="0.25">
      <c r="Y30660" s="501"/>
    </row>
    <row r="30661" spans="25:25" hidden="1" x14ac:dyDescent="0.25">
      <c r="Y30661" s="501"/>
    </row>
    <row r="30662" spans="25:25" hidden="1" x14ac:dyDescent="0.25">
      <c r="Y30662" s="501"/>
    </row>
    <row r="30663" spans="25:25" hidden="1" x14ac:dyDescent="0.25">
      <c r="Y30663" s="501"/>
    </row>
    <row r="30664" spans="25:25" hidden="1" x14ac:dyDescent="0.25">
      <c r="Y30664" s="501"/>
    </row>
    <row r="30665" spans="25:25" hidden="1" x14ac:dyDescent="0.25">
      <c r="Y30665" s="501"/>
    </row>
    <row r="30666" spans="25:25" hidden="1" x14ac:dyDescent="0.25">
      <c r="Y30666" s="501"/>
    </row>
    <row r="30667" spans="25:25" hidden="1" x14ac:dyDescent="0.25">
      <c r="Y30667" s="501"/>
    </row>
    <row r="30668" spans="25:25" hidden="1" x14ac:dyDescent="0.25">
      <c r="Y30668" s="501"/>
    </row>
    <row r="30669" spans="25:25" hidden="1" x14ac:dyDescent="0.25">
      <c r="Y30669" s="501"/>
    </row>
    <row r="30670" spans="25:25" hidden="1" x14ac:dyDescent="0.25">
      <c r="Y30670" s="501"/>
    </row>
    <row r="30671" spans="25:25" hidden="1" x14ac:dyDescent="0.25">
      <c r="Y30671" s="501"/>
    </row>
    <row r="30672" spans="25:25" hidden="1" x14ac:dyDescent="0.25">
      <c r="Y30672" s="501"/>
    </row>
    <row r="30673" spans="25:25" hidden="1" x14ac:dyDescent="0.25">
      <c r="Y30673" s="501"/>
    </row>
    <row r="30674" spans="25:25" hidden="1" x14ac:dyDescent="0.25">
      <c r="Y30674" s="501"/>
    </row>
    <row r="30675" spans="25:25" hidden="1" x14ac:dyDescent="0.25">
      <c r="Y30675" s="501"/>
    </row>
    <row r="30676" spans="25:25" hidden="1" x14ac:dyDescent="0.25">
      <c r="Y30676" s="501"/>
    </row>
    <row r="30677" spans="25:25" hidden="1" x14ac:dyDescent="0.25">
      <c r="Y30677" s="501"/>
    </row>
    <row r="30678" spans="25:25" hidden="1" x14ac:dyDescent="0.25">
      <c r="Y30678" s="501"/>
    </row>
    <row r="30679" spans="25:25" hidden="1" x14ac:dyDescent="0.25">
      <c r="Y30679" s="501"/>
    </row>
    <row r="30680" spans="25:25" hidden="1" x14ac:dyDescent="0.25">
      <c r="Y30680" s="501"/>
    </row>
    <row r="30681" spans="25:25" hidden="1" x14ac:dyDescent="0.25">
      <c r="Y30681" s="501"/>
    </row>
    <row r="30682" spans="25:25" hidden="1" x14ac:dyDescent="0.25">
      <c r="Y30682" s="501"/>
    </row>
    <row r="30683" spans="25:25" hidden="1" x14ac:dyDescent="0.25">
      <c r="Y30683" s="501"/>
    </row>
    <row r="30684" spans="25:25" hidden="1" x14ac:dyDescent="0.25">
      <c r="Y30684" s="501"/>
    </row>
    <row r="30685" spans="25:25" hidden="1" x14ac:dyDescent="0.25">
      <c r="Y30685" s="501"/>
    </row>
    <row r="30686" spans="25:25" hidden="1" x14ac:dyDescent="0.25">
      <c r="Y30686" s="501"/>
    </row>
    <row r="30687" spans="25:25" hidden="1" x14ac:dyDescent="0.25">
      <c r="Y30687" s="501"/>
    </row>
    <row r="30688" spans="25:25" hidden="1" x14ac:dyDescent="0.25">
      <c r="Y30688" s="501"/>
    </row>
    <row r="30689" spans="25:25" hidden="1" x14ac:dyDescent="0.25">
      <c r="Y30689" s="501"/>
    </row>
    <row r="30690" spans="25:25" hidden="1" x14ac:dyDescent="0.25">
      <c r="Y30690" s="501"/>
    </row>
    <row r="30691" spans="25:25" hidden="1" x14ac:dyDescent="0.25">
      <c r="Y30691" s="501"/>
    </row>
    <row r="30692" spans="25:25" hidden="1" x14ac:dyDescent="0.25">
      <c r="Y30692" s="501"/>
    </row>
    <row r="30693" spans="25:25" hidden="1" x14ac:dyDescent="0.25">
      <c r="Y30693" s="501"/>
    </row>
    <row r="30694" spans="25:25" hidden="1" x14ac:dyDescent="0.25">
      <c r="Y30694" s="501"/>
    </row>
    <row r="30695" spans="25:25" hidden="1" x14ac:dyDescent="0.25">
      <c r="Y30695" s="501"/>
    </row>
    <row r="30696" spans="25:25" hidden="1" x14ac:dyDescent="0.25">
      <c r="Y30696" s="501"/>
    </row>
    <row r="30697" spans="25:25" hidden="1" x14ac:dyDescent="0.25">
      <c r="Y30697" s="501"/>
    </row>
    <row r="30698" spans="25:25" hidden="1" x14ac:dyDescent="0.25">
      <c r="Y30698" s="501"/>
    </row>
    <row r="30699" spans="25:25" hidden="1" x14ac:dyDescent="0.25">
      <c r="Y30699" s="501"/>
    </row>
    <row r="30700" spans="25:25" hidden="1" x14ac:dyDescent="0.25">
      <c r="Y30700" s="501"/>
    </row>
    <row r="30701" spans="25:25" hidden="1" x14ac:dyDescent="0.25">
      <c r="Y30701" s="501"/>
    </row>
    <row r="30702" spans="25:25" hidden="1" x14ac:dyDescent="0.25">
      <c r="Y30702" s="501"/>
    </row>
    <row r="30703" spans="25:25" hidden="1" x14ac:dyDescent="0.25">
      <c r="Y30703" s="501"/>
    </row>
    <row r="30704" spans="25:25" hidden="1" x14ac:dyDescent="0.25">
      <c r="Y30704" s="501"/>
    </row>
    <row r="30705" spans="25:25" hidden="1" x14ac:dyDescent="0.25">
      <c r="Y30705" s="501"/>
    </row>
    <row r="30706" spans="25:25" hidden="1" x14ac:dyDescent="0.25">
      <c r="Y30706" s="501"/>
    </row>
    <row r="30707" spans="25:25" hidden="1" x14ac:dyDescent="0.25">
      <c r="Y30707" s="501"/>
    </row>
    <row r="30708" spans="25:25" hidden="1" x14ac:dyDescent="0.25">
      <c r="Y30708" s="501"/>
    </row>
    <row r="30709" spans="25:25" hidden="1" x14ac:dyDescent="0.25">
      <c r="Y30709" s="501"/>
    </row>
    <row r="30710" spans="25:25" hidden="1" x14ac:dyDescent="0.25">
      <c r="Y30710" s="501"/>
    </row>
    <row r="30711" spans="25:25" hidden="1" x14ac:dyDescent="0.25">
      <c r="Y30711" s="501"/>
    </row>
    <row r="30712" spans="25:25" hidden="1" x14ac:dyDescent="0.25">
      <c r="Y30712" s="501"/>
    </row>
    <row r="30713" spans="25:25" hidden="1" x14ac:dyDescent="0.25">
      <c r="Y30713" s="501"/>
    </row>
    <row r="30714" spans="25:25" hidden="1" x14ac:dyDescent="0.25">
      <c r="Y30714" s="501"/>
    </row>
    <row r="30715" spans="25:25" hidden="1" x14ac:dyDescent="0.25">
      <c r="Y30715" s="501"/>
    </row>
    <row r="30716" spans="25:25" hidden="1" x14ac:dyDescent="0.25">
      <c r="Y30716" s="501"/>
    </row>
    <row r="30717" spans="25:25" hidden="1" x14ac:dyDescent="0.25">
      <c r="Y30717" s="501"/>
    </row>
    <row r="30718" spans="25:25" hidden="1" x14ac:dyDescent="0.25">
      <c r="Y30718" s="501"/>
    </row>
    <row r="30719" spans="25:25" hidden="1" x14ac:dyDescent="0.25">
      <c r="Y30719" s="501"/>
    </row>
    <row r="30720" spans="25:25" hidden="1" x14ac:dyDescent="0.25">
      <c r="Y30720" s="501"/>
    </row>
    <row r="30721" spans="25:25" hidden="1" x14ac:dyDescent="0.25">
      <c r="Y30721" s="501"/>
    </row>
    <row r="30722" spans="25:25" hidden="1" x14ac:dyDescent="0.25">
      <c r="Y30722" s="501"/>
    </row>
    <row r="30723" spans="25:25" hidden="1" x14ac:dyDescent="0.25">
      <c r="Y30723" s="501"/>
    </row>
    <row r="30724" spans="25:25" hidden="1" x14ac:dyDescent="0.25">
      <c r="Y30724" s="501"/>
    </row>
    <row r="30725" spans="25:25" hidden="1" x14ac:dyDescent="0.25">
      <c r="Y30725" s="501"/>
    </row>
    <row r="30726" spans="25:25" hidden="1" x14ac:dyDescent="0.25">
      <c r="Y30726" s="501"/>
    </row>
    <row r="30727" spans="25:25" hidden="1" x14ac:dyDescent="0.25">
      <c r="Y30727" s="501"/>
    </row>
    <row r="30728" spans="25:25" hidden="1" x14ac:dyDescent="0.25">
      <c r="Y30728" s="501"/>
    </row>
    <row r="30729" spans="25:25" hidden="1" x14ac:dyDescent="0.25">
      <c r="Y30729" s="501"/>
    </row>
    <row r="30730" spans="25:25" hidden="1" x14ac:dyDescent="0.25">
      <c r="Y30730" s="501"/>
    </row>
    <row r="30731" spans="25:25" hidden="1" x14ac:dyDescent="0.25">
      <c r="Y30731" s="501"/>
    </row>
    <row r="30732" spans="25:25" hidden="1" x14ac:dyDescent="0.25">
      <c r="Y30732" s="501"/>
    </row>
    <row r="30733" spans="25:25" hidden="1" x14ac:dyDescent="0.25">
      <c r="Y30733" s="501"/>
    </row>
    <row r="30734" spans="25:25" hidden="1" x14ac:dyDescent="0.25">
      <c r="Y30734" s="501"/>
    </row>
    <row r="30735" spans="25:25" hidden="1" x14ac:dyDescent="0.25">
      <c r="Y30735" s="501"/>
    </row>
    <row r="30736" spans="25:25" hidden="1" x14ac:dyDescent="0.25">
      <c r="Y30736" s="501"/>
    </row>
    <row r="30737" spans="25:25" hidden="1" x14ac:dyDescent="0.25">
      <c r="Y30737" s="501"/>
    </row>
    <row r="30738" spans="25:25" hidden="1" x14ac:dyDescent="0.25">
      <c r="Y30738" s="501"/>
    </row>
    <row r="30739" spans="25:25" hidden="1" x14ac:dyDescent="0.25">
      <c r="Y30739" s="501"/>
    </row>
    <row r="30740" spans="25:25" hidden="1" x14ac:dyDescent="0.25">
      <c r="Y30740" s="501"/>
    </row>
    <row r="30741" spans="25:25" hidden="1" x14ac:dyDescent="0.25">
      <c r="Y30741" s="501"/>
    </row>
    <row r="30742" spans="25:25" hidden="1" x14ac:dyDescent="0.25">
      <c r="Y30742" s="501"/>
    </row>
    <row r="30743" spans="25:25" hidden="1" x14ac:dyDescent="0.25">
      <c r="Y30743" s="501"/>
    </row>
    <row r="30744" spans="25:25" hidden="1" x14ac:dyDescent="0.25">
      <c r="Y30744" s="501"/>
    </row>
    <row r="30745" spans="25:25" hidden="1" x14ac:dyDescent="0.25">
      <c r="Y30745" s="501"/>
    </row>
    <row r="30746" spans="25:25" hidden="1" x14ac:dyDescent="0.25">
      <c r="Y30746" s="501"/>
    </row>
    <row r="30747" spans="25:25" hidden="1" x14ac:dyDescent="0.25">
      <c r="Y30747" s="501"/>
    </row>
    <row r="30748" spans="25:25" hidden="1" x14ac:dyDescent="0.25">
      <c r="Y30748" s="501"/>
    </row>
    <row r="30749" spans="25:25" hidden="1" x14ac:dyDescent="0.25">
      <c r="Y30749" s="501"/>
    </row>
    <row r="30750" spans="25:25" hidden="1" x14ac:dyDescent="0.25">
      <c r="Y30750" s="501"/>
    </row>
    <row r="30751" spans="25:25" hidden="1" x14ac:dyDescent="0.25">
      <c r="Y30751" s="501"/>
    </row>
    <row r="30752" spans="25:25" hidden="1" x14ac:dyDescent="0.25">
      <c r="Y30752" s="501"/>
    </row>
    <row r="30753" spans="25:25" hidden="1" x14ac:dyDescent="0.25">
      <c r="Y30753" s="501"/>
    </row>
    <row r="30754" spans="25:25" hidden="1" x14ac:dyDescent="0.25">
      <c r="Y30754" s="501"/>
    </row>
    <row r="30755" spans="25:25" hidden="1" x14ac:dyDescent="0.25">
      <c r="Y30755" s="501"/>
    </row>
    <row r="30756" spans="25:25" hidden="1" x14ac:dyDescent="0.25">
      <c r="Y30756" s="501"/>
    </row>
    <row r="30757" spans="25:25" hidden="1" x14ac:dyDescent="0.25">
      <c r="Y30757" s="501"/>
    </row>
    <row r="30758" spans="25:25" hidden="1" x14ac:dyDescent="0.25">
      <c r="Y30758" s="501"/>
    </row>
    <row r="30759" spans="25:25" hidden="1" x14ac:dyDescent="0.25">
      <c r="Y30759" s="501"/>
    </row>
    <row r="30760" spans="25:25" hidden="1" x14ac:dyDescent="0.25">
      <c r="Y30760" s="501"/>
    </row>
    <row r="30761" spans="25:25" hidden="1" x14ac:dyDescent="0.25">
      <c r="Y30761" s="501"/>
    </row>
    <row r="30762" spans="25:25" hidden="1" x14ac:dyDescent="0.25">
      <c r="Y30762" s="501"/>
    </row>
    <row r="30763" spans="25:25" hidden="1" x14ac:dyDescent="0.25">
      <c r="Y30763" s="501"/>
    </row>
    <row r="30764" spans="25:25" hidden="1" x14ac:dyDescent="0.25">
      <c r="Y30764" s="501"/>
    </row>
    <row r="30765" spans="25:25" hidden="1" x14ac:dyDescent="0.25">
      <c r="Y30765" s="501"/>
    </row>
    <row r="30766" spans="25:25" hidden="1" x14ac:dyDescent="0.25">
      <c r="Y30766" s="501"/>
    </row>
    <row r="30767" spans="25:25" hidden="1" x14ac:dyDescent="0.25">
      <c r="Y30767" s="501"/>
    </row>
    <row r="30768" spans="25:25" hidden="1" x14ac:dyDescent="0.25">
      <c r="Y30768" s="501"/>
    </row>
    <row r="30769" spans="25:25" hidden="1" x14ac:dyDescent="0.25">
      <c r="Y30769" s="501"/>
    </row>
    <row r="30770" spans="25:25" hidden="1" x14ac:dyDescent="0.25">
      <c r="Y30770" s="501"/>
    </row>
    <row r="30771" spans="25:25" hidden="1" x14ac:dyDescent="0.25">
      <c r="Y30771" s="501"/>
    </row>
    <row r="30772" spans="25:25" hidden="1" x14ac:dyDescent="0.25">
      <c r="Y30772" s="501"/>
    </row>
    <row r="30773" spans="25:25" hidden="1" x14ac:dyDescent="0.25">
      <c r="Y30773" s="501"/>
    </row>
    <row r="30774" spans="25:25" hidden="1" x14ac:dyDescent="0.25">
      <c r="Y30774" s="501"/>
    </row>
    <row r="30775" spans="25:25" hidden="1" x14ac:dyDescent="0.25">
      <c r="Y30775" s="501"/>
    </row>
    <row r="30776" spans="25:25" hidden="1" x14ac:dyDescent="0.25">
      <c r="Y30776" s="501"/>
    </row>
    <row r="30777" spans="25:25" hidden="1" x14ac:dyDescent="0.25">
      <c r="Y30777" s="501"/>
    </row>
    <row r="30778" spans="25:25" hidden="1" x14ac:dyDescent="0.25">
      <c r="Y30778" s="501"/>
    </row>
    <row r="30779" spans="25:25" hidden="1" x14ac:dyDescent="0.25">
      <c r="Y30779" s="501"/>
    </row>
    <row r="30780" spans="25:25" hidden="1" x14ac:dyDescent="0.25">
      <c r="Y30780" s="501"/>
    </row>
    <row r="30781" spans="25:25" hidden="1" x14ac:dyDescent="0.25">
      <c r="Y30781" s="501"/>
    </row>
    <row r="30782" spans="25:25" hidden="1" x14ac:dyDescent="0.25">
      <c r="Y30782" s="501"/>
    </row>
    <row r="30783" spans="25:25" hidden="1" x14ac:dyDescent="0.25">
      <c r="Y30783" s="501"/>
    </row>
    <row r="30784" spans="25:25" hidden="1" x14ac:dyDescent="0.25">
      <c r="Y30784" s="501"/>
    </row>
    <row r="30785" spans="25:25" hidden="1" x14ac:dyDescent="0.25">
      <c r="Y30785" s="501"/>
    </row>
    <row r="30786" spans="25:25" hidden="1" x14ac:dyDescent="0.25">
      <c r="Y30786" s="501"/>
    </row>
    <row r="30787" spans="25:25" hidden="1" x14ac:dyDescent="0.25">
      <c r="Y30787" s="501"/>
    </row>
    <row r="30788" spans="25:25" hidden="1" x14ac:dyDescent="0.25">
      <c r="Y30788" s="501"/>
    </row>
    <row r="30789" spans="25:25" hidden="1" x14ac:dyDescent="0.25">
      <c r="Y30789" s="501"/>
    </row>
    <row r="30790" spans="25:25" hidden="1" x14ac:dyDescent="0.25">
      <c r="Y30790" s="501"/>
    </row>
    <row r="30791" spans="25:25" hidden="1" x14ac:dyDescent="0.25">
      <c r="Y30791" s="501"/>
    </row>
    <row r="30792" spans="25:25" hidden="1" x14ac:dyDescent="0.25">
      <c r="Y30792" s="501"/>
    </row>
    <row r="30793" spans="25:25" hidden="1" x14ac:dyDescent="0.25">
      <c r="Y30793" s="501"/>
    </row>
    <row r="30794" spans="25:25" hidden="1" x14ac:dyDescent="0.25">
      <c r="Y30794" s="501"/>
    </row>
    <row r="30795" spans="25:25" hidden="1" x14ac:dyDescent="0.25">
      <c r="Y30795" s="501"/>
    </row>
    <row r="30796" spans="25:25" hidden="1" x14ac:dyDescent="0.25">
      <c r="Y30796" s="501"/>
    </row>
    <row r="30797" spans="25:25" hidden="1" x14ac:dyDescent="0.25">
      <c r="Y30797" s="501"/>
    </row>
    <row r="30798" spans="25:25" hidden="1" x14ac:dyDescent="0.25">
      <c r="Y30798" s="501"/>
    </row>
    <row r="30799" spans="25:25" hidden="1" x14ac:dyDescent="0.25">
      <c r="Y30799" s="501"/>
    </row>
    <row r="30800" spans="25:25" hidden="1" x14ac:dyDescent="0.25">
      <c r="Y30800" s="501"/>
    </row>
    <row r="30801" spans="25:25" hidden="1" x14ac:dyDescent="0.25">
      <c r="Y30801" s="501"/>
    </row>
    <row r="30802" spans="25:25" hidden="1" x14ac:dyDescent="0.25">
      <c r="Y30802" s="501"/>
    </row>
    <row r="30803" spans="25:25" hidden="1" x14ac:dyDescent="0.25">
      <c r="Y30803" s="501"/>
    </row>
    <row r="30804" spans="25:25" hidden="1" x14ac:dyDescent="0.25">
      <c r="Y30804" s="501"/>
    </row>
    <row r="30805" spans="25:25" hidden="1" x14ac:dyDescent="0.25">
      <c r="Y30805" s="501"/>
    </row>
    <row r="30806" spans="25:25" hidden="1" x14ac:dyDescent="0.25">
      <c r="Y30806" s="501"/>
    </row>
    <row r="30807" spans="25:25" hidden="1" x14ac:dyDescent="0.25">
      <c r="Y30807" s="501"/>
    </row>
    <row r="30808" spans="25:25" hidden="1" x14ac:dyDescent="0.25">
      <c r="Y30808" s="501"/>
    </row>
    <row r="30809" spans="25:25" hidden="1" x14ac:dyDescent="0.25">
      <c r="Y30809" s="501"/>
    </row>
    <row r="30810" spans="25:25" hidden="1" x14ac:dyDescent="0.25">
      <c r="Y30810" s="501"/>
    </row>
    <row r="30811" spans="25:25" hidden="1" x14ac:dyDescent="0.25">
      <c r="Y30811" s="501"/>
    </row>
    <row r="30812" spans="25:25" hidden="1" x14ac:dyDescent="0.25">
      <c r="Y30812" s="501"/>
    </row>
    <row r="30813" spans="25:25" hidden="1" x14ac:dyDescent="0.25">
      <c r="Y30813" s="501"/>
    </row>
    <row r="30814" spans="25:25" hidden="1" x14ac:dyDescent="0.25">
      <c r="Y30814" s="501"/>
    </row>
    <row r="30815" spans="25:25" hidden="1" x14ac:dyDescent="0.25">
      <c r="Y30815" s="501"/>
    </row>
    <row r="30816" spans="25:25" hidden="1" x14ac:dyDescent="0.25">
      <c r="Y30816" s="501"/>
    </row>
    <row r="30817" spans="25:25" hidden="1" x14ac:dyDescent="0.25">
      <c r="Y30817" s="501"/>
    </row>
    <row r="30818" spans="25:25" hidden="1" x14ac:dyDescent="0.25">
      <c r="Y30818" s="501"/>
    </row>
    <row r="30819" spans="25:25" hidden="1" x14ac:dyDescent="0.25">
      <c r="Y30819" s="501"/>
    </row>
    <row r="30820" spans="25:25" hidden="1" x14ac:dyDescent="0.25">
      <c r="Y30820" s="501"/>
    </row>
    <row r="30821" spans="25:25" hidden="1" x14ac:dyDescent="0.25">
      <c r="Y30821" s="501"/>
    </row>
    <row r="30822" spans="25:25" hidden="1" x14ac:dyDescent="0.25">
      <c r="Y30822" s="501"/>
    </row>
    <row r="30823" spans="25:25" hidden="1" x14ac:dyDescent="0.25">
      <c r="Y30823" s="501"/>
    </row>
    <row r="30824" spans="25:25" hidden="1" x14ac:dyDescent="0.25">
      <c r="Y30824" s="501"/>
    </row>
    <row r="30825" spans="25:25" hidden="1" x14ac:dyDescent="0.25">
      <c r="Y30825" s="501"/>
    </row>
    <row r="30826" spans="25:25" hidden="1" x14ac:dyDescent="0.25">
      <c r="Y30826" s="501"/>
    </row>
    <row r="30827" spans="25:25" hidden="1" x14ac:dyDescent="0.25">
      <c r="Y30827" s="501"/>
    </row>
    <row r="30828" spans="25:25" hidden="1" x14ac:dyDescent="0.25">
      <c r="Y30828" s="501"/>
    </row>
    <row r="30829" spans="25:25" hidden="1" x14ac:dyDescent="0.25">
      <c r="Y30829" s="501"/>
    </row>
    <row r="30830" spans="25:25" hidden="1" x14ac:dyDescent="0.25">
      <c r="Y30830" s="501"/>
    </row>
    <row r="30831" spans="25:25" hidden="1" x14ac:dyDescent="0.25">
      <c r="Y30831" s="501"/>
    </row>
    <row r="30832" spans="25:25" hidden="1" x14ac:dyDescent="0.25">
      <c r="Y30832" s="501"/>
    </row>
    <row r="30833" spans="25:25" hidden="1" x14ac:dyDescent="0.25">
      <c r="Y30833" s="501"/>
    </row>
    <row r="30834" spans="25:25" hidden="1" x14ac:dyDescent="0.25">
      <c r="Y30834" s="501"/>
    </row>
    <row r="30835" spans="25:25" hidden="1" x14ac:dyDescent="0.25">
      <c r="Y30835" s="501"/>
    </row>
    <row r="30836" spans="25:25" hidden="1" x14ac:dyDescent="0.25">
      <c r="Y30836" s="501"/>
    </row>
    <row r="30837" spans="25:25" hidden="1" x14ac:dyDescent="0.25">
      <c r="Y30837" s="501"/>
    </row>
    <row r="30838" spans="25:25" hidden="1" x14ac:dyDescent="0.25">
      <c r="Y30838" s="501"/>
    </row>
    <row r="30839" spans="25:25" hidden="1" x14ac:dyDescent="0.25">
      <c r="Y30839" s="501"/>
    </row>
    <row r="30840" spans="25:25" hidden="1" x14ac:dyDescent="0.25">
      <c r="Y30840" s="501"/>
    </row>
    <row r="30841" spans="25:25" hidden="1" x14ac:dyDescent="0.25">
      <c r="Y30841" s="501"/>
    </row>
    <row r="30842" spans="25:25" hidden="1" x14ac:dyDescent="0.25">
      <c r="Y30842" s="501"/>
    </row>
    <row r="30843" spans="25:25" hidden="1" x14ac:dyDescent="0.25">
      <c r="Y30843" s="501"/>
    </row>
    <row r="30844" spans="25:25" hidden="1" x14ac:dyDescent="0.25">
      <c r="Y30844" s="501"/>
    </row>
    <row r="30845" spans="25:25" hidden="1" x14ac:dyDescent="0.25">
      <c r="Y30845" s="501"/>
    </row>
    <row r="30846" spans="25:25" hidden="1" x14ac:dyDescent="0.25">
      <c r="Y30846" s="501"/>
    </row>
    <row r="30847" spans="25:25" hidden="1" x14ac:dyDescent="0.25">
      <c r="Y30847" s="501"/>
    </row>
    <row r="30848" spans="25:25" hidden="1" x14ac:dyDescent="0.25">
      <c r="Y30848" s="501"/>
    </row>
    <row r="30849" spans="25:25" hidden="1" x14ac:dyDescent="0.25">
      <c r="Y30849" s="501"/>
    </row>
    <row r="30850" spans="25:25" hidden="1" x14ac:dyDescent="0.25">
      <c r="Y30850" s="501"/>
    </row>
    <row r="30851" spans="25:25" hidden="1" x14ac:dyDescent="0.25">
      <c r="Y30851" s="501"/>
    </row>
    <row r="30852" spans="25:25" hidden="1" x14ac:dyDescent="0.25">
      <c r="Y30852" s="501"/>
    </row>
    <row r="30853" spans="25:25" hidden="1" x14ac:dyDescent="0.25">
      <c r="Y30853" s="501"/>
    </row>
    <row r="30854" spans="25:25" hidden="1" x14ac:dyDescent="0.25">
      <c r="Y30854" s="501"/>
    </row>
    <row r="30855" spans="25:25" hidden="1" x14ac:dyDescent="0.25">
      <c r="Y30855" s="501"/>
    </row>
    <row r="30856" spans="25:25" hidden="1" x14ac:dyDescent="0.25">
      <c r="Y30856" s="501"/>
    </row>
    <row r="30857" spans="25:25" hidden="1" x14ac:dyDescent="0.25">
      <c r="Y30857" s="501"/>
    </row>
    <row r="30858" spans="25:25" hidden="1" x14ac:dyDescent="0.25">
      <c r="Y30858" s="501"/>
    </row>
    <row r="30859" spans="25:25" hidden="1" x14ac:dyDescent="0.25">
      <c r="Y30859" s="501"/>
    </row>
    <row r="30860" spans="25:25" hidden="1" x14ac:dyDescent="0.25">
      <c r="Y30860" s="501"/>
    </row>
    <row r="30861" spans="25:25" hidden="1" x14ac:dyDescent="0.25">
      <c r="Y30861" s="501"/>
    </row>
    <row r="30862" spans="25:25" hidden="1" x14ac:dyDescent="0.25">
      <c r="Y30862" s="501"/>
    </row>
    <row r="30863" spans="25:25" hidden="1" x14ac:dyDescent="0.25">
      <c r="Y30863" s="501"/>
    </row>
    <row r="30864" spans="25:25" hidden="1" x14ac:dyDescent="0.25">
      <c r="Y30864" s="501"/>
    </row>
    <row r="30865" spans="25:25" hidden="1" x14ac:dyDescent="0.25">
      <c r="Y30865" s="501"/>
    </row>
    <row r="30866" spans="25:25" hidden="1" x14ac:dyDescent="0.25">
      <c r="Y30866" s="501"/>
    </row>
    <row r="30867" spans="25:25" hidden="1" x14ac:dyDescent="0.25">
      <c r="Y30867" s="501"/>
    </row>
    <row r="30868" spans="25:25" hidden="1" x14ac:dyDescent="0.25">
      <c r="Y30868" s="501"/>
    </row>
    <row r="30869" spans="25:25" hidden="1" x14ac:dyDescent="0.25">
      <c r="Y30869" s="501"/>
    </row>
    <row r="30870" spans="25:25" hidden="1" x14ac:dyDescent="0.25">
      <c r="Y30870" s="501"/>
    </row>
    <row r="30871" spans="25:25" hidden="1" x14ac:dyDescent="0.25">
      <c r="Y30871" s="501"/>
    </row>
    <row r="30872" spans="25:25" hidden="1" x14ac:dyDescent="0.25">
      <c r="Y30872" s="501"/>
    </row>
    <row r="30873" spans="25:25" hidden="1" x14ac:dyDescent="0.25">
      <c r="Y30873" s="501"/>
    </row>
    <row r="30874" spans="25:25" hidden="1" x14ac:dyDescent="0.25">
      <c r="Y30874" s="501"/>
    </row>
    <row r="30875" spans="25:25" hidden="1" x14ac:dyDescent="0.25">
      <c r="Y30875" s="501"/>
    </row>
    <row r="30876" spans="25:25" hidden="1" x14ac:dyDescent="0.25">
      <c r="Y30876" s="501"/>
    </row>
    <row r="30877" spans="25:25" hidden="1" x14ac:dyDescent="0.25">
      <c r="Y30877" s="501"/>
    </row>
    <row r="30878" spans="25:25" hidden="1" x14ac:dyDescent="0.25">
      <c r="Y30878" s="501"/>
    </row>
    <row r="30879" spans="25:25" hidden="1" x14ac:dyDescent="0.25">
      <c r="Y30879" s="501"/>
    </row>
    <row r="30880" spans="25:25" hidden="1" x14ac:dyDescent="0.25">
      <c r="Y30880" s="501"/>
    </row>
    <row r="30881" spans="25:25" hidden="1" x14ac:dyDescent="0.25">
      <c r="Y30881" s="501"/>
    </row>
    <row r="30882" spans="25:25" hidden="1" x14ac:dyDescent="0.25">
      <c r="Y30882" s="501"/>
    </row>
    <row r="30883" spans="25:25" hidden="1" x14ac:dyDescent="0.25">
      <c r="Y30883" s="501"/>
    </row>
    <row r="30884" spans="25:25" hidden="1" x14ac:dyDescent="0.25">
      <c r="Y30884" s="501"/>
    </row>
    <row r="30885" spans="25:25" hidden="1" x14ac:dyDescent="0.25">
      <c r="Y30885" s="501"/>
    </row>
    <row r="30886" spans="25:25" hidden="1" x14ac:dyDescent="0.25">
      <c r="Y30886" s="501"/>
    </row>
    <row r="30887" spans="25:25" hidden="1" x14ac:dyDescent="0.25">
      <c r="Y30887" s="501"/>
    </row>
    <row r="30888" spans="25:25" hidden="1" x14ac:dyDescent="0.25">
      <c r="Y30888" s="501"/>
    </row>
    <row r="30889" spans="25:25" hidden="1" x14ac:dyDescent="0.25">
      <c r="Y30889" s="501"/>
    </row>
    <row r="30890" spans="25:25" hidden="1" x14ac:dyDescent="0.25">
      <c r="Y30890" s="501"/>
    </row>
    <row r="30891" spans="25:25" hidden="1" x14ac:dyDescent="0.25">
      <c r="Y30891" s="501"/>
    </row>
    <row r="30892" spans="25:25" hidden="1" x14ac:dyDescent="0.25">
      <c r="Y30892" s="501"/>
    </row>
    <row r="30893" spans="25:25" hidden="1" x14ac:dyDescent="0.25">
      <c r="Y30893" s="501"/>
    </row>
    <row r="30894" spans="25:25" hidden="1" x14ac:dyDescent="0.25">
      <c r="Y30894" s="501"/>
    </row>
    <row r="30895" spans="25:25" hidden="1" x14ac:dyDescent="0.25">
      <c r="Y30895" s="501"/>
    </row>
    <row r="30896" spans="25:25" hidden="1" x14ac:dyDescent="0.25">
      <c r="Y30896" s="501"/>
    </row>
    <row r="30897" spans="25:25" hidden="1" x14ac:dyDescent="0.25">
      <c r="Y30897" s="501"/>
    </row>
    <row r="30898" spans="25:25" hidden="1" x14ac:dyDescent="0.25">
      <c r="Y30898" s="501"/>
    </row>
    <row r="30899" spans="25:25" hidden="1" x14ac:dyDescent="0.25">
      <c r="Y30899" s="501"/>
    </row>
    <row r="30900" spans="25:25" hidden="1" x14ac:dyDescent="0.25">
      <c r="Y30900" s="501"/>
    </row>
    <row r="30901" spans="25:25" hidden="1" x14ac:dyDescent="0.25">
      <c r="Y30901" s="501"/>
    </row>
    <row r="30902" spans="25:25" hidden="1" x14ac:dyDescent="0.25">
      <c r="Y30902" s="501"/>
    </row>
    <row r="30903" spans="25:25" hidden="1" x14ac:dyDescent="0.25">
      <c r="Y30903" s="501"/>
    </row>
    <row r="30904" spans="25:25" hidden="1" x14ac:dyDescent="0.25">
      <c r="Y30904" s="501"/>
    </row>
    <row r="30905" spans="25:25" hidden="1" x14ac:dyDescent="0.25">
      <c r="Y30905" s="501"/>
    </row>
    <row r="30906" spans="25:25" hidden="1" x14ac:dyDescent="0.25">
      <c r="Y30906" s="501"/>
    </row>
    <row r="30907" spans="25:25" hidden="1" x14ac:dyDescent="0.25">
      <c r="Y30907" s="501"/>
    </row>
    <row r="30908" spans="25:25" hidden="1" x14ac:dyDescent="0.25">
      <c r="Y30908" s="501"/>
    </row>
    <row r="30909" spans="25:25" hidden="1" x14ac:dyDescent="0.25">
      <c r="Y30909" s="501"/>
    </row>
    <row r="30910" spans="25:25" hidden="1" x14ac:dyDescent="0.25">
      <c r="Y30910" s="501"/>
    </row>
    <row r="30911" spans="25:25" hidden="1" x14ac:dyDescent="0.25">
      <c r="Y30911" s="501"/>
    </row>
    <row r="30912" spans="25:25" hidden="1" x14ac:dyDescent="0.25">
      <c r="Y30912" s="501"/>
    </row>
    <row r="30913" spans="25:25" hidden="1" x14ac:dyDescent="0.25">
      <c r="Y30913" s="501"/>
    </row>
    <row r="30914" spans="25:25" hidden="1" x14ac:dyDescent="0.25">
      <c r="Y30914" s="501"/>
    </row>
    <row r="30915" spans="25:25" hidden="1" x14ac:dyDescent="0.25">
      <c r="Y30915" s="501"/>
    </row>
    <row r="30916" spans="25:25" hidden="1" x14ac:dyDescent="0.25">
      <c r="Y30916" s="501"/>
    </row>
    <row r="30917" spans="25:25" hidden="1" x14ac:dyDescent="0.25">
      <c r="Y30917" s="501"/>
    </row>
    <row r="30918" spans="25:25" hidden="1" x14ac:dyDescent="0.25">
      <c r="Y30918" s="501"/>
    </row>
    <row r="30919" spans="25:25" hidden="1" x14ac:dyDescent="0.25">
      <c r="Y30919" s="501"/>
    </row>
    <row r="30920" spans="25:25" hidden="1" x14ac:dyDescent="0.25">
      <c r="Y30920" s="501"/>
    </row>
    <row r="30921" spans="25:25" hidden="1" x14ac:dyDescent="0.25">
      <c r="Y30921" s="501"/>
    </row>
    <row r="30922" spans="25:25" hidden="1" x14ac:dyDescent="0.25">
      <c r="Y30922" s="501"/>
    </row>
    <row r="30923" spans="25:25" hidden="1" x14ac:dyDescent="0.25">
      <c r="Y30923" s="501"/>
    </row>
    <row r="30924" spans="25:25" hidden="1" x14ac:dyDescent="0.25">
      <c r="Y30924" s="501"/>
    </row>
    <row r="30925" spans="25:25" hidden="1" x14ac:dyDescent="0.25">
      <c r="Y30925" s="501"/>
    </row>
    <row r="30926" spans="25:25" hidden="1" x14ac:dyDescent="0.25">
      <c r="Y30926" s="501"/>
    </row>
    <row r="30927" spans="25:25" hidden="1" x14ac:dyDescent="0.25">
      <c r="Y30927" s="501"/>
    </row>
    <row r="30928" spans="25:25" hidden="1" x14ac:dyDescent="0.25">
      <c r="Y30928" s="501"/>
    </row>
    <row r="30929" spans="25:25" hidden="1" x14ac:dyDescent="0.25">
      <c r="Y30929" s="501"/>
    </row>
    <row r="30930" spans="25:25" hidden="1" x14ac:dyDescent="0.25">
      <c r="Y30930" s="501"/>
    </row>
    <row r="30931" spans="25:25" hidden="1" x14ac:dyDescent="0.25">
      <c r="Y30931" s="501"/>
    </row>
    <row r="30932" spans="25:25" hidden="1" x14ac:dyDescent="0.25">
      <c r="Y30932" s="501"/>
    </row>
    <row r="30933" spans="25:25" hidden="1" x14ac:dyDescent="0.25">
      <c r="Y30933" s="501"/>
    </row>
    <row r="30934" spans="25:25" hidden="1" x14ac:dyDescent="0.25">
      <c r="Y30934" s="501"/>
    </row>
    <row r="30935" spans="25:25" hidden="1" x14ac:dyDescent="0.25">
      <c r="Y30935" s="501"/>
    </row>
    <row r="30936" spans="25:25" hidden="1" x14ac:dyDescent="0.25">
      <c r="Y30936" s="501"/>
    </row>
    <row r="30937" spans="25:25" hidden="1" x14ac:dyDescent="0.25">
      <c r="Y30937" s="501"/>
    </row>
    <row r="30938" spans="25:25" hidden="1" x14ac:dyDescent="0.25">
      <c r="Y30938" s="501"/>
    </row>
    <row r="30939" spans="25:25" hidden="1" x14ac:dyDescent="0.25">
      <c r="Y30939" s="501"/>
    </row>
    <row r="30940" spans="25:25" hidden="1" x14ac:dyDescent="0.25">
      <c r="Y30940" s="501"/>
    </row>
    <row r="30941" spans="25:25" hidden="1" x14ac:dyDescent="0.25">
      <c r="Y30941" s="501"/>
    </row>
    <row r="30942" spans="25:25" hidden="1" x14ac:dyDescent="0.25">
      <c r="Y30942" s="501"/>
    </row>
    <row r="30943" spans="25:25" hidden="1" x14ac:dyDescent="0.25">
      <c r="Y30943" s="501"/>
    </row>
    <row r="30944" spans="25:25" hidden="1" x14ac:dyDescent="0.25">
      <c r="Y30944" s="501"/>
    </row>
    <row r="30945" spans="25:25" hidden="1" x14ac:dyDescent="0.25">
      <c r="Y30945" s="501"/>
    </row>
    <row r="30946" spans="25:25" hidden="1" x14ac:dyDescent="0.25">
      <c r="Y30946" s="501"/>
    </row>
    <row r="30947" spans="25:25" hidden="1" x14ac:dyDescent="0.25">
      <c r="Y30947" s="501"/>
    </row>
    <row r="30948" spans="25:25" hidden="1" x14ac:dyDescent="0.25">
      <c r="Y30948" s="501"/>
    </row>
    <row r="30949" spans="25:25" hidden="1" x14ac:dyDescent="0.25">
      <c r="Y30949" s="501"/>
    </row>
    <row r="30950" spans="25:25" hidden="1" x14ac:dyDescent="0.25">
      <c r="Y30950" s="501"/>
    </row>
    <row r="30951" spans="25:25" hidden="1" x14ac:dyDescent="0.25">
      <c r="Y30951" s="501"/>
    </row>
    <row r="30952" spans="25:25" hidden="1" x14ac:dyDescent="0.25">
      <c r="Y30952" s="501"/>
    </row>
    <row r="30953" spans="25:25" hidden="1" x14ac:dyDescent="0.25">
      <c r="Y30953" s="501"/>
    </row>
    <row r="30954" spans="25:25" hidden="1" x14ac:dyDescent="0.25">
      <c r="Y30954" s="501"/>
    </row>
    <row r="30955" spans="25:25" hidden="1" x14ac:dyDescent="0.25">
      <c r="Y30955" s="501"/>
    </row>
    <row r="30956" spans="25:25" hidden="1" x14ac:dyDescent="0.25">
      <c r="Y30956" s="501"/>
    </row>
    <row r="30957" spans="25:25" hidden="1" x14ac:dyDescent="0.25">
      <c r="Y30957" s="501"/>
    </row>
    <row r="30958" spans="25:25" hidden="1" x14ac:dyDescent="0.25">
      <c r="Y30958" s="501"/>
    </row>
    <row r="30959" spans="25:25" hidden="1" x14ac:dyDescent="0.25">
      <c r="Y30959" s="501"/>
    </row>
    <row r="30960" spans="25:25" hidden="1" x14ac:dyDescent="0.25">
      <c r="Y30960" s="501"/>
    </row>
    <row r="30961" spans="25:25" hidden="1" x14ac:dyDescent="0.25">
      <c r="Y30961" s="501"/>
    </row>
    <row r="30962" spans="25:25" hidden="1" x14ac:dyDescent="0.25">
      <c r="Y30962" s="501"/>
    </row>
    <row r="30963" spans="25:25" hidden="1" x14ac:dyDescent="0.25">
      <c r="Y30963" s="501"/>
    </row>
    <row r="30964" spans="25:25" hidden="1" x14ac:dyDescent="0.25">
      <c r="Y30964" s="501"/>
    </row>
    <row r="30965" spans="25:25" hidden="1" x14ac:dyDescent="0.25">
      <c r="Y30965" s="501"/>
    </row>
    <row r="30966" spans="25:25" hidden="1" x14ac:dyDescent="0.25">
      <c r="Y30966" s="501"/>
    </row>
    <row r="30967" spans="25:25" hidden="1" x14ac:dyDescent="0.25">
      <c r="Y30967" s="501"/>
    </row>
    <row r="30968" spans="25:25" hidden="1" x14ac:dyDescent="0.25">
      <c r="Y30968" s="501"/>
    </row>
    <row r="30969" spans="25:25" hidden="1" x14ac:dyDescent="0.25">
      <c r="Y30969" s="501"/>
    </row>
    <row r="30970" spans="25:25" hidden="1" x14ac:dyDescent="0.25">
      <c r="Y30970" s="501"/>
    </row>
    <row r="30971" spans="25:25" hidden="1" x14ac:dyDescent="0.25">
      <c r="Y30971" s="501"/>
    </row>
    <row r="30972" spans="25:25" hidden="1" x14ac:dyDescent="0.25">
      <c r="Y30972" s="501"/>
    </row>
    <row r="30973" spans="25:25" hidden="1" x14ac:dyDescent="0.25">
      <c r="Y30973" s="501"/>
    </row>
    <row r="30974" spans="25:25" hidden="1" x14ac:dyDescent="0.25">
      <c r="Y30974" s="501"/>
    </row>
    <row r="30975" spans="25:25" hidden="1" x14ac:dyDescent="0.25">
      <c r="Y30975" s="501"/>
    </row>
    <row r="30976" spans="25:25" hidden="1" x14ac:dyDescent="0.25">
      <c r="Y30976" s="501"/>
    </row>
    <row r="30977" spans="25:25" hidden="1" x14ac:dyDescent="0.25">
      <c r="Y30977" s="501"/>
    </row>
    <row r="30978" spans="25:25" hidden="1" x14ac:dyDescent="0.25">
      <c r="Y30978" s="501"/>
    </row>
    <row r="30979" spans="25:25" hidden="1" x14ac:dyDescent="0.25">
      <c r="Y30979" s="501"/>
    </row>
    <row r="30980" spans="25:25" hidden="1" x14ac:dyDescent="0.25">
      <c r="Y30980" s="501"/>
    </row>
    <row r="30981" spans="25:25" hidden="1" x14ac:dyDescent="0.25">
      <c r="Y30981" s="501"/>
    </row>
    <row r="30982" spans="25:25" hidden="1" x14ac:dyDescent="0.25">
      <c r="Y30982" s="501"/>
    </row>
    <row r="30983" spans="25:25" hidden="1" x14ac:dyDescent="0.25">
      <c r="Y30983" s="501"/>
    </row>
    <row r="30984" spans="25:25" hidden="1" x14ac:dyDescent="0.25">
      <c r="Y30984" s="501"/>
    </row>
    <row r="30985" spans="25:25" hidden="1" x14ac:dyDescent="0.25">
      <c r="Y30985" s="501"/>
    </row>
    <row r="30986" spans="25:25" hidden="1" x14ac:dyDescent="0.25">
      <c r="Y30986" s="501"/>
    </row>
    <row r="30987" spans="25:25" hidden="1" x14ac:dyDescent="0.25">
      <c r="Y30987" s="501"/>
    </row>
    <row r="30988" spans="25:25" hidden="1" x14ac:dyDescent="0.25">
      <c r="Y30988" s="501"/>
    </row>
    <row r="30989" spans="25:25" hidden="1" x14ac:dyDescent="0.25">
      <c r="Y30989" s="501"/>
    </row>
    <row r="30990" spans="25:25" hidden="1" x14ac:dyDescent="0.25">
      <c r="Y30990" s="501"/>
    </row>
    <row r="30991" spans="25:25" hidden="1" x14ac:dyDescent="0.25">
      <c r="Y30991" s="501"/>
    </row>
    <row r="30992" spans="25:25" hidden="1" x14ac:dyDescent="0.25">
      <c r="Y30992" s="501"/>
    </row>
    <row r="30993" spans="25:25" hidden="1" x14ac:dyDescent="0.25">
      <c r="Y30993" s="501"/>
    </row>
    <row r="30994" spans="25:25" hidden="1" x14ac:dyDescent="0.25">
      <c r="Y30994" s="501"/>
    </row>
    <row r="30995" spans="25:25" hidden="1" x14ac:dyDescent="0.25">
      <c r="Y30995" s="501"/>
    </row>
    <row r="30996" spans="25:25" hidden="1" x14ac:dyDescent="0.25">
      <c r="Y30996" s="501"/>
    </row>
    <row r="30997" spans="25:25" hidden="1" x14ac:dyDescent="0.25">
      <c r="Y30997" s="501"/>
    </row>
    <row r="30998" spans="25:25" hidden="1" x14ac:dyDescent="0.25">
      <c r="Y30998" s="501"/>
    </row>
    <row r="30999" spans="25:25" hidden="1" x14ac:dyDescent="0.25">
      <c r="Y30999" s="501"/>
    </row>
    <row r="31000" spans="25:25" hidden="1" x14ac:dyDescent="0.25">
      <c r="Y31000" s="501"/>
    </row>
    <row r="31001" spans="25:25" hidden="1" x14ac:dyDescent="0.25">
      <c r="Y31001" s="501"/>
    </row>
    <row r="31002" spans="25:25" hidden="1" x14ac:dyDescent="0.25">
      <c r="Y31002" s="501"/>
    </row>
    <row r="31003" spans="25:25" hidden="1" x14ac:dyDescent="0.25">
      <c r="Y31003" s="501"/>
    </row>
    <row r="31004" spans="25:25" hidden="1" x14ac:dyDescent="0.25">
      <c r="Y31004" s="501"/>
    </row>
    <row r="31005" spans="25:25" hidden="1" x14ac:dyDescent="0.25">
      <c r="Y31005" s="501"/>
    </row>
    <row r="31006" spans="25:25" hidden="1" x14ac:dyDescent="0.25">
      <c r="Y31006" s="501"/>
    </row>
    <row r="31007" spans="25:25" hidden="1" x14ac:dyDescent="0.25">
      <c r="Y31007" s="501"/>
    </row>
    <row r="31008" spans="25:25" hidden="1" x14ac:dyDescent="0.25">
      <c r="Y31008" s="501"/>
    </row>
    <row r="31009" spans="25:25" hidden="1" x14ac:dyDescent="0.25">
      <c r="Y31009" s="501"/>
    </row>
    <row r="31010" spans="25:25" hidden="1" x14ac:dyDescent="0.25">
      <c r="Y31010" s="501"/>
    </row>
    <row r="31011" spans="25:25" hidden="1" x14ac:dyDescent="0.25">
      <c r="Y31011" s="501"/>
    </row>
    <row r="31012" spans="25:25" hidden="1" x14ac:dyDescent="0.25">
      <c r="Y31012" s="501"/>
    </row>
    <row r="31013" spans="25:25" hidden="1" x14ac:dyDescent="0.25">
      <c r="Y31013" s="501"/>
    </row>
    <row r="31014" spans="25:25" hidden="1" x14ac:dyDescent="0.25">
      <c r="Y31014" s="501"/>
    </row>
    <row r="31015" spans="25:25" hidden="1" x14ac:dyDescent="0.25">
      <c r="Y31015" s="501"/>
    </row>
    <row r="31016" spans="25:25" hidden="1" x14ac:dyDescent="0.25">
      <c r="Y31016" s="501"/>
    </row>
    <row r="31017" spans="25:25" hidden="1" x14ac:dyDescent="0.25">
      <c r="Y31017" s="501"/>
    </row>
    <row r="31018" spans="25:25" hidden="1" x14ac:dyDescent="0.25">
      <c r="Y31018" s="501"/>
    </row>
    <row r="31019" spans="25:25" hidden="1" x14ac:dyDescent="0.25">
      <c r="Y31019" s="501"/>
    </row>
    <row r="31020" spans="25:25" hidden="1" x14ac:dyDescent="0.25">
      <c r="Y31020" s="501"/>
    </row>
    <row r="31021" spans="25:25" hidden="1" x14ac:dyDescent="0.25">
      <c r="Y31021" s="501"/>
    </row>
    <row r="31022" spans="25:25" hidden="1" x14ac:dyDescent="0.25">
      <c r="Y31022" s="501"/>
    </row>
    <row r="31023" spans="25:25" hidden="1" x14ac:dyDescent="0.25">
      <c r="Y31023" s="501"/>
    </row>
    <row r="31024" spans="25:25" hidden="1" x14ac:dyDescent="0.25">
      <c r="Y31024" s="501"/>
    </row>
    <row r="31025" spans="25:25" hidden="1" x14ac:dyDescent="0.25">
      <c r="Y31025" s="501"/>
    </row>
    <row r="31026" spans="25:25" hidden="1" x14ac:dyDescent="0.25">
      <c r="Y31026" s="501"/>
    </row>
    <row r="31027" spans="25:25" hidden="1" x14ac:dyDescent="0.25">
      <c r="Y31027" s="501"/>
    </row>
    <row r="31028" spans="25:25" hidden="1" x14ac:dyDescent="0.25">
      <c r="Y31028" s="501"/>
    </row>
    <row r="31029" spans="25:25" hidden="1" x14ac:dyDescent="0.25">
      <c r="Y31029" s="501"/>
    </row>
    <row r="31030" spans="25:25" hidden="1" x14ac:dyDescent="0.25">
      <c r="Y31030" s="501"/>
    </row>
    <row r="31031" spans="25:25" hidden="1" x14ac:dyDescent="0.25">
      <c r="Y31031" s="501"/>
    </row>
    <row r="31032" spans="25:25" hidden="1" x14ac:dyDescent="0.25">
      <c r="Y31032" s="501"/>
    </row>
    <row r="31033" spans="25:25" hidden="1" x14ac:dyDescent="0.25">
      <c r="Y31033" s="501"/>
    </row>
    <row r="31034" spans="25:25" hidden="1" x14ac:dyDescent="0.25">
      <c r="Y31034" s="501"/>
    </row>
    <row r="31035" spans="25:25" hidden="1" x14ac:dyDescent="0.25">
      <c r="Y31035" s="501"/>
    </row>
    <row r="31036" spans="25:25" hidden="1" x14ac:dyDescent="0.25">
      <c r="Y31036" s="501"/>
    </row>
    <row r="31037" spans="25:25" hidden="1" x14ac:dyDescent="0.25">
      <c r="Y31037" s="501"/>
    </row>
    <row r="31038" spans="25:25" hidden="1" x14ac:dyDescent="0.25">
      <c r="Y31038" s="501"/>
    </row>
    <row r="31039" spans="25:25" hidden="1" x14ac:dyDescent="0.25">
      <c r="Y31039" s="501"/>
    </row>
    <row r="31040" spans="25:25" hidden="1" x14ac:dyDescent="0.25">
      <c r="Y31040" s="501"/>
    </row>
    <row r="31041" spans="25:25" hidden="1" x14ac:dyDescent="0.25">
      <c r="Y31041" s="501"/>
    </row>
    <row r="31042" spans="25:25" hidden="1" x14ac:dyDescent="0.25">
      <c r="Y31042" s="501"/>
    </row>
    <row r="31043" spans="25:25" hidden="1" x14ac:dyDescent="0.25">
      <c r="Y31043" s="501"/>
    </row>
    <row r="31044" spans="25:25" hidden="1" x14ac:dyDescent="0.25">
      <c r="Y31044" s="501"/>
    </row>
    <row r="31045" spans="25:25" hidden="1" x14ac:dyDescent="0.25">
      <c r="Y31045" s="501"/>
    </row>
    <row r="31046" spans="25:25" hidden="1" x14ac:dyDescent="0.25">
      <c r="Y31046" s="501"/>
    </row>
    <row r="31047" spans="25:25" hidden="1" x14ac:dyDescent="0.25">
      <c r="Y31047" s="501"/>
    </row>
    <row r="31048" spans="25:25" hidden="1" x14ac:dyDescent="0.25">
      <c r="Y31048" s="501"/>
    </row>
    <row r="31049" spans="25:25" hidden="1" x14ac:dyDescent="0.25">
      <c r="Y31049" s="501"/>
    </row>
    <row r="31050" spans="25:25" hidden="1" x14ac:dyDescent="0.25">
      <c r="Y31050" s="501"/>
    </row>
    <row r="31051" spans="25:25" hidden="1" x14ac:dyDescent="0.25">
      <c r="Y31051" s="501"/>
    </row>
    <row r="31052" spans="25:25" hidden="1" x14ac:dyDescent="0.25">
      <c r="Y31052" s="501"/>
    </row>
    <row r="31053" spans="25:25" hidden="1" x14ac:dyDescent="0.25">
      <c r="Y31053" s="501"/>
    </row>
    <row r="31054" spans="25:25" hidden="1" x14ac:dyDescent="0.25">
      <c r="Y31054" s="501"/>
    </row>
    <row r="31055" spans="25:25" hidden="1" x14ac:dyDescent="0.25">
      <c r="Y31055" s="501"/>
    </row>
    <row r="31056" spans="25:25" hidden="1" x14ac:dyDescent="0.25">
      <c r="Y31056" s="501"/>
    </row>
    <row r="31057" spans="25:25" hidden="1" x14ac:dyDescent="0.25">
      <c r="Y31057" s="501"/>
    </row>
    <row r="31058" spans="25:25" hidden="1" x14ac:dyDescent="0.25">
      <c r="Y31058" s="501"/>
    </row>
    <row r="31059" spans="25:25" hidden="1" x14ac:dyDescent="0.25">
      <c r="Y31059" s="501"/>
    </row>
    <row r="31060" spans="25:25" hidden="1" x14ac:dyDescent="0.25">
      <c r="Y31060" s="501"/>
    </row>
    <row r="31061" spans="25:25" hidden="1" x14ac:dyDescent="0.25">
      <c r="Y31061" s="501"/>
    </row>
    <row r="31062" spans="25:25" hidden="1" x14ac:dyDescent="0.25">
      <c r="Y31062" s="501"/>
    </row>
    <row r="31063" spans="25:25" hidden="1" x14ac:dyDescent="0.25">
      <c r="Y31063" s="501"/>
    </row>
    <row r="31064" spans="25:25" hidden="1" x14ac:dyDescent="0.25">
      <c r="Y31064" s="501"/>
    </row>
    <row r="31065" spans="25:25" hidden="1" x14ac:dyDescent="0.25">
      <c r="Y31065" s="501"/>
    </row>
    <row r="31066" spans="25:25" hidden="1" x14ac:dyDescent="0.25">
      <c r="Y31066" s="501"/>
    </row>
    <row r="31067" spans="25:25" hidden="1" x14ac:dyDescent="0.25">
      <c r="Y31067" s="501"/>
    </row>
    <row r="31068" spans="25:25" hidden="1" x14ac:dyDescent="0.25">
      <c r="Y31068" s="501"/>
    </row>
    <row r="31069" spans="25:25" hidden="1" x14ac:dyDescent="0.25">
      <c r="Y31069" s="501"/>
    </row>
    <row r="31070" spans="25:25" hidden="1" x14ac:dyDescent="0.25">
      <c r="Y31070" s="501"/>
    </row>
    <row r="31071" spans="25:25" hidden="1" x14ac:dyDescent="0.25">
      <c r="Y31071" s="501"/>
    </row>
    <row r="31072" spans="25:25" hidden="1" x14ac:dyDescent="0.25">
      <c r="Y31072" s="501"/>
    </row>
    <row r="31073" spans="25:25" hidden="1" x14ac:dyDescent="0.25">
      <c r="Y31073" s="501"/>
    </row>
    <row r="31074" spans="25:25" hidden="1" x14ac:dyDescent="0.25">
      <c r="Y31074" s="501"/>
    </row>
    <row r="31075" spans="25:25" hidden="1" x14ac:dyDescent="0.25">
      <c r="Y31075" s="501"/>
    </row>
    <row r="31076" spans="25:25" hidden="1" x14ac:dyDescent="0.25">
      <c r="Y31076" s="501"/>
    </row>
    <row r="31077" spans="25:25" hidden="1" x14ac:dyDescent="0.25">
      <c r="Y31077" s="501"/>
    </row>
    <row r="31078" spans="25:25" hidden="1" x14ac:dyDescent="0.25">
      <c r="Y31078" s="501"/>
    </row>
    <row r="31079" spans="25:25" hidden="1" x14ac:dyDescent="0.25">
      <c r="Y31079" s="501"/>
    </row>
    <row r="31080" spans="25:25" hidden="1" x14ac:dyDescent="0.25">
      <c r="Y31080" s="501"/>
    </row>
    <row r="31081" spans="25:25" hidden="1" x14ac:dyDescent="0.25">
      <c r="Y31081" s="501"/>
    </row>
    <row r="31082" spans="25:25" hidden="1" x14ac:dyDescent="0.25">
      <c r="Y31082" s="501"/>
    </row>
    <row r="31083" spans="25:25" hidden="1" x14ac:dyDescent="0.25">
      <c r="Y31083" s="501"/>
    </row>
    <row r="31084" spans="25:25" hidden="1" x14ac:dyDescent="0.25">
      <c r="Y31084" s="501"/>
    </row>
    <row r="31085" spans="25:25" hidden="1" x14ac:dyDescent="0.25">
      <c r="Y31085" s="501"/>
    </row>
    <row r="31086" spans="25:25" hidden="1" x14ac:dyDescent="0.25">
      <c r="Y31086" s="501"/>
    </row>
    <row r="31087" spans="25:25" hidden="1" x14ac:dyDescent="0.25">
      <c r="Y31087" s="501"/>
    </row>
    <row r="31088" spans="25:25" hidden="1" x14ac:dyDescent="0.25">
      <c r="Y31088" s="501"/>
    </row>
    <row r="31089" spans="25:25" hidden="1" x14ac:dyDescent="0.25">
      <c r="Y31089" s="501"/>
    </row>
    <row r="31090" spans="25:25" hidden="1" x14ac:dyDescent="0.25">
      <c r="Y31090" s="501"/>
    </row>
    <row r="31091" spans="25:25" hidden="1" x14ac:dyDescent="0.25">
      <c r="Y31091" s="501"/>
    </row>
    <row r="31092" spans="25:25" hidden="1" x14ac:dyDescent="0.25">
      <c r="Y31092" s="501"/>
    </row>
    <row r="31093" spans="25:25" hidden="1" x14ac:dyDescent="0.25">
      <c r="Y31093" s="501"/>
    </row>
    <row r="31094" spans="25:25" hidden="1" x14ac:dyDescent="0.25">
      <c r="Y31094" s="501"/>
    </row>
    <row r="31095" spans="25:25" hidden="1" x14ac:dyDescent="0.25">
      <c r="Y31095" s="501"/>
    </row>
    <row r="31096" spans="25:25" hidden="1" x14ac:dyDescent="0.25">
      <c r="Y31096" s="501"/>
    </row>
    <row r="31097" spans="25:25" hidden="1" x14ac:dyDescent="0.25">
      <c r="Y31097" s="501"/>
    </row>
    <row r="31098" spans="25:25" hidden="1" x14ac:dyDescent="0.25">
      <c r="Y31098" s="501"/>
    </row>
    <row r="31099" spans="25:25" hidden="1" x14ac:dyDescent="0.25">
      <c r="Y31099" s="501"/>
    </row>
    <row r="31100" spans="25:25" hidden="1" x14ac:dyDescent="0.25">
      <c r="Y31100" s="501"/>
    </row>
    <row r="31101" spans="25:25" hidden="1" x14ac:dyDescent="0.25">
      <c r="Y31101" s="501"/>
    </row>
    <row r="31102" spans="25:25" hidden="1" x14ac:dyDescent="0.25">
      <c r="Y31102" s="501"/>
    </row>
    <row r="31103" spans="25:25" hidden="1" x14ac:dyDescent="0.25">
      <c r="Y31103" s="501"/>
    </row>
    <row r="31104" spans="25:25" hidden="1" x14ac:dyDescent="0.25">
      <c r="Y31104" s="501"/>
    </row>
    <row r="31105" spans="25:25" hidden="1" x14ac:dyDescent="0.25">
      <c r="Y31105" s="501"/>
    </row>
    <row r="31106" spans="25:25" hidden="1" x14ac:dyDescent="0.25">
      <c r="Y31106" s="501"/>
    </row>
    <row r="31107" spans="25:25" hidden="1" x14ac:dyDescent="0.25">
      <c r="Y31107" s="501"/>
    </row>
    <row r="31108" spans="25:25" hidden="1" x14ac:dyDescent="0.25">
      <c r="Y31108" s="501"/>
    </row>
    <row r="31109" spans="25:25" hidden="1" x14ac:dyDescent="0.25">
      <c r="Y31109" s="501"/>
    </row>
    <row r="31110" spans="25:25" hidden="1" x14ac:dyDescent="0.25">
      <c r="Y31110" s="501"/>
    </row>
    <row r="31111" spans="25:25" hidden="1" x14ac:dyDescent="0.25">
      <c r="Y31111" s="501"/>
    </row>
    <row r="31112" spans="25:25" hidden="1" x14ac:dyDescent="0.25">
      <c r="Y31112" s="501"/>
    </row>
    <row r="31113" spans="25:25" hidden="1" x14ac:dyDescent="0.25">
      <c r="Y31113" s="501"/>
    </row>
    <row r="31114" spans="25:25" hidden="1" x14ac:dyDescent="0.25">
      <c r="Y31114" s="501"/>
    </row>
    <row r="31115" spans="25:25" hidden="1" x14ac:dyDescent="0.25">
      <c r="Y31115" s="501"/>
    </row>
    <row r="31116" spans="25:25" hidden="1" x14ac:dyDescent="0.25">
      <c r="Y31116" s="501"/>
    </row>
    <row r="31117" spans="25:25" hidden="1" x14ac:dyDescent="0.25">
      <c r="Y31117" s="501"/>
    </row>
    <row r="31118" spans="25:25" hidden="1" x14ac:dyDescent="0.25">
      <c r="Y31118" s="501"/>
    </row>
    <row r="31119" spans="25:25" hidden="1" x14ac:dyDescent="0.25">
      <c r="Y31119" s="501"/>
    </row>
    <row r="31120" spans="25:25" hidden="1" x14ac:dyDescent="0.25">
      <c r="Y31120" s="501"/>
    </row>
    <row r="31121" spans="25:25" hidden="1" x14ac:dyDescent="0.25">
      <c r="Y31121" s="501"/>
    </row>
    <row r="31122" spans="25:25" hidden="1" x14ac:dyDescent="0.25">
      <c r="Y31122" s="501"/>
    </row>
    <row r="31123" spans="25:25" hidden="1" x14ac:dyDescent="0.25">
      <c r="Y31123" s="501"/>
    </row>
    <row r="31124" spans="25:25" hidden="1" x14ac:dyDescent="0.25">
      <c r="Y31124" s="501"/>
    </row>
    <row r="31125" spans="25:25" hidden="1" x14ac:dyDescent="0.25">
      <c r="Y31125" s="501"/>
    </row>
    <row r="31126" spans="25:25" hidden="1" x14ac:dyDescent="0.25">
      <c r="Y31126" s="501"/>
    </row>
    <row r="31127" spans="25:25" hidden="1" x14ac:dyDescent="0.25">
      <c r="Y31127" s="501"/>
    </row>
    <row r="31128" spans="25:25" hidden="1" x14ac:dyDescent="0.25">
      <c r="Y31128" s="501"/>
    </row>
    <row r="31129" spans="25:25" hidden="1" x14ac:dyDescent="0.25">
      <c r="Y31129" s="501"/>
    </row>
    <row r="31130" spans="25:25" hidden="1" x14ac:dyDescent="0.25">
      <c r="Y31130" s="501"/>
    </row>
    <row r="31131" spans="25:25" hidden="1" x14ac:dyDescent="0.25">
      <c r="Y31131" s="501"/>
    </row>
    <row r="31132" spans="25:25" hidden="1" x14ac:dyDescent="0.25">
      <c r="Y31132" s="501"/>
    </row>
    <row r="31133" spans="25:25" hidden="1" x14ac:dyDescent="0.25">
      <c r="Y31133" s="501"/>
    </row>
    <row r="31134" spans="25:25" hidden="1" x14ac:dyDescent="0.25">
      <c r="Y31134" s="501"/>
    </row>
    <row r="31135" spans="25:25" hidden="1" x14ac:dyDescent="0.25">
      <c r="Y31135" s="501"/>
    </row>
    <row r="31136" spans="25:25" hidden="1" x14ac:dyDescent="0.25">
      <c r="Y31136" s="501"/>
    </row>
    <row r="31137" spans="25:25" hidden="1" x14ac:dyDescent="0.25">
      <c r="Y31137" s="501"/>
    </row>
    <row r="31138" spans="25:25" hidden="1" x14ac:dyDescent="0.25">
      <c r="Y31138" s="501"/>
    </row>
    <row r="31139" spans="25:25" hidden="1" x14ac:dyDescent="0.25">
      <c r="Y31139" s="501"/>
    </row>
    <row r="31140" spans="25:25" hidden="1" x14ac:dyDescent="0.25">
      <c r="Y31140" s="501"/>
    </row>
    <row r="31141" spans="25:25" hidden="1" x14ac:dyDescent="0.25">
      <c r="Y31141" s="501"/>
    </row>
    <row r="31142" spans="25:25" hidden="1" x14ac:dyDescent="0.25">
      <c r="Y31142" s="501"/>
    </row>
    <row r="31143" spans="25:25" hidden="1" x14ac:dyDescent="0.25">
      <c r="Y31143" s="501"/>
    </row>
    <row r="31144" spans="25:25" hidden="1" x14ac:dyDescent="0.25">
      <c r="Y31144" s="501"/>
    </row>
    <row r="31145" spans="25:25" hidden="1" x14ac:dyDescent="0.25">
      <c r="Y31145" s="501"/>
    </row>
    <row r="31146" spans="25:25" hidden="1" x14ac:dyDescent="0.25">
      <c r="Y31146" s="501"/>
    </row>
    <row r="31147" spans="25:25" hidden="1" x14ac:dyDescent="0.25">
      <c r="Y31147" s="501"/>
    </row>
    <row r="31148" spans="25:25" hidden="1" x14ac:dyDescent="0.25">
      <c r="Y31148" s="501"/>
    </row>
    <row r="31149" spans="25:25" hidden="1" x14ac:dyDescent="0.25">
      <c r="Y31149" s="501"/>
    </row>
    <row r="31150" spans="25:25" hidden="1" x14ac:dyDescent="0.25">
      <c r="Y31150" s="501"/>
    </row>
    <row r="31151" spans="25:25" hidden="1" x14ac:dyDescent="0.25">
      <c r="Y31151" s="501"/>
    </row>
    <row r="31152" spans="25:25" hidden="1" x14ac:dyDescent="0.25">
      <c r="Y31152" s="501"/>
    </row>
    <row r="31153" spans="25:25" hidden="1" x14ac:dyDescent="0.25">
      <c r="Y31153" s="501"/>
    </row>
    <row r="31154" spans="25:25" hidden="1" x14ac:dyDescent="0.25">
      <c r="Y31154" s="501"/>
    </row>
    <row r="31155" spans="25:25" hidden="1" x14ac:dyDescent="0.25">
      <c r="Y31155" s="501"/>
    </row>
    <row r="31156" spans="25:25" hidden="1" x14ac:dyDescent="0.25">
      <c r="Y31156" s="501"/>
    </row>
    <row r="31157" spans="25:25" hidden="1" x14ac:dyDescent="0.25">
      <c r="Y31157" s="501"/>
    </row>
    <row r="31158" spans="25:25" hidden="1" x14ac:dyDescent="0.25">
      <c r="Y31158" s="501"/>
    </row>
    <row r="31159" spans="25:25" hidden="1" x14ac:dyDescent="0.25">
      <c r="Y31159" s="501"/>
    </row>
    <row r="31160" spans="25:25" hidden="1" x14ac:dyDescent="0.25">
      <c r="Y31160" s="501"/>
    </row>
    <row r="31161" spans="25:25" hidden="1" x14ac:dyDescent="0.25">
      <c r="Y31161" s="501"/>
    </row>
    <row r="31162" spans="25:25" hidden="1" x14ac:dyDescent="0.25">
      <c r="Y31162" s="501"/>
    </row>
    <row r="31163" spans="25:25" hidden="1" x14ac:dyDescent="0.25">
      <c r="Y31163" s="501"/>
    </row>
    <row r="31164" spans="25:25" hidden="1" x14ac:dyDescent="0.25">
      <c r="Y31164" s="501"/>
    </row>
    <row r="31165" spans="25:25" hidden="1" x14ac:dyDescent="0.25">
      <c r="Y31165" s="501"/>
    </row>
    <row r="31166" spans="25:25" hidden="1" x14ac:dyDescent="0.25">
      <c r="Y31166" s="501"/>
    </row>
    <row r="31167" spans="25:25" hidden="1" x14ac:dyDescent="0.25">
      <c r="Y31167" s="501"/>
    </row>
    <row r="31168" spans="25:25" hidden="1" x14ac:dyDescent="0.25">
      <c r="Y31168" s="501"/>
    </row>
    <row r="31169" spans="25:25" hidden="1" x14ac:dyDescent="0.25">
      <c r="Y31169" s="501"/>
    </row>
    <row r="31170" spans="25:25" hidden="1" x14ac:dyDescent="0.25">
      <c r="Y31170" s="501"/>
    </row>
    <row r="31171" spans="25:25" hidden="1" x14ac:dyDescent="0.25">
      <c r="Y31171" s="501"/>
    </row>
    <row r="31172" spans="25:25" hidden="1" x14ac:dyDescent="0.25">
      <c r="Y31172" s="501"/>
    </row>
    <row r="31173" spans="25:25" hidden="1" x14ac:dyDescent="0.25">
      <c r="Y31173" s="501"/>
    </row>
    <row r="31174" spans="25:25" hidden="1" x14ac:dyDescent="0.25">
      <c r="Y31174" s="501"/>
    </row>
    <row r="31175" spans="25:25" hidden="1" x14ac:dyDescent="0.25">
      <c r="Y31175" s="501"/>
    </row>
    <row r="31176" spans="25:25" hidden="1" x14ac:dyDescent="0.25">
      <c r="Y31176" s="501"/>
    </row>
    <row r="31177" spans="25:25" hidden="1" x14ac:dyDescent="0.25">
      <c r="Y31177" s="501"/>
    </row>
    <row r="31178" spans="25:25" hidden="1" x14ac:dyDescent="0.25">
      <c r="Y31178" s="501"/>
    </row>
    <row r="31179" spans="25:25" hidden="1" x14ac:dyDescent="0.25">
      <c r="Y31179" s="501"/>
    </row>
    <row r="31180" spans="25:25" hidden="1" x14ac:dyDescent="0.25">
      <c r="Y31180" s="501"/>
    </row>
    <row r="31181" spans="25:25" hidden="1" x14ac:dyDescent="0.25">
      <c r="Y31181" s="501"/>
    </row>
    <row r="31182" spans="25:25" hidden="1" x14ac:dyDescent="0.25">
      <c r="Y31182" s="501"/>
    </row>
    <row r="31183" spans="25:25" hidden="1" x14ac:dyDescent="0.25">
      <c r="Y31183" s="501"/>
    </row>
    <row r="31184" spans="25:25" hidden="1" x14ac:dyDescent="0.25">
      <c r="Y31184" s="501"/>
    </row>
    <row r="31185" spans="25:25" hidden="1" x14ac:dyDescent="0.25">
      <c r="Y31185" s="501"/>
    </row>
    <row r="31186" spans="25:25" hidden="1" x14ac:dyDescent="0.25">
      <c r="Y31186" s="501"/>
    </row>
    <row r="31187" spans="25:25" hidden="1" x14ac:dyDescent="0.25">
      <c r="Y31187" s="501"/>
    </row>
    <row r="31188" spans="25:25" hidden="1" x14ac:dyDescent="0.25">
      <c r="Y31188" s="501"/>
    </row>
    <row r="31189" spans="25:25" hidden="1" x14ac:dyDescent="0.25">
      <c r="Y31189" s="501"/>
    </row>
    <row r="31190" spans="25:25" hidden="1" x14ac:dyDescent="0.25">
      <c r="Y31190" s="501"/>
    </row>
    <row r="31191" spans="25:25" hidden="1" x14ac:dyDescent="0.25">
      <c r="Y31191" s="501"/>
    </row>
    <row r="31192" spans="25:25" hidden="1" x14ac:dyDescent="0.25">
      <c r="Y31192" s="501"/>
    </row>
    <row r="31193" spans="25:25" hidden="1" x14ac:dyDescent="0.25">
      <c r="Y31193" s="501"/>
    </row>
    <row r="31194" spans="25:25" hidden="1" x14ac:dyDescent="0.25">
      <c r="Y31194" s="501"/>
    </row>
    <row r="31195" spans="25:25" hidden="1" x14ac:dyDescent="0.25">
      <c r="Y31195" s="501"/>
    </row>
    <row r="31196" spans="25:25" hidden="1" x14ac:dyDescent="0.25">
      <c r="Y31196" s="501"/>
    </row>
    <row r="31197" spans="25:25" hidden="1" x14ac:dyDescent="0.25">
      <c r="Y31197" s="501"/>
    </row>
    <row r="31198" spans="25:25" hidden="1" x14ac:dyDescent="0.25">
      <c r="Y31198" s="501"/>
    </row>
    <row r="31199" spans="25:25" hidden="1" x14ac:dyDescent="0.25">
      <c r="Y31199" s="501"/>
    </row>
    <row r="31200" spans="25:25" hidden="1" x14ac:dyDescent="0.25">
      <c r="Y31200" s="501"/>
    </row>
    <row r="31201" spans="25:25" hidden="1" x14ac:dyDescent="0.25">
      <c r="Y31201" s="501"/>
    </row>
    <row r="31202" spans="25:25" hidden="1" x14ac:dyDescent="0.25">
      <c r="Y31202" s="501"/>
    </row>
    <row r="31203" spans="25:25" hidden="1" x14ac:dyDescent="0.25">
      <c r="Y31203" s="501"/>
    </row>
    <row r="31204" spans="25:25" hidden="1" x14ac:dyDescent="0.25">
      <c r="Y31204" s="501"/>
    </row>
    <row r="31205" spans="25:25" hidden="1" x14ac:dyDescent="0.25">
      <c r="Y31205" s="501"/>
    </row>
    <row r="31206" spans="25:25" hidden="1" x14ac:dyDescent="0.25">
      <c r="Y31206" s="501"/>
    </row>
    <row r="31207" spans="25:25" hidden="1" x14ac:dyDescent="0.25">
      <c r="Y31207" s="501"/>
    </row>
    <row r="31208" spans="25:25" hidden="1" x14ac:dyDescent="0.25">
      <c r="Y31208" s="501"/>
    </row>
    <row r="31209" spans="25:25" hidden="1" x14ac:dyDescent="0.25">
      <c r="Y31209" s="501"/>
    </row>
    <row r="31210" spans="25:25" hidden="1" x14ac:dyDescent="0.25">
      <c r="Y31210" s="501"/>
    </row>
    <row r="31211" spans="25:25" hidden="1" x14ac:dyDescent="0.25">
      <c r="Y31211" s="501"/>
    </row>
    <row r="31212" spans="25:25" hidden="1" x14ac:dyDescent="0.25">
      <c r="Y31212" s="501"/>
    </row>
    <row r="31213" spans="25:25" hidden="1" x14ac:dyDescent="0.25">
      <c r="Y31213" s="501"/>
    </row>
    <row r="31214" spans="25:25" hidden="1" x14ac:dyDescent="0.25">
      <c r="Y31214" s="501"/>
    </row>
    <row r="31215" spans="25:25" hidden="1" x14ac:dyDescent="0.25">
      <c r="Y31215" s="501"/>
    </row>
    <row r="31216" spans="25:25" hidden="1" x14ac:dyDescent="0.25">
      <c r="Y31216" s="501"/>
    </row>
    <row r="31217" spans="25:25" hidden="1" x14ac:dyDescent="0.25">
      <c r="Y31217" s="501"/>
    </row>
    <row r="31218" spans="25:25" hidden="1" x14ac:dyDescent="0.25">
      <c r="Y31218" s="501"/>
    </row>
    <row r="31219" spans="25:25" hidden="1" x14ac:dyDescent="0.25">
      <c r="Y31219" s="501"/>
    </row>
    <row r="31220" spans="25:25" hidden="1" x14ac:dyDescent="0.25">
      <c r="Y31220" s="501"/>
    </row>
    <row r="31221" spans="25:25" hidden="1" x14ac:dyDescent="0.25">
      <c r="Y31221" s="501"/>
    </row>
    <row r="31222" spans="25:25" hidden="1" x14ac:dyDescent="0.25">
      <c r="Y31222" s="501"/>
    </row>
    <row r="31223" spans="25:25" hidden="1" x14ac:dyDescent="0.25">
      <c r="Y31223" s="501"/>
    </row>
    <row r="31224" spans="25:25" hidden="1" x14ac:dyDescent="0.25">
      <c r="Y31224" s="501"/>
    </row>
    <row r="31225" spans="25:25" hidden="1" x14ac:dyDescent="0.25">
      <c r="Y31225" s="501"/>
    </row>
    <row r="31226" spans="25:25" hidden="1" x14ac:dyDescent="0.25">
      <c r="Y31226" s="501"/>
    </row>
    <row r="31227" spans="25:25" hidden="1" x14ac:dyDescent="0.25">
      <c r="Y31227" s="501"/>
    </row>
    <row r="31228" spans="25:25" hidden="1" x14ac:dyDescent="0.25">
      <c r="Y31228" s="501"/>
    </row>
    <row r="31229" spans="25:25" hidden="1" x14ac:dyDescent="0.25">
      <c r="Y31229" s="501"/>
    </row>
    <row r="31230" spans="25:25" hidden="1" x14ac:dyDescent="0.25">
      <c r="Y31230" s="501"/>
    </row>
    <row r="31231" spans="25:25" hidden="1" x14ac:dyDescent="0.25">
      <c r="Y31231" s="501"/>
    </row>
    <row r="31232" spans="25:25" hidden="1" x14ac:dyDescent="0.25">
      <c r="Y31232" s="501"/>
    </row>
    <row r="31233" spans="25:25" hidden="1" x14ac:dyDescent="0.25">
      <c r="Y31233" s="501"/>
    </row>
    <row r="31234" spans="25:25" hidden="1" x14ac:dyDescent="0.25">
      <c r="Y31234" s="501"/>
    </row>
    <row r="31235" spans="25:25" hidden="1" x14ac:dyDescent="0.25">
      <c r="Y31235" s="501"/>
    </row>
    <row r="31236" spans="25:25" hidden="1" x14ac:dyDescent="0.25">
      <c r="Y31236" s="501"/>
    </row>
    <row r="31237" spans="25:25" hidden="1" x14ac:dyDescent="0.25">
      <c r="Y31237" s="501"/>
    </row>
    <row r="31238" spans="25:25" hidden="1" x14ac:dyDescent="0.25">
      <c r="Y31238" s="501"/>
    </row>
    <row r="31239" spans="25:25" hidden="1" x14ac:dyDescent="0.25">
      <c r="Y31239" s="501"/>
    </row>
    <row r="31240" spans="25:25" hidden="1" x14ac:dyDescent="0.25">
      <c r="Y31240" s="501"/>
    </row>
    <row r="31241" spans="25:25" hidden="1" x14ac:dyDescent="0.25">
      <c r="Y31241" s="501"/>
    </row>
    <row r="31242" spans="25:25" hidden="1" x14ac:dyDescent="0.25">
      <c r="Y31242" s="501"/>
    </row>
    <row r="31243" spans="25:25" hidden="1" x14ac:dyDescent="0.25">
      <c r="Y31243" s="501"/>
    </row>
    <row r="31244" spans="25:25" hidden="1" x14ac:dyDescent="0.25">
      <c r="Y31244" s="501"/>
    </row>
    <row r="31245" spans="25:25" hidden="1" x14ac:dyDescent="0.25">
      <c r="Y31245" s="501"/>
    </row>
    <row r="31246" spans="25:25" hidden="1" x14ac:dyDescent="0.25">
      <c r="Y31246" s="501"/>
    </row>
    <row r="31247" spans="25:25" hidden="1" x14ac:dyDescent="0.25">
      <c r="Y31247" s="501"/>
    </row>
    <row r="31248" spans="25:25" hidden="1" x14ac:dyDescent="0.25">
      <c r="Y31248" s="501"/>
    </row>
    <row r="31249" spans="25:25" hidden="1" x14ac:dyDescent="0.25">
      <c r="Y31249" s="501"/>
    </row>
    <row r="31250" spans="25:25" hidden="1" x14ac:dyDescent="0.25">
      <c r="Y31250" s="501"/>
    </row>
    <row r="31251" spans="25:25" hidden="1" x14ac:dyDescent="0.25">
      <c r="Y31251" s="501"/>
    </row>
    <row r="31252" spans="25:25" hidden="1" x14ac:dyDescent="0.25">
      <c r="Y31252" s="501"/>
    </row>
    <row r="31253" spans="25:25" hidden="1" x14ac:dyDescent="0.25">
      <c r="Y31253" s="501"/>
    </row>
    <row r="31254" spans="25:25" hidden="1" x14ac:dyDescent="0.25">
      <c r="Y31254" s="501"/>
    </row>
    <row r="31255" spans="25:25" hidden="1" x14ac:dyDescent="0.25">
      <c r="Y31255" s="501"/>
    </row>
    <row r="31256" spans="25:25" hidden="1" x14ac:dyDescent="0.25">
      <c r="Y31256" s="501"/>
    </row>
    <row r="31257" spans="25:25" hidden="1" x14ac:dyDescent="0.25">
      <c r="Y31257" s="501"/>
    </row>
    <row r="31258" spans="25:25" hidden="1" x14ac:dyDescent="0.25">
      <c r="Y31258" s="501"/>
    </row>
    <row r="31259" spans="25:25" hidden="1" x14ac:dyDescent="0.25">
      <c r="Y31259" s="501"/>
    </row>
    <row r="31260" spans="25:25" hidden="1" x14ac:dyDescent="0.25">
      <c r="Y31260" s="501"/>
    </row>
    <row r="31261" spans="25:25" hidden="1" x14ac:dyDescent="0.25">
      <c r="Y31261" s="501"/>
    </row>
    <row r="31262" spans="25:25" hidden="1" x14ac:dyDescent="0.25">
      <c r="Y31262" s="501"/>
    </row>
    <row r="31263" spans="25:25" hidden="1" x14ac:dyDescent="0.25">
      <c r="Y31263" s="501"/>
    </row>
    <row r="31264" spans="25:25" hidden="1" x14ac:dyDescent="0.25">
      <c r="Y31264" s="501"/>
    </row>
    <row r="31265" spans="25:25" hidden="1" x14ac:dyDescent="0.25">
      <c r="Y31265" s="501"/>
    </row>
    <row r="31266" spans="25:25" hidden="1" x14ac:dyDescent="0.25">
      <c r="Y31266" s="501"/>
    </row>
    <row r="31267" spans="25:25" hidden="1" x14ac:dyDescent="0.25">
      <c r="Y31267" s="501"/>
    </row>
    <row r="31268" spans="25:25" hidden="1" x14ac:dyDescent="0.25">
      <c r="Y31268" s="501"/>
    </row>
    <row r="31269" spans="25:25" hidden="1" x14ac:dyDescent="0.25">
      <c r="Y31269" s="501"/>
    </row>
    <row r="31270" spans="25:25" hidden="1" x14ac:dyDescent="0.25">
      <c r="Y31270" s="501"/>
    </row>
    <row r="31271" spans="25:25" hidden="1" x14ac:dyDescent="0.25">
      <c r="Y31271" s="501"/>
    </row>
    <row r="31272" spans="25:25" hidden="1" x14ac:dyDescent="0.25">
      <c r="Y31272" s="501"/>
    </row>
    <row r="31273" spans="25:25" hidden="1" x14ac:dyDescent="0.25">
      <c r="Y31273" s="501"/>
    </row>
    <row r="31274" spans="25:25" hidden="1" x14ac:dyDescent="0.25">
      <c r="Y31274" s="501"/>
    </row>
    <row r="31275" spans="25:25" hidden="1" x14ac:dyDescent="0.25">
      <c r="Y31275" s="501"/>
    </row>
    <row r="31276" spans="25:25" hidden="1" x14ac:dyDescent="0.25">
      <c r="Y31276" s="501"/>
    </row>
    <row r="31277" spans="25:25" hidden="1" x14ac:dyDescent="0.25">
      <c r="Y31277" s="501"/>
    </row>
    <row r="31278" spans="25:25" hidden="1" x14ac:dyDescent="0.25">
      <c r="Y31278" s="501"/>
    </row>
    <row r="31279" spans="25:25" hidden="1" x14ac:dyDescent="0.25">
      <c r="Y31279" s="501"/>
    </row>
    <row r="31280" spans="25:25" hidden="1" x14ac:dyDescent="0.25">
      <c r="Y31280" s="501"/>
    </row>
    <row r="31281" spans="25:25" hidden="1" x14ac:dyDescent="0.25">
      <c r="Y31281" s="501"/>
    </row>
    <row r="31282" spans="25:25" hidden="1" x14ac:dyDescent="0.25">
      <c r="Y31282" s="501"/>
    </row>
    <row r="31283" spans="25:25" hidden="1" x14ac:dyDescent="0.25">
      <c r="Y31283" s="501"/>
    </row>
    <row r="31284" spans="25:25" hidden="1" x14ac:dyDescent="0.25">
      <c r="Y31284" s="501"/>
    </row>
    <row r="31285" spans="25:25" hidden="1" x14ac:dyDescent="0.25">
      <c r="Y31285" s="501"/>
    </row>
    <row r="31286" spans="25:25" hidden="1" x14ac:dyDescent="0.25">
      <c r="Y31286" s="501"/>
    </row>
    <row r="31287" spans="25:25" hidden="1" x14ac:dyDescent="0.25">
      <c r="Y31287" s="501"/>
    </row>
    <row r="31288" spans="25:25" hidden="1" x14ac:dyDescent="0.25">
      <c r="Y31288" s="501"/>
    </row>
    <row r="31289" spans="25:25" hidden="1" x14ac:dyDescent="0.25">
      <c r="Y31289" s="501"/>
    </row>
    <row r="31290" spans="25:25" hidden="1" x14ac:dyDescent="0.25">
      <c r="Y31290" s="501"/>
    </row>
    <row r="31291" spans="25:25" hidden="1" x14ac:dyDescent="0.25">
      <c r="Y31291" s="501"/>
    </row>
    <row r="31292" spans="25:25" hidden="1" x14ac:dyDescent="0.25">
      <c r="Y31292" s="501"/>
    </row>
    <row r="31293" spans="25:25" hidden="1" x14ac:dyDescent="0.25">
      <c r="Y31293" s="501"/>
    </row>
    <row r="31294" spans="25:25" hidden="1" x14ac:dyDescent="0.25">
      <c r="Y31294" s="501"/>
    </row>
    <row r="31295" spans="25:25" hidden="1" x14ac:dyDescent="0.25">
      <c r="Y31295" s="501"/>
    </row>
    <row r="31296" spans="25:25" hidden="1" x14ac:dyDescent="0.25">
      <c r="Y31296" s="501"/>
    </row>
    <row r="31297" spans="25:25" hidden="1" x14ac:dyDescent="0.25">
      <c r="Y31297" s="501"/>
    </row>
    <row r="31298" spans="25:25" hidden="1" x14ac:dyDescent="0.25">
      <c r="Y31298" s="501"/>
    </row>
    <row r="31299" spans="25:25" hidden="1" x14ac:dyDescent="0.25">
      <c r="Y31299" s="501"/>
    </row>
    <row r="31300" spans="25:25" hidden="1" x14ac:dyDescent="0.25">
      <c r="Y31300" s="501"/>
    </row>
    <row r="31301" spans="25:25" hidden="1" x14ac:dyDescent="0.25">
      <c r="Y31301" s="501"/>
    </row>
    <row r="31302" spans="25:25" hidden="1" x14ac:dyDescent="0.25">
      <c r="Y31302" s="501"/>
    </row>
    <row r="31303" spans="25:25" hidden="1" x14ac:dyDescent="0.25">
      <c r="Y31303" s="501"/>
    </row>
    <row r="31304" spans="25:25" hidden="1" x14ac:dyDescent="0.25">
      <c r="Y31304" s="501"/>
    </row>
    <row r="31305" spans="25:25" hidden="1" x14ac:dyDescent="0.25">
      <c r="Y31305" s="501"/>
    </row>
    <row r="31306" spans="25:25" hidden="1" x14ac:dyDescent="0.25">
      <c r="Y31306" s="501"/>
    </row>
    <row r="31307" spans="25:25" hidden="1" x14ac:dyDescent="0.25">
      <c r="Y31307" s="501"/>
    </row>
    <row r="31308" spans="25:25" hidden="1" x14ac:dyDescent="0.25">
      <c r="Y31308" s="501"/>
    </row>
    <row r="31309" spans="25:25" hidden="1" x14ac:dyDescent="0.25">
      <c r="Y31309" s="501"/>
    </row>
    <row r="31310" spans="25:25" hidden="1" x14ac:dyDescent="0.25">
      <c r="Y31310" s="501"/>
    </row>
    <row r="31311" spans="25:25" hidden="1" x14ac:dyDescent="0.25">
      <c r="Y31311" s="501"/>
    </row>
    <row r="31312" spans="25:25" hidden="1" x14ac:dyDescent="0.25">
      <c r="Y31312" s="501"/>
    </row>
    <row r="31313" spans="25:25" hidden="1" x14ac:dyDescent="0.25">
      <c r="Y31313" s="501"/>
    </row>
    <row r="31314" spans="25:25" hidden="1" x14ac:dyDescent="0.25">
      <c r="Y31314" s="501"/>
    </row>
    <row r="31315" spans="25:25" hidden="1" x14ac:dyDescent="0.25">
      <c r="Y31315" s="501"/>
    </row>
    <row r="31316" spans="25:25" hidden="1" x14ac:dyDescent="0.25">
      <c r="Y31316" s="501"/>
    </row>
    <row r="31317" spans="25:25" hidden="1" x14ac:dyDescent="0.25">
      <c r="Y31317" s="501"/>
    </row>
    <row r="31318" spans="25:25" hidden="1" x14ac:dyDescent="0.25">
      <c r="Y31318" s="501"/>
    </row>
    <row r="31319" spans="25:25" hidden="1" x14ac:dyDescent="0.25">
      <c r="Y31319" s="501"/>
    </row>
    <row r="31320" spans="25:25" hidden="1" x14ac:dyDescent="0.25">
      <c r="Y31320" s="501"/>
    </row>
    <row r="31321" spans="25:25" hidden="1" x14ac:dyDescent="0.25">
      <c r="Y31321" s="501"/>
    </row>
    <row r="31322" spans="25:25" hidden="1" x14ac:dyDescent="0.25">
      <c r="Y31322" s="501"/>
    </row>
    <row r="31323" spans="25:25" hidden="1" x14ac:dyDescent="0.25">
      <c r="Y31323" s="501"/>
    </row>
    <row r="31324" spans="25:25" hidden="1" x14ac:dyDescent="0.25">
      <c r="Y31324" s="501"/>
    </row>
    <row r="31325" spans="25:25" hidden="1" x14ac:dyDescent="0.25">
      <c r="Y31325" s="501"/>
    </row>
    <row r="31326" spans="25:25" hidden="1" x14ac:dyDescent="0.25">
      <c r="Y31326" s="501"/>
    </row>
    <row r="31327" spans="25:25" hidden="1" x14ac:dyDescent="0.25">
      <c r="Y31327" s="501"/>
    </row>
    <row r="31328" spans="25:25" hidden="1" x14ac:dyDescent="0.25">
      <c r="Y31328" s="501"/>
    </row>
    <row r="31329" spans="25:25" hidden="1" x14ac:dyDescent="0.25">
      <c r="Y31329" s="501"/>
    </row>
    <row r="31330" spans="25:25" hidden="1" x14ac:dyDescent="0.25">
      <c r="Y31330" s="501"/>
    </row>
    <row r="31331" spans="25:25" hidden="1" x14ac:dyDescent="0.25">
      <c r="Y31331" s="501"/>
    </row>
    <row r="31332" spans="25:25" hidden="1" x14ac:dyDescent="0.25">
      <c r="Y31332" s="501"/>
    </row>
    <row r="31333" spans="25:25" hidden="1" x14ac:dyDescent="0.25">
      <c r="Y31333" s="501"/>
    </row>
    <row r="31334" spans="25:25" hidden="1" x14ac:dyDescent="0.25">
      <c r="Y31334" s="501"/>
    </row>
    <row r="31335" spans="25:25" hidden="1" x14ac:dyDescent="0.25">
      <c r="Y31335" s="501"/>
    </row>
    <row r="31336" spans="25:25" hidden="1" x14ac:dyDescent="0.25">
      <c r="Y31336" s="501"/>
    </row>
    <row r="31337" spans="25:25" hidden="1" x14ac:dyDescent="0.25">
      <c r="Y31337" s="501"/>
    </row>
    <row r="31338" spans="25:25" hidden="1" x14ac:dyDescent="0.25">
      <c r="Y31338" s="501"/>
    </row>
    <row r="31339" spans="25:25" hidden="1" x14ac:dyDescent="0.25">
      <c r="Y31339" s="501"/>
    </row>
    <row r="31340" spans="25:25" hidden="1" x14ac:dyDescent="0.25">
      <c r="Y31340" s="501"/>
    </row>
    <row r="31341" spans="25:25" hidden="1" x14ac:dyDescent="0.25">
      <c r="Y31341" s="501"/>
    </row>
    <row r="31342" spans="25:25" hidden="1" x14ac:dyDescent="0.25">
      <c r="Y31342" s="501"/>
    </row>
    <row r="31343" spans="25:25" hidden="1" x14ac:dyDescent="0.25">
      <c r="Y31343" s="501"/>
    </row>
    <row r="31344" spans="25:25" hidden="1" x14ac:dyDescent="0.25">
      <c r="Y31344" s="501"/>
    </row>
    <row r="31345" spans="25:25" hidden="1" x14ac:dyDescent="0.25">
      <c r="Y31345" s="501"/>
    </row>
    <row r="31346" spans="25:25" hidden="1" x14ac:dyDescent="0.25">
      <c r="Y31346" s="501"/>
    </row>
    <row r="31347" spans="25:25" hidden="1" x14ac:dyDescent="0.25">
      <c r="Y31347" s="501"/>
    </row>
    <row r="31348" spans="25:25" hidden="1" x14ac:dyDescent="0.25">
      <c r="Y31348" s="501"/>
    </row>
    <row r="31349" spans="25:25" hidden="1" x14ac:dyDescent="0.25">
      <c r="Y31349" s="501"/>
    </row>
    <row r="31350" spans="25:25" hidden="1" x14ac:dyDescent="0.25">
      <c r="Y31350" s="501"/>
    </row>
    <row r="31351" spans="25:25" hidden="1" x14ac:dyDescent="0.25">
      <c r="Y31351" s="501"/>
    </row>
    <row r="31352" spans="25:25" hidden="1" x14ac:dyDescent="0.25">
      <c r="Y31352" s="501"/>
    </row>
    <row r="31353" spans="25:25" hidden="1" x14ac:dyDescent="0.25">
      <c r="Y31353" s="501"/>
    </row>
    <row r="31354" spans="25:25" hidden="1" x14ac:dyDescent="0.25">
      <c r="Y31354" s="501"/>
    </row>
    <row r="31355" spans="25:25" hidden="1" x14ac:dyDescent="0.25">
      <c r="Y31355" s="501"/>
    </row>
    <row r="31356" spans="25:25" hidden="1" x14ac:dyDescent="0.25">
      <c r="Y31356" s="501"/>
    </row>
    <row r="31357" spans="25:25" hidden="1" x14ac:dyDescent="0.25">
      <c r="Y31357" s="501"/>
    </row>
    <row r="31358" spans="25:25" hidden="1" x14ac:dyDescent="0.25">
      <c r="Y31358" s="501"/>
    </row>
    <row r="31359" spans="25:25" hidden="1" x14ac:dyDescent="0.25">
      <c r="Y31359" s="501"/>
    </row>
    <row r="31360" spans="25:25" hidden="1" x14ac:dyDescent="0.25">
      <c r="Y31360" s="501"/>
    </row>
    <row r="31361" spans="25:25" hidden="1" x14ac:dyDescent="0.25">
      <c r="Y31361" s="501"/>
    </row>
    <row r="31362" spans="25:25" hidden="1" x14ac:dyDescent="0.25">
      <c r="Y31362" s="501"/>
    </row>
    <row r="31363" spans="25:25" hidden="1" x14ac:dyDescent="0.25">
      <c r="Y31363" s="501"/>
    </row>
    <row r="31364" spans="25:25" hidden="1" x14ac:dyDescent="0.25">
      <c r="Y31364" s="501"/>
    </row>
    <row r="31365" spans="25:25" hidden="1" x14ac:dyDescent="0.25">
      <c r="Y31365" s="501"/>
    </row>
    <row r="31366" spans="25:25" hidden="1" x14ac:dyDescent="0.25">
      <c r="Y31366" s="501"/>
    </row>
    <row r="31367" spans="25:25" hidden="1" x14ac:dyDescent="0.25">
      <c r="Y31367" s="501"/>
    </row>
    <row r="31368" spans="25:25" hidden="1" x14ac:dyDescent="0.25">
      <c r="Y31368" s="501"/>
    </row>
    <row r="31369" spans="25:25" hidden="1" x14ac:dyDescent="0.25">
      <c r="Y31369" s="501"/>
    </row>
    <row r="31370" spans="25:25" hidden="1" x14ac:dyDescent="0.25">
      <c r="Y31370" s="501"/>
    </row>
    <row r="31371" spans="25:25" hidden="1" x14ac:dyDescent="0.25">
      <c r="Y31371" s="501"/>
    </row>
    <row r="31372" spans="25:25" hidden="1" x14ac:dyDescent="0.25">
      <c r="Y31372" s="501"/>
    </row>
    <row r="31373" spans="25:25" hidden="1" x14ac:dyDescent="0.25">
      <c r="Y31373" s="501"/>
    </row>
    <row r="31374" spans="25:25" hidden="1" x14ac:dyDescent="0.25">
      <c r="Y31374" s="501"/>
    </row>
    <row r="31375" spans="25:25" hidden="1" x14ac:dyDescent="0.25">
      <c r="Y31375" s="501"/>
    </row>
    <row r="31376" spans="25:25" hidden="1" x14ac:dyDescent="0.25">
      <c r="Y31376" s="501"/>
    </row>
    <row r="31377" spans="25:25" hidden="1" x14ac:dyDescent="0.25">
      <c r="Y31377" s="501"/>
    </row>
    <row r="31378" spans="25:25" hidden="1" x14ac:dyDescent="0.25">
      <c r="Y31378" s="501"/>
    </row>
    <row r="31379" spans="25:25" hidden="1" x14ac:dyDescent="0.25">
      <c r="Y31379" s="501"/>
    </row>
    <row r="31380" spans="25:25" hidden="1" x14ac:dyDescent="0.25">
      <c r="Y31380" s="501"/>
    </row>
    <row r="31381" spans="25:25" hidden="1" x14ac:dyDescent="0.25">
      <c r="Y31381" s="501"/>
    </row>
    <row r="31382" spans="25:25" hidden="1" x14ac:dyDescent="0.25">
      <c r="Y31382" s="501"/>
    </row>
    <row r="31383" spans="25:25" hidden="1" x14ac:dyDescent="0.25">
      <c r="Y31383" s="501"/>
    </row>
    <row r="31384" spans="25:25" hidden="1" x14ac:dyDescent="0.25">
      <c r="Y31384" s="501"/>
    </row>
    <row r="31385" spans="25:25" hidden="1" x14ac:dyDescent="0.25">
      <c r="Y31385" s="501"/>
    </row>
    <row r="31386" spans="25:25" hidden="1" x14ac:dyDescent="0.25">
      <c r="Y31386" s="501"/>
    </row>
    <row r="31387" spans="25:25" hidden="1" x14ac:dyDescent="0.25">
      <c r="Y31387" s="501"/>
    </row>
    <row r="31388" spans="25:25" hidden="1" x14ac:dyDescent="0.25">
      <c r="Y31388" s="501"/>
    </row>
    <row r="31389" spans="25:25" hidden="1" x14ac:dyDescent="0.25">
      <c r="Y31389" s="501"/>
    </row>
    <row r="31390" spans="25:25" hidden="1" x14ac:dyDescent="0.25">
      <c r="Y31390" s="501"/>
    </row>
    <row r="31391" spans="25:25" hidden="1" x14ac:dyDescent="0.25">
      <c r="Y31391" s="501"/>
    </row>
    <row r="31392" spans="25:25" hidden="1" x14ac:dyDescent="0.25">
      <c r="Y31392" s="501"/>
    </row>
    <row r="31393" spans="25:25" hidden="1" x14ac:dyDescent="0.25">
      <c r="Y31393" s="501"/>
    </row>
    <row r="31394" spans="25:25" hidden="1" x14ac:dyDescent="0.25">
      <c r="Y31394" s="501"/>
    </row>
    <row r="31395" spans="25:25" hidden="1" x14ac:dyDescent="0.25">
      <c r="Y31395" s="501"/>
    </row>
    <row r="31396" spans="25:25" hidden="1" x14ac:dyDescent="0.25">
      <c r="Y31396" s="501"/>
    </row>
    <row r="31397" spans="25:25" hidden="1" x14ac:dyDescent="0.25">
      <c r="Y31397" s="501"/>
    </row>
    <row r="31398" spans="25:25" hidden="1" x14ac:dyDescent="0.25">
      <c r="Y31398" s="501"/>
    </row>
    <row r="31399" spans="25:25" hidden="1" x14ac:dyDescent="0.25">
      <c r="Y31399" s="501"/>
    </row>
    <row r="31400" spans="25:25" hidden="1" x14ac:dyDescent="0.25">
      <c r="Y31400" s="501"/>
    </row>
    <row r="31401" spans="25:25" hidden="1" x14ac:dyDescent="0.25">
      <c r="Y31401" s="501"/>
    </row>
    <row r="31402" spans="25:25" hidden="1" x14ac:dyDescent="0.25">
      <c r="Y31402" s="501"/>
    </row>
    <row r="31403" spans="25:25" hidden="1" x14ac:dyDescent="0.25">
      <c r="Y31403" s="501"/>
    </row>
    <row r="31404" spans="25:25" hidden="1" x14ac:dyDescent="0.25">
      <c r="Y31404" s="501"/>
    </row>
    <row r="31405" spans="25:25" hidden="1" x14ac:dyDescent="0.25">
      <c r="Y31405" s="501"/>
    </row>
    <row r="31406" spans="25:25" hidden="1" x14ac:dyDescent="0.25">
      <c r="Y31406" s="501"/>
    </row>
    <row r="31407" spans="25:25" hidden="1" x14ac:dyDescent="0.25">
      <c r="Y31407" s="501"/>
    </row>
    <row r="31408" spans="25:25" hidden="1" x14ac:dyDescent="0.25">
      <c r="Y31408" s="501"/>
    </row>
    <row r="31409" spans="25:25" hidden="1" x14ac:dyDescent="0.25">
      <c r="Y31409" s="501"/>
    </row>
    <row r="31410" spans="25:25" hidden="1" x14ac:dyDescent="0.25">
      <c r="Y31410" s="501"/>
    </row>
    <row r="31411" spans="25:25" hidden="1" x14ac:dyDescent="0.25">
      <c r="Y31411" s="501"/>
    </row>
    <row r="31412" spans="25:25" hidden="1" x14ac:dyDescent="0.25">
      <c r="Y31412" s="501"/>
    </row>
    <row r="31413" spans="25:25" hidden="1" x14ac:dyDescent="0.25">
      <c r="Y31413" s="501"/>
    </row>
    <row r="31414" spans="25:25" hidden="1" x14ac:dyDescent="0.25">
      <c r="Y31414" s="501"/>
    </row>
    <row r="31415" spans="25:25" hidden="1" x14ac:dyDescent="0.25">
      <c r="Y31415" s="501"/>
    </row>
    <row r="31416" spans="25:25" hidden="1" x14ac:dyDescent="0.25">
      <c r="Y31416" s="501"/>
    </row>
    <row r="31417" spans="25:25" hidden="1" x14ac:dyDescent="0.25">
      <c r="Y31417" s="501"/>
    </row>
    <row r="31418" spans="25:25" hidden="1" x14ac:dyDescent="0.25">
      <c r="Y31418" s="501"/>
    </row>
    <row r="31419" spans="25:25" hidden="1" x14ac:dyDescent="0.25">
      <c r="Y31419" s="501"/>
    </row>
    <row r="31420" spans="25:25" hidden="1" x14ac:dyDescent="0.25">
      <c r="Y31420" s="501"/>
    </row>
    <row r="31421" spans="25:25" hidden="1" x14ac:dyDescent="0.25">
      <c r="Y31421" s="501"/>
    </row>
    <row r="31422" spans="25:25" hidden="1" x14ac:dyDescent="0.25">
      <c r="Y31422" s="501"/>
    </row>
    <row r="31423" spans="25:25" hidden="1" x14ac:dyDescent="0.25">
      <c r="Y31423" s="501"/>
    </row>
    <row r="31424" spans="25:25" hidden="1" x14ac:dyDescent="0.25">
      <c r="Y31424" s="501"/>
    </row>
    <row r="31425" spans="25:25" hidden="1" x14ac:dyDescent="0.25">
      <c r="Y31425" s="501"/>
    </row>
    <row r="31426" spans="25:25" hidden="1" x14ac:dyDescent="0.25">
      <c r="Y31426" s="501"/>
    </row>
    <row r="31427" spans="25:25" hidden="1" x14ac:dyDescent="0.25">
      <c r="Y31427" s="501"/>
    </row>
    <row r="31428" spans="25:25" hidden="1" x14ac:dyDescent="0.25">
      <c r="Y31428" s="501"/>
    </row>
    <row r="31429" spans="25:25" hidden="1" x14ac:dyDescent="0.25">
      <c r="Y31429" s="501"/>
    </row>
    <row r="31430" spans="25:25" hidden="1" x14ac:dyDescent="0.25">
      <c r="Y31430" s="501"/>
    </row>
    <row r="31431" spans="25:25" hidden="1" x14ac:dyDescent="0.25">
      <c r="Y31431" s="501"/>
    </row>
    <row r="31432" spans="25:25" hidden="1" x14ac:dyDescent="0.25">
      <c r="Y31432" s="501"/>
    </row>
    <row r="31433" spans="25:25" hidden="1" x14ac:dyDescent="0.25">
      <c r="Y31433" s="501"/>
    </row>
    <row r="31434" spans="25:25" hidden="1" x14ac:dyDescent="0.25">
      <c r="Y31434" s="501"/>
    </row>
    <row r="31435" spans="25:25" hidden="1" x14ac:dyDescent="0.25">
      <c r="Y31435" s="501"/>
    </row>
    <row r="31436" spans="25:25" hidden="1" x14ac:dyDescent="0.25">
      <c r="Y31436" s="501"/>
    </row>
    <row r="31437" spans="25:25" hidden="1" x14ac:dyDescent="0.25">
      <c r="Y31437" s="501"/>
    </row>
    <row r="31438" spans="25:25" hidden="1" x14ac:dyDescent="0.25">
      <c r="Y31438" s="501"/>
    </row>
    <row r="31439" spans="25:25" hidden="1" x14ac:dyDescent="0.25">
      <c r="Y31439" s="501"/>
    </row>
    <row r="31440" spans="25:25" hidden="1" x14ac:dyDescent="0.25">
      <c r="Y31440" s="501"/>
    </row>
    <row r="31441" spans="25:25" hidden="1" x14ac:dyDescent="0.25">
      <c r="Y31441" s="501"/>
    </row>
    <row r="31442" spans="25:25" hidden="1" x14ac:dyDescent="0.25">
      <c r="Y31442" s="501"/>
    </row>
    <row r="31443" spans="25:25" hidden="1" x14ac:dyDescent="0.25">
      <c r="Y31443" s="501"/>
    </row>
    <row r="31444" spans="25:25" hidden="1" x14ac:dyDescent="0.25">
      <c r="Y31444" s="501"/>
    </row>
    <row r="31445" spans="25:25" hidden="1" x14ac:dyDescent="0.25">
      <c r="Y31445" s="501"/>
    </row>
    <row r="31446" spans="25:25" hidden="1" x14ac:dyDescent="0.25">
      <c r="Y31446" s="501"/>
    </row>
    <row r="31447" spans="25:25" hidden="1" x14ac:dyDescent="0.25">
      <c r="Y31447" s="501"/>
    </row>
    <row r="31448" spans="25:25" hidden="1" x14ac:dyDescent="0.25">
      <c r="Y31448" s="501"/>
    </row>
    <row r="31449" spans="25:25" hidden="1" x14ac:dyDescent="0.25">
      <c r="Y31449" s="501"/>
    </row>
    <row r="31450" spans="25:25" hidden="1" x14ac:dyDescent="0.25">
      <c r="Y31450" s="501"/>
    </row>
    <row r="31451" spans="25:25" hidden="1" x14ac:dyDescent="0.25">
      <c r="Y31451" s="501"/>
    </row>
    <row r="31452" spans="25:25" hidden="1" x14ac:dyDescent="0.25">
      <c r="Y31452" s="501"/>
    </row>
    <row r="31453" spans="25:25" hidden="1" x14ac:dyDescent="0.25">
      <c r="Y31453" s="501"/>
    </row>
    <row r="31454" spans="25:25" hidden="1" x14ac:dyDescent="0.25">
      <c r="Y31454" s="501"/>
    </row>
    <row r="31455" spans="25:25" hidden="1" x14ac:dyDescent="0.25">
      <c r="Y31455" s="501"/>
    </row>
    <row r="31456" spans="25:25" hidden="1" x14ac:dyDescent="0.25">
      <c r="Y31456" s="501"/>
    </row>
    <row r="31457" spans="25:25" hidden="1" x14ac:dyDescent="0.25">
      <c r="Y31457" s="501"/>
    </row>
    <row r="31458" spans="25:25" hidden="1" x14ac:dyDescent="0.25">
      <c r="Y31458" s="501"/>
    </row>
    <row r="31459" spans="25:25" hidden="1" x14ac:dyDescent="0.25">
      <c r="Y31459" s="501"/>
    </row>
    <row r="31460" spans="25:25" hidden="1" x14ac:dyDescent="0.25">
      <c r="Y31460" s="501"/>
    </row>
    <row r="31461" spans="25:25" hidden="1" x14ac:dyDescent="0.25">
      <c r="Y31461" s="501"/>
    </row>
    <row r="31462" spans="25:25" hidden="1" x14ac:dyDescent="0.25">
      <c r="Y31462" s="501"/>
    </row>
    <row r="31463" spans="25:25" hidden="1" x14ac:dyDescent="0.25">
      <c r="Y31463" s="501"/>
    </row>
    <row r="31464" spans="25:25" hidden="1" x14ac:dyDescent="0.25">
      <c r="Y31464" s="501"/>
    </row>
    <row r="31465" spans="25:25" hidden="1" x14ac:dyDescent="0.25">
      <c r="Y31465" s="501"/>
    </row>
    <row r="31466" spans="25:25" hidden="1" x14ac:dyDescent="0.25">
      <c r="Y31466" s="501"/>
    </row>
    <row r="31467" spans="25:25" hidden="1" x14ac:dyDescent="0.25">
      <c r="Y31467" s="501"/>
    </row>
    <row r="31468" spans="25:25" hidden="1" x14ac:dyDescent="0.25">
      <c r="Y31468" s="501"/>
    </row>
    <row r="31469" spans="25:25" hidden="1" x14ac:dyDescent="0.25">
      <c r="Y31469" s="501"/>
    </row>
    <row r="31470" spans="25:25" hidden="1" x14ac:dyDescent="0.25">
      <c r="Y31470" s="501"/>
    </row>
    <row r="31471" spans="25:25" hidden="1" x14ac:dyDescent="0.25">
      <c r="Y31471" s="501"/>
    </row>
    <row r="31472" spans="25:25" hidden="1" x14ac:dyDescent="0.25">
      <c r="Y31472" s="501"/>
    </row>
    <row r="31473" spans="25:25" hidden="1" x14ac:dyDescent="0.25">
      <c r="Y31473" s="501"/>
    </row>
    <row r="31474" spans="25:25" hidden="1" x14ac:dyDescent="0.25">
      <c r="Y31474" s="501"/>
    </row>
    <row r="31475" spans="25:25" hidden="1" x14ac:dyDescent="0.25">
      <c r="Y31475" s="501"/>
    </row>
    <row r="31476" spans="25:25" hidden="1" x14ac:dyDescent="0.25">
      <c r="Y31476" s="501"/>
    </row>
    <row r="31477" spans="25:25" hidden="1" x14ac:dyDescent="0.25">
      <c r="Y31477" s="501"/>
    </row>
    <row r="31478" spans="25:25" hidden="1" x14ac:dyDescent="0.25">
      <c r="Y31478" s="501"/>
    </row>
    <row r="31479" spans="25:25" hidden="1" x14ac:dyDescent="0.25">
      <c r="Y31479" s="501"/>
    </row>
    <row r="31480" spans="25:25" hidden="1" x14ac:dyDescent="0.25">
      <c r="Y31480" s="501"/>
    </row>
    <row r="31481" spans="25:25" hidden="1" x14ac:dyDescent="0.25">
      <c r="Y31481" s="501"/>
    </row>
    <row r="31482" spans="25:25" hidden="1" x14ac:dyDescent="0.25">
      <c r="Y31482" s="501"/>
    </row>
    <row r="31483" spans="25:25" hidden="1" x14ac:dyDescent="0.25">
      <c r="Y31483" s="501"/>
    </row>
    <row r="31484" spans="25:25" hidden="1" x14ac:dyDescent="0.25">
      <c r="Y31484" s="501"/>
    </row>
    <row r="31485" spans="25:25" hidden="1" x14ac:dyDescent="0.25">
      <c r="Y31485" s="501"/>
    </row>
    <row r="31486" spans="25:25" hidden="1" x14ac:dyDescent="0.25">
      <c r="Y31486" s="501"/>
    </row>
    <row r="31487" spans="25:25" hidden="1" x14ac:dyDescent="0.25">
      <c r="Y31487" s="501"/>
    </row>
    <row r="31488" spans="25:25" hidden="1" x14ac:dyDescent="0.25">
      <c r="Y31488" s="501"/>
    </row>
    <row r="31489" spans="25:25" hidden="1" x14ac:dyDescent="0.25">
      <c r="Y31489" s="501"/>
    </row>
    <row r="31490" spans="25:25" hidden="1" x14ac:dyDescent="0.25">
      <c r="Y31490" s="501"/>
    </row>
    <row r="31491" spans="25:25" hidden="1" x14ac:dyDescent="0.25">
      <c r="Y31491" s="501"/>
    </row>
    <row r="31492" spans="25:25" hidden="1" x14ac:dyDescent="0.25">
      <c r="Y31492" s="501"/>
    </row>
    <row r="31493" spans="25:25" hidden="1" x14ac:dyDescent="0.25">
      <c r="Y31493" s="501"/>
    </row>
    <row r="31494" spans="25:25" hidden="1" x14ac:dyDescent="0.25">
      <c r="Y31494" s="501"/>
    </row>
    <row r="31495" spans="25:25" hidden="1" x14ac:dyDescent="0.25">
      <c r="Y31495" s="501"/>
    </row>
    <row r="31496" spans="25:25" hidden="1" x14ac:dyDescent="0.25">
      <c r="Y31496" s="501"/>
    </row>
    <row r="31497" spans="25:25" hidden="1" x14ac:dyDescent="0.25">
      <c r="Y31497" s="501"/>
    </row>
    <row r="31498" spans="25:25" hidden="1" x14ac:dyDescent="0.25">
      <c r="Y31498" s="501"/>
    </row>
    <row r="31499" spans="25:25" hidden="1" x14ac:dyDescent="0.25">
      <c r="Y31499" s="501"/>
    </row>
    <row r="31500" spans="25:25" hidden="1" x14ac:dyDescent="0.25">
      <c r="Y31500" s="501"/>
    </row>
    <row r="31501" spans="25:25" hidden="1" x14ac:dyDescent="0.25">
      <c r="Y31501" s="501"/>
    </row>
    <row r="31502" spans="25:25" hidden="1" x14ac:dyDescent="0.25">
      <c r="Y31502" s="501"/>
    </row>
    <row r="31503" spans="25:25" hidden="1" x14ac:dyDescent="0.25">
      <c r="Y31503" s="501"/>
    </row>
    <row r="31504" spans="25:25" hidden="1" x14ac:dyDescent="0.25">
      <c r="Y31504" s="501"/>
    </row>
    <row r="31505" spans="25:25" hidden="1" x14ac:dyDescent="0.25">
      <c r="Y31505" s="501"/>
    </row>
    <row r="31506" spans="25:25" hidden="1" x14ac:dyDescent="0.25">
      <c r="Y31506" s="501"/>
    </row>
    <row r="31507" spans="25:25" hidden="1" x14ac:dyDescent="0.25">
      <c r="Y31507" s="501"/>
    </row>
    <row r="31508" spans="25:25" hidden="1" x14ac:dyDescent="0.25">
      <c r="Y31508" s="501"/>
    </row>
    <row r="31509" spans="25:25" hidden="1" x14ac:dyDescent="0.25">
      <c r="Y31509" s="501"/>
    </row>
    <row r="31510" spans="25:25" hidden="1" x14ac:dyDescent="0.25">
      <c r="Y31510" s="501"/>
    </row>
    <row r="31511" spans="25:25" hidden="1" x14ac:dyDescent="0.25">
      <c r="Y31511" s="501"/>
    </row>
    <row r="31512" spans="25:25" hidden="1" x14ac:dyDescent="0.25">
      <c r="Y31512" s="501"/>
    </row>
    <row r="31513" spans="25:25" hidden="1" x14ac:dyDescent="0.25">
      <c r="Y31513" s="501"/>
    </row>
    <row r="31514" spans="25:25" hidden="1" x14ac:dyDescent="0.25">
      <c r="Y31514" s="501"/>
    </row>
    <row r="31515" spans="25:25" hidden="1" x14ac:dyDescent="0.25">
      <c r="Y31515" s="501"/>
    </row>
    <row r="31516" spans="25:25" hidden="1" x14ac:dyDescent="0.25">
      <c r="Y31516" s="501"/>
    </row>
    <row r="31517" spans="25:25" hidden="1" x14ac:dyDescent="0.25">
      <c r="Y31517" s="501"/>
    </row>
    <row r="31518" spans="25:25" hidden="1" x14ac:dyDescent="0.25">
      <c r="Y31518" s="501"/>
    </row>
    <row r="31519" spans="25:25" hidden="1" x14ac:dyDescent="0.25">
      <c r="Y31519" s="501"/>
    </row>
    <row r="31520" spans="25:25" hidden="1" x14ac:dyDescent="0.25">
      <c r="Y31520" s="501"/>
    </row>
    <row r="31521" spans="25:25" hidden="1" x14ac:dyDescent="0.25">
      <c r="Y31521" s="501"/>
    </row>
    <row r="31522" spans="25:25" hidden="1" x14ac:dyDescent="0.25">
      <c r="Y31522" s="501"/>
    </row>
    <row r="31523" spans="25:25" hidden="1" x14ac:dyDescent="0.25">
      <c r="Y31523" s="501"/>
    </row>
    <row r="31524" spans="25:25" hidden="1" x14ac:dyDescent="0.25">
      <c r="Y31524" s="501"/>
    </row>
    <row r="31525" spans="25:25" hidden="1" x14ac:dyDescent="0.25">
      <c r="Y31525" s="501"/>
    </row>
    <row r="31526" spans="25:25" hidden="1" x14ac:dyDescent="0.25">
      <c r="Y31526" s="501"/>
    </row>
    <row r="31527" spans="25:25" hidden="1" x14ac:dyDescent="0.25">
      <c r="Y31527" s="501"/>
    </row>
    <row r="31528" spans="25:25" hidden="1" x14ac:dyDescent="0.25">
      <c r="Y31528" s="501"/>
    </row>
    <row r="31529" spans="25:25" hidden="1" x14ac:dyDescent="0.25">
      <c r="Y31529" s="501"/>
    </row>
    <row r="31530" spans="25:25" hidden="1" x14ac:dyDescent="0.25">
      <c r="Y31530" s="501"/>
    </row>
    <row r="31531" spans="25:25" hidden="1" x14ac:dyDescent="0.25">
      <c r="Y31531" s="501"/>
    </row>
    <row r="31532" spans="25:25" hidden="1" x14ac:dyDescent="0.25">
      <c r="Y31532" s="501"/>
    </row>
    <row r="31533" spans="25:25" hidden="1" x14ac:dyDescent="0.25">
      <c r="Y31533" s="501"/>
    </row>
    <row r="31534" spans="25:25" hidden="1" x14ac:dyDescent="0.25">
      <c r="Y31534" s="501"/>
    </row>
    <row r="31535" spans="25:25" hidden="1" x14ac:dyDescent="0.25">
      <c r="Y31535" s="501"/>
    </row>
    <row r="31536" spans="25:25" hidden="1" x14ac:dyDescent="0.25">
      <c r="Y31536" s="501"/>
    </row>
    <row r="31537" spans="25:25" hidden="1" x14ac:dyDescent="0.25">
      <c r="Y31537" s="501"/>
    </row>
    <row r="31538" spans="25:25" hidden="1" x14ac:dyDescent="0.25">
      <c r="Y31538" s="501"/>
    </row>
    <row r="31539" spans="25:25" hidden="1" x14ac:dyDescent="0.25">
      <c r="Y31539" s="501"/>
    </row>
    <row r="31540" spans="25:25" hidden="1" x14ac:dyDescent="0.25">
      <c r="Y31540" s="501"/>
    </row>
    <row r="31541" spans="25:25" hidden="1" x14ac:dyDescent="0.25">
      <c r="Y31541" s="501"/>
    </row>
    <row r="31542" spans="25:25" hidden="1" x14ac:dyDescent="0.25">
      <c r="Y31542" s="501"/>
    </row>
    <row r="31543" spans="25:25" hidden="1" x14ac:dyDescent="0.25">
      <c r="Y31543" s="501"/>
    </row>
    <row r="31544" spans="25:25" hidden="1" x14ac:dyDescent="0.25">
      <c r="Y31544" s="501"/>
    </row>
    <row r="31545" spans="25:25" hidden="1" x14ac:dyDescent="0.25">
      <c r="Y31545" s="501"/>
    </row>
    <row r="31546" spans="25:25" hidden="1" x14ac:dyDescent="0.25">
      <c r="Y31546" s="501"/>
    </row>
    <row r="31547" spans="25:25" hidden="1" x14ac:dyDescent="0.25">
      <c r="Y31547" s="501"/>
    </row>
    <row r="31548" spans="25:25" hidden="1" x14ac:dyDescent="0.25">
      <c r="Y31548" s="501"/>
    </row>
    <row r="31549" spans="25:25" hidden="1" x14ac:dyDescent="0.25">
      <c r="Y31549" s="501"/>
    </row>
    <row r="31550" spans="25:25" hidden="1" x14ac:dyDescent="0.25">
      <c r="Y31550" s="501"/>
    </row>
    <row r="31551" spans="25:25" hidden="1" x14ac:dyDescent="0.25">
      <c r="Y31551" s="501"/>
    </row>
    <row r="31552" spans="25:25" hidden="1" x14ac:dyDescent="0.25">
      <c r="Y31552" s="501"/>
    </row>
    <row r="31553" spans="25:25" hidden="1" x14ac:dyDescent="0.25">
      <c r="Y31553" s="501"/>
    </row>
    <row r="31554" spans="25:25" hidden="1" x14ac:dyDescent="0.25">
      <c r="Y31554" s="501"/>
    </row>
    <row r="31555" spans="25:25" hidden="1" x14ac:dyDescent="0.25">
      <c r="Y31555" s="501"/>
    </row>
    <row r="31556" spans="25:25" hidden="1" x14ac:dyDescent="0.25">
      <c r="Y31556" s="501"/>
    </row>
    <row r="31557" spans="25:25" hidden="1" x14ac:dyDescent="0.25">
      <c r="Y31557" s="501"/>
    </row>
    <row r="31558" spans="25:25" hidden="1" x14ac:dyDescent="0.25">
      <c r="Y31558" s="501"/>
    </row>
    <row r="31559" spans="25:25" hidden="1" x14ac:dyDescent="0.25">
      <c r="Y31559" s="501"/>
    </row>
    <row r="31560" spans="25:25" hidden="1" x14ac:dyDescent="0.25">
      <c r="Y31560" s="501"/>
    </row>
    <row r="31561" spans="25:25" hidden="1" x14ac:dyDescent="0.25">
      <c r="Y31561" s="501"/>
    </row>
    <row r="31562" spans="25:25" hidden="1" x14ac:dyDescent="0.25">
      <c r="Y31562" s="501"/>
    </row>
    <row r="31563" spans="25:25" hidden="1" x14ac:dyDescent="0.25">
      <c r="Y31563" s="501"/>
    </row>
    <row r="31564" spans="25:25" hidden="1" x14ac:dyDescent="0.25">
      <c r="Y31564" s="501"/>
    </row>
    <row r="31565" spans="25:25" hidden="1" x14ac:dyDescent="0.25">
      <c r="Y31565" s="501"/>
    </row>
    <row r="31566" spans="25:25" hidden="1" x14ac:dyDescent="0.25">
      <c r="Y31566" s="501"/>
    </row>
    <row r="31567" spans="25:25" hidden="1" x14ac:dyDescent="0.25">
      <c r="Y31567" s="501"/>
    </row>
    <row r="31568" spans="25:25" hidden="1" x14ac:dyDescent="0.25">
      <c r="Y31568" s="501"/>
    </row>
    <row r="31569" spans="25:25" hidden="1" x14ac:dyDescent="0.25">
      <c r="Y31569" s="501"/>
    </row>
    <row r="31570" spans="25:25" hidden="1" x14ac:dyDescent="0.25">
      <c r="Y31570" s="501"/>
    </row>
    <row r="31571" spans="25:25" hidden="1" x14ac:dyDescent="0.25">
      <c r="Y31571" s="501"/>
    </row>
    <row r="31572" spans="25:25" hidden="1" x14ac:dyDescent="0.25">
      <c r="Y31572" s="501"/>
    </row>
    <row r="31573" spans="25:25" hidden="1" x14ac:dyDescent="0.25">
      <c r="Y31573" s="501"/>
    </row>
    <row r="31574" spans="25:25" hidden="1" x14ac:dyDescent="0.25">
      <c r="Y31574" s="501"/>
    </row>
    <row r="31575" spans="25:25" hidden="1" x14ac:dyDescent="0.25">
      <c r="Y31575" s="501"/>
    </row>
    <row r="31576" spans="25:25" hidden="1" x14ac:dyDescent="0.25">
      <c r="Y31576" s="501"/>
    </row>
    <row r="31577" spans="25:25" hidden="1" x14ac:dyDescent="0.25">
      <c r="Y31577" s="501"/>
    </row>
    <row r="31578" spans="25:25" hidden="1" x14ac:dyDescent="0.25">
      <c r="Y31578" s="501"/>
    </row>
    <row r="31579" spans="25:25" hidden="1" x14ac:dyDescent="0.25">
      <c r="Y31579" s="501"/>
    </row>
    <row r="31580" spans="25:25" hidden="1" x14ac:dyDescent="0.25">
      <c r="Y31580" s="501"/>
    </row>
    <row r="31581" spans="25:25" hidden="1" x14ac:dyDescent="0.25">
      <c r="Y31581" s="501"/>
    </row>
    <row r="31582" spans="25:25" hidden="1" x14ac:dyDescent="0.25">
      <c r="Y31582" s="501"/>
    </row>
    <row r="31583" spans="25:25" hidden="1" x14ac:dyDescent="0.25">
      <c r="Y31583" s="501"/>
    </row>
    <row r="31584" spans="25:25" hidden="1" x14ac:dyDescent="0.25">
      <c r="Y31584" s="501"/>
    </row>
    <row r="31585" spans="25:25" hidden="1" x14ac:dyDescent="0.25">
      <c r="Y31585" s="501"/>
    </row>
    <row r="31586" spans="25:25" hidden="1" x14ac:dyDescent="0.25">
      <c r="Y31586" s="501"/>
    </row>
    <row r="31587" spans="25:25" hidden="1" x14ac:dyDescent="0.25">
      <c r="Y31587" s="501"/>
    </row>
    <row r="31588" spans="25:25" hidden="1" x14ac:dyDescent="0.25">
      <c r="Y31588" s="501"/>
    </row>
    <row r="31589" spans="25:25" hidden="1" x14ac:dyDescent="0.25">
      <c r="Y31589" s="501"/>
    </row>
    <row r="31590" spans="25:25" hidden="1" x14ac:dyDescent="0.25">
      <c r="Y31590" s="501"/>
    </row>
    <row r="31591" spans="25:25" hidden="1" x14ac:dyDescent="0.25">
      <c r="Y31591" s="501"/>
    </row>
    <row r="31592" spans="25:25" hidden="1" x14ac:dyDescent="0.25">
      <c r="Y31592" s="501"/>
    </row>
    <row r="31593" spans="25:25" hidden="1" x14ac:dyDescent="0.25">
      <c r="Y31593" s="501"/>
    </row>
    <row r="31594" spans="25:25" hidden="1" x14ac:dyDescent="0.25">
      <c r="Y31594" s="501"/>
    </row>
    <row r="31595" spans="25:25" hidden="1" x14ac:dyDescent="0.25">
      <c r="Y31595" s="501"/>
    </row>
    <row r="31596" spans="25:25" hidden="1" x14ac:dyDescent="0.25">
      <c r="Y31596" s="501"/>
    </row>
    <row r="31597" spans="25:25" hidden="1" x14ac:dyDescent="0.25">
      <c r="Y31597" s="501"/>
    </row>
    <row r="31598" spans="25:25" hidden="1" x14ac:dyDescent="0.25">
      <c r="Y31598" s="501"/>
    </row>
    <row r="31599" spans="25:25" hidden="1" x14ac:dyDescent="0.25">
      <c r="Y31599" s="501"/>
    </row>
    <row r="31600" spans="25:25" hidden="1" x14ac:dyDescent="0.25">
      <c r="Y31600" s="501"/>
    </row>
    <row r="31601" spans="25:25" hidden="1" x14ac:dyDescent="0.25">
      <c r="Y31601" s="501"/>
    </row>
    <row r="31602" spans="25:25" hidden="1" x14ac:dyDescent="0.25">
      <c r="Y31602" s="501"/>
    </row>
    <row r="31603" spans="25:25" hidden="1" x14ac:dyDescent="0.25">
      <c r="Y31603" s="501"/>
    </row>
    <row r="31604" spans="25:25" hidden="1" x14ac:dyDescent="0.25">
      <c r="Y31604" s="501"/>
    </row>
    <row r="31605" spans="25:25" hidden="1" x14ac:dyDescent="0.25">
      <c r="Y31605" s="501"/>
    </row>
    <row r="31606" spans="25:25" hidden="1" x14ac:dyDescent="0.25">
      <c r="Y31606" s="501"/>
    </row>
    <row r="31607" spans="25:25" hidden="1" x14ac:dyDescent="0.25">
      <c r="Y31607" s="501"/>
    </row>
    <row r="31608" spans="25:25" hidden="1" x14ac:dyDescent="0.25">
      <c r="Y31608" s="501"/>
    </row>
    <row r="31609" spans="25:25" hidden="1" x14ac:dyDescent="0.25">
      <c r="Y31609" s="501"/>
    </row>
    <row r="31610" spans="25:25" hidden="1" x14ac:dyDescent="0.25">
      <c r="Y31610" s="501"/>
    </row>
    <row r="31611" spans="25:25" hidden="1" x14ac:dyDescent="0.25">
      <c r="Y31611" s="501"/>
    </row>
    <row r="31612" spans="25:25" hidden="1" x14ac:dyDescent="0.25">
      <c r="Y31612" s="501"/>
    </row>
    <row r="31613" spans="25:25" hidden="1" x14ac:dyDescent="0.25">
      <c r="Y31613" s="501"/>
    </row>
    <row r="31614" spans="25:25" hidden="1" x14ac:dyDescent="0.25">
      <c r="Y31614" s="501"/>
    </row>
    <row r="31615" spans="25:25" hidden="1" x14ac:dyDescent="0.25">
      <c r="Y31615" s="501"/>
    </row>
    <row r="31616" spans="25:25" hidden="1" x14ac:dyDescent="0.25">
      <c r="Y31616" s="501"/>
    </row>
    <row r="31617" spans="25:25" hidden="1" x14ac:dyDescent="0.25">
      <c r="Y31617" s="501"/>
    </row>
    <row r="31618" spans="25:25" hidden="1" x14ac:dyDescent="0.25">
      <c r="Y31618" s="501"/>
    </row>
    <row r="31619" spans="25:25" hidden="1" x14ac:dyDescent="0.25">
      <c r="Y31619" s="501"/>
    </row>
    <row r="31620" spans="25:25" hidden="1" x14ac:dyDescent="0.25">
      <c r="Y31620" s="501"/>
    </row>
    <row r="31621" spans="25:25" hidden="1" x14ac:dyDescent="0.25">
      <c r="Y31621" s="501"/>
    </row>
    <row r="31622" spans="25:25" hidden="1" x14ac:dyDescent="0.25">
      <c r="Y31622" s="501"/>
    </row>
    <row r="31623" spans="25:25" hidden="1" x14ac:dyDescent="0.25">
      <c r="Y31623" s="501"/>
    </row>
    <row r="31624" spans="25:25" hidden="1" x14ac:dyDescent="0.25">
      <c r="Y31624" s="501"/>
    </row>
    <row r="31625" spans="25:25" hidden="1" x14ac:dyDescent="0.25">
      <c r="Y31625" s="501"/>
    </row>
    <row r="31626" spans="25:25" hidden="1" x14ac:dyDescent="0.25">
      <c r="Y31626" s="501"/>
    </row>
    <row r="31627" spans="25:25" hidden="1" x14ac:dyDescent="0.25">
      <c r="Y31627" s="501"/>
    </row>
    <row r="31628" spans="25:25" hidden="1" x14ac:dyDescent="0.25">
      <c r="Y31628" s="501"/>
    </row>
    <row r="31629" spans="25:25" hidden="1" x14ac:dyDescent="0.25">
      <c r="Y31629" s="501"/>
    </row>
    <row r="31630" spans="25:25" hidden="1" x14ac:dyDescent="0.25">
      <c r="Y31630" s="501"/>
    </row>
    <row r="31631" spans="25:25" hidden="1" x14ac:dyDescent="0.25">
      <c r="Y31631" s="501"/>
    </row>
    <row r="31632" spans="25:25" hidden="1" x14ac:dyDescent="0.25">
      <c r="Y31632" s="501"/>
    </row>
    <row r="31633" spans="25:25" hidden="1" x14ac:dyDescent="0.25">
      <c r="Y31633" s="501"/>
    </row>
    <row r="31634" spans="25:25" hidden="1" x14ac:dyDescent="0.25">
      <c r="Y31634" s="501"/>
    </row>
    <row r="31635" spans="25:25" hidden="1" x14ac:dyDescent="0.25">
      <c r="Y31635" s="501"/>
    </row>
    <row r="31636" spans="25:25" hidden="1" x14ac:dyDescent="0.25">
      <c r="Y31636" s="501"/>
    </row>
    <row r="31637" spans="25:25" hidden="1" x14ac:dyDescent="0.25">
      <c r="Y31637" s="501"/>
    </row>
    <row r="31638" spans="25:25" hidden="1" x14ac:dyDescent="0.25">
      <c r="Y31638" s="501"/>
    </row>
    <row r="31639" spans="25:25" hidden="1" x14ac:dyDescent="0.25">
      <c r="Y31639" s="501"/>
    </row>
    <row r="31640" spans="25:25" hidden="1" x14ac:dyDescent="0.25">
      <c r="Y31640" s="501"/>
    </row>
    <row r="31641" spans="25:25" hidden="1" x14ac:dyDescent="0.25">
      <c r="Y31641" s="501"/>
    </row>
    <row r="31642" spans="25:25" hidden="1" x14ac:dyDescent="0.25">
      <c r="Y31642" s="501"/>
    </row>
    <row r="31643" spans="25:25" hidden="1" x14ac:dyDescent="0.25">
      <c r="Y31643" s="501"/>
    </row>
    <row r="31644" spans="25:25" hidden="1" x14ac:dyDescent="0.25">
      <c r="Y31644" s="501"/>
    </row>
    <row r="31645" spans="25:25" hidden="1" x14ac:dyDescent="0.25">
      <c r="Y31645" s="501"/>
    </row>
    <row r="31646" spans="25:25" hidden="1" x14ac:dyDescent="0.25">
      <c r="Y31646" s="501"/>
    </row>
    <row r="31647" spans="25:25" hidden="1" x14ac:dyDescent="0.25">
      <c r="Y31647" s="501"/>
    </row>
    <row r="31648" spans="25:25" hidden="1" x14ac:dyDescent="0.25">
      <c r="Y31648" s="501"/>
    </row>
    <row r="31649" spans="25:25" hidden="1" x14ac:dyDescent="0.25">
      <c r="Y31649" s="501"/>
    </row>
    <row r="31650" spans="25:25" hidden="1" x14ac:dyDescent="0.25">
      <c r="Y31650" s="501"/>
    </row>
    <row r="31651" spans="25:25" hidden="1" x14ac:dyDescent="0.25">
      <c r="Y31651" s="501"/>
    </row>
    <row r="31652" spans="25:25" hidden="1" x14ac:dyDescent="0.25">
      <c r="Y31652" s="501"/>
    </row>
    <row r="31653" spans="25:25" hidden="1" x14ac:dyDescent="0.25">
      <c r="Y31653" s="501"/>
    </row>
    <row r="31654" spans="25:25" hidden="1" x14ac:dyDescent="0.25">
      <c r="Y31654" s="501"/>
    </row>
    <row r="31655" spans="25:25" hidden="1" x14ac:dyDescent="0.25">
      <c r="Y31655" s="501"/>
    </row>
    <row r="31656" spans="25:25" hidden="1" x14ac:dyDescent="0.25">
      <c r="Y31656" s="501"/>
    </row>
    <row r="31657" spans="25:25" hidden="1" x14ac:dyDescent="0.25">
      <c r="Y31657" s="501"/>
    </row>
    <row r="31658" spans="25:25" hidden="1" x14ac:dyDescent="0.25">
      <c r="Y31658" s="501"/>
    </row>
    <row r="31659" spans="25:25" hidden="1" x14ac:dyDescent="0.25">
      <c r="Y31659" s="501"/>
    </row>
    <row r="31660" spans="25:25" hidden="1" x14ac:dyDescent="0.25">
      <c r="Y31660" s="501"/>
    </row>
    <row r="31661" spans="25:25" hidden="1" x14ac:dyDescent="0.25">
      <c r="Y31661" s="501"/>
    </row>
    <row r="31662" spans="25:25" hidden="1" x14ac:dyDescent="0.25">
      <c r="Y31662" s="501"/>
    </row>
    <row r="31663" spans="25:25" hidden="1" x14ac:dyDescent="0.25">
      <c r="Y31663" s="501"/>
    </row>
    <row r="31664" spans="25:25" hidden="1" x14ac:dyDescent="0.25">
      <c r="Y31664" s="501"/>
    </row>
    <row r="31665" spans="25:25" hidden="1" x14ac:dyDescent="0.25">
      <c r="Y31665" s="501"/>
    </row>
    <row r="31666" spans="25:25" hidden="1" x14ac:dyDescent="0.25">
      <c r="Y31666" s="501"/>
    </row>
    <row r="31667" spans="25:25" hidden="1" x14ac:dyDescent="0.25">
      <c r="Y31667" s="501"/>
    </row>
    <row r="31668" spans="25:25" hidden="1" x14ac:dyDescent="0.25">
      <c r="Y31668" s="501"/>
    </row>
    <row r="31669" spans="25:25" hidden="1" x14ac:dyDescent="0.25">
      <c r="Y31669" s="501"/>
    </row>
    <row r="31670" spans="25:25" hidden="1" x14ac:dyDescent="0.25">
      <c r="Y31670" s="501"/>
    </row>
    <row r="31671" spans="25:25" hidden="1" x14ac:dyDescent="0.25">
      <c r="Y31671" s="501"/>
    </row>
    <row r="31672" spans="25:25" hidden="1" x14ac:dyDescent="0.25">
      <c r="Y31672" s="501"/>
    </row>
    <row r="31673" spans="25:25" hidden="1" x14ac:dyDescent="0.25">
      <c r="Y31673" s="501"/>
    </row>
    <row r="31674" spans="25:25" hidden="1" x14ac:dyDescent="0.25">
      <c r="Y31674" s="501"/>
    </row>
    <row r="31675" spans="25:25" hidden="1" x14ac:dyDescent="0.25">
      <c r="Y31675" s="501"/>
    </row>
    <row r="31676" spans="25:25" hidden="1" x14ac:dyDescent="0.25">
      <c r="Y31676" s="501"/>
    </row>
    <row r="31677" spans="25:25" hidden="1" x14ac:dyDescent="0.25">
      <c r="Y31677" s="501"/>
    </row>
    <row r="31678" spans="25:25" hidden="1" x14ac:dyDescent="0.25">
      <c r="Y31678" s="501"/>
    </row>
    <row r="31679" spans="25:25" hidden="1" x14ac:dyDescent="0.25">
      <c r="Y31679" s="501"/>
    </row>
    <row r="31680" spans="25:25" hidden="1" x14ac:dyDescent="0.25">
      <c r="Y31680" s="501"/>
    </row>
    <row r="31681" spans="25:25" hidden="1" x14ac:dyDescent="0.25">
      <c r="Y31681" s="501"/>
    </row>
    <row r="31682" spans="25:25" hidden="1" x14ac:dyDescent="0.25">
      <c r="Y31682" s="501"/>
    </row>
    <row r="31683" spans="25:25" hidden="1" x14ac:dyDescent="0.25">
      <c r="Y31683" s="501"/>
    </row>
    <row r="31684" spans="25:25" hidden="1" x14ac:dyDescent="0.25">
      <c r="Y31684" s="501"/>
    </row>
    <row r="31685" spans="25:25" hidden="1" x14ac:dyDescent="0.25">
      <c r="Y31685" s="501"/>
    </row>
    <row r="31686" spans="25:25" hidden="1" x14ac:dyDescent="0.25">
      <c r="Y31686" s="501"/>
    </row>
    <row r="31687" spans="25:25" hidden="1" x14ac:dyDescent="0.25">
      <c r="Y31687" s="501"/>
    </row>
    <row r="31688" spans="25:25" hidden="1" x14ac:dyDescent="0.25">
      <c r="Y31688" s="501"/>
    </row>
    <row r="31689" spans="25:25" hidden="1" x14ac:dyDescent="0.25">
      <c r="Y31689" s="501"/>
    </row>
    <row r="31690" spans="25:25" hidden="1" x14ac:dyDescent="0.25">
      <c r="Y31690" s="501"/>
    </row>
    <row r="31691" spans="25:25" hidden="1" x14ac:dyDescent="0.25">
      <c r="Y31691" s="501"/>
    </row>
    <row r="31692" spans="25:25" hidden="1" x14ac:dyDescent="0.25">
      <c r="Y31692" s="501"/>
    </row>
    <row r="31693" spans="25:25" hidden="1" x14ac:dyDescent="0.25">
      <c r="Y31693" s="501"/>
    </row>
    <row r="31694" spans="25:25" hidden="1" x14ac:dyDescent="0.25">
      <c r="Y31694" s="501"/>
    </row>
    <row r="31695" spans="25:25" hidden="1" x14ac:dyDescent="0.25">
      <c r="Y31695" s="501"/>
    </row>
    <row r="31696" spans="25:25" hidden="1" x14ac:dyDescent="0.25">
      <c r="Y31696" s="501"/>
    </row>
    <row r="31697" spans="25:25" hidden="1" x14ac:dyDescent="0.25">
      <c r="Y31697" s="501"/>
    </row>
    <row r="31698" spans="25:25" hidden="1" x14ac:dyDescent="0.25">
      <c r="Y31698" s="501"/>
    </row>
    <row r="31699" spans="25:25" hidden="1" x14ac:dyDescent="0.25">
      <c r="Y31699" s="501"/>
    </row>
    <row r="31700" spans="25:25" hidden="1" x14ac:dyDescent="0.25">
      <c r="Y31700" s="501"/>
    </row>
    <row r="31701" spans="25:25" hidden="1" x14ac:dyDescent="0.25">
      <c r="Y31701" s="501"/>
    </row>
    <row r="31702" spans="25:25" hidden="1" x14ac:dyDescent="0.25">
      <c r="Y31702" s="501"/>
    </row>
    <row r="31703" spans="25:25" hidden="1" x14ac:dyDescent="0.25">
      <c r="Y31703" s="501"/>
    </row>
    <row r="31704" spans="25:25" hidden="1" x14ac:dyDescent="0.25">
      <c r="Y31704" s="501"/>
    </row>
    <row r="31705" spans="25:25" hidden="1" x14ac:dyDescent="0.25">
      <c r="Y31705" s="501"/>
    </row>
    <row r="31706" spans="25:25" hidden="1" x14ac:dyDescent="0.25">
      <c r="Y31706" s="501"/>
    </row>
    <row r="31707" spans="25:25" hidden="1" x14ac:dyDescent="0.25">
      <c r="Y31707" s="501"/>
    </row>
    <row r="31708" spans="25:25" hidden="1" x14ac:dyDescent="0.25">
      <c r="Y31708" s="501"/>
    </row>
    <row r="31709" spans="25:25" hidden="1" x14ac:dyDescent="0.25">
      <c r="Y31709" s="501"/>
    </row>
    <row r="31710" spans="25:25" hidden="1" x14ac:dyDescent="0.25">
      <c r="Y31710" s="501"/>
    </row>
    <row r="31711" spans="25:25" hidden="1" x14ac:dyDescent="0.25">
      <c r="Y31711" s="501"/>
    </row>
    <row r="31712" spans="25:25" hidden="1" x14ac:dyDescent="0.25">
      <c r="Y31712" s="501"/>
    </row>
    <row r="31713" spans="25:25" hidden="1" x14ac:dyDescent="0.25">
      <c r="Y31713" s="501"/>
    </row>
    <row r="31714" spans="25:25" hidden="1" x14ac:dyDescent="0.25">
      <c r="Y31714" s="501"/>
    </row>
    <row r="31715" spans="25:25" hidden="1" x14ac:dyDescent="0.25">
      <c r="Y31715" s="501"/>
    </row>
    <row r="31716" spans="25:25" hidden="1" x14ac:dyDescent="0.25">
      <c r="Y31716" s="501"/>
    </row>
    <row r="31717" spans="25:25" hidden="1" x14ac:dyDescent="0.25">
      <c r="Y31717" s="501"/>
    </row>
    <row r="31718" spans="25:25" hidden="1" x14ac:dyDescent="0.25">
      <c r="Y31718" s="501"/>
    </row>
    <row r="31719" spans="25:25" hidden="1" x14ac:dyDescent="0.25">
      <c r="Y31719" s="501"/>
    </row>
    <row r="31720" spans="25:25" hidden="1" x14ac:dyDescent="0.25">
      <c r="Y31720" s="501"/>
    </row>
    <row r="31721" spans="25:25" hidden="1" x14ac:dyDescent="0.25">
      <c r="Y31721" s="501"/>
    </row>
    <row r="31722" spans="25:25" hidden="1" x14ac:dyDescent="0.25">
      <c r="Y31722" s="501"/>
    </row>
    <row r="31723" spans="25:25" hidden="1" x14ac:dyDescent="0.25">
      <c r="Y31723" s="501"/>
    </row>
    <row r="31724" spans="25:25" hidden="1" x14ac:dyDescent="0.25">
      <c r="Y31724" s="501"/>
    </row>
    <row r="31725" spans="25:25" hidden="1" x14ac:dyDescent="0.25">
      <c r="Y31725" s="501"/>
    </row>
    <row r="31726" spans="25:25" hidden="1" x14ac:dyDescent="0.25">
      <c r="Y31726" s="501"/>
    </row>
    <row r="31727" spans="25:25" hidden="1" x14ac:dyDescent="0.25">
      <c r="Y31727" s="501"/>
    </row>
    <row r="31728" spans="25:25" hidden="1" x14ac:dyDescent="0.25">
      <c r="Y31728" s="501"/>
    </row>
    <row r="31729" spans="25:25" hidden="1" x14ac:dyDescent="0.25">
      <c r="Y31729" s="501"/>
    </row>
    <row r="31730" spans="25:25" hidden="1" x14ac:dyDescent="0.25">
      <c r="Y31730" s="501"/>
    </row>
    <row r="31731" spans="25:25" hidden="1" x14ac:dyDescent="0.25">
      <c r="Y31731" s="501"/>
    </row>
    <row r="31732" spans="25:25" hidden="1" x14ac:dyDescent="0.25">
      <c r="Y31732" s="501"/>
    </row>
    <row r="31733" spans="25:25" hidden="1" x14ac:dyDescent="0.25">
      <c r="Y31733" s="501"/>
    </row>
    <row r="31734" spans="25:25" hidden="1" x14ac:dyDescent="0.25">
      <c r="Y31734" s="501"/>
    </row>
    <row r="31735" spans="25:25" hidden="1" x14ac:dyDescent="0.25">
      <c r="Y31735" s="501"/>
    </row>
    <row r="31736" spans="25:25" hidden="1" x14ac:dyDescent="0.25">
      <c r="Y31736" s="501"/>
    </row>
    <row r="31737" spans="25:25" hidden="1" x14ac:dyDescent="0.25">
      <c r="Y31737" s="501"/>
    </row>
    <row r="31738" spans="25:25" hidden="1" x14ac:dyDescent="0.25">
      <c r="Y31738" s="501"/>
    </row>
    <row r="31739" spans="25:25" hidden="1" x14ac:dyDescent="0.25">
      <c r="Y31739" s="501"/>
    </row>
    <row r="31740" spans="25:25" hidden="1" x14ac:dyDescent="0.25">
      <c r="Y31740" s="501"/>
    </row>
    <row r="31741" spans="25:25" hidden="1" x14ac:dyDescent="0.25">
      <c r="Y31741" s="501"/>
    </row>
    <row r="31742" spans="25:25" hidden="1" x14ac:dyDescent="0.25">
      <c r="Y31742" s="501"/>
    </row>
    <row r="31743" spans="25:25" hidden="1" x14ac:dyDescent="0.25">
      <c r="Y31743" s="501"/>
    </row>
    <row r="31744" spans="25:25" hidden="1" x14ac:dyDescent="0.25">
      <c r="Y31744" s="501"/>
    </row>
    <row r="31745" spans="25:25" hidden="1" x14ac:dyDescent="0.25">
      <c r="Y31745" s="501"/>
    </row>
    <row r="31746" spans="25:25" hidden="1" x14ac:dyDescent="0.25">
      <c r="Y31746" s="501"/>
    </row>
    <row r="31747" spans="25:25" hidden="1" x14ac:dyDescent="0.25">
      <c r="Y31747" s="501"/>
    </row>
    <row r="31748" spans="25:25" hidden="1" x14ac:dyDescent="0.25">
      <c r="Y31748" s="501"/>
    </row>
    <row r="31749" spans="25:25" hidden="1" x14ac:dyDescent="0.25">
      <c r="Y31749" s="501"/>
    </row>
    <row r="31750" spans="25:25" hidden="1" x14ac:dyDescent="0.25">
      <c r="Y31750" s="501"/>
    </row>
    <row r="31751" spans="25:25" hidden="1" x14ac:dyDescent="0.25">
      <c r="Y31751" s="501"/>
    </row>
    <row r="31752" spans="25:25" hidden="1" x14ac:dyDescent="0.25">
      <c r="Y31752" s="501"/>
    </row>
    <row r="31753" spans="25:25" hidden="1" x14ac:dyDescent="0.25">
      <c r="Y31753" s="501"/>
    </row>
    <row r="31754" spans="25:25" hidden="1" x14ac:dyDescent="0.25">
      <c r="Y31754" s="501"/>
    </row>
    <row r="31755" spans="25:25" hidden="1" x14ac:dyDescent="0.25">
      <c r="Y31755" s="501"/>
    </row>
    <row r="31756" spans="25:25" hidden="1" x14ac:dyDescent="0.25">
      <c r="Y31756" s="501"/>
    </row>
    <row r="31757" spans="25:25" hidden="1" x14ac:dyDescent="0.25">
      <c r="Y31757" s="501"/>
    </row>
    <row r="31758" spans="25:25" hidden="1" x14ac:dyDescent="0.25">
      <c r="Y31758" s="501"/>
    </row>
    <row r="31759" spans="25:25" hidden="1" x14ac:dyDescent="0.25">
      <c r="Y31759" s="501"/>
    </row>
    <row r="31760" spans="25:25" hidden="1" x14ac:dyDescent="0.25">
      <c r="Y31760" s="501"/>
    </row>
    <row r="31761" spans="25:25" hidden="1" x14ac:dyDescent="0.25">
      <c r="Y31761" s="501"/>
    </row>
    <row r="31762" spans="25:25" hidden="1" x14ac:dyDescent="0.25">
      <c r="Y31762" s="501"/>
    </row>
    <row r="31763" spans="25:25" hidden="1" x14ac:dyDescent="0.25">
      <c r="Y31763" s="501"/>
    </row>
    <row r="31764" spans="25:25" hidden="1" x14ac:dyDescent="0.25">
      <c r="Y31764" s="501"/>
    </row>
    <row r="31765" spans="25:25" hidden="1" x14ac:dyDescent="0.25">
      <c r="Y31765" s="501"/>
    </row>
    <row r="31766" spans="25:25" hidden="1" x14ac:dyDescent="0.25">
      <c r="Y31766" s="501"/>
    </row>
    <row r="31767" spans="25:25" hidden="1" x14ac:dyDescent="0.25">
      <c r="Y31767" s="501"/>
    </row>
    <row r="31768" spans="25:25" hidden="1" x14ac:dyDescent="0.25">
      <c r="Y31768" s="501"/>
    </row>
    <row r="31769" spans="25:25" hidden="1" x14ac:dyDescent="0.25">
      <c r="Y31769" s="501"/>
    </row>
    <row r="31770" spans="25:25" hidden="1" x14ac:dyDescent="0.25">
      <c r="Y31770" s="501"/>
    </row>
    <row r="31771" spans="25:25" hidden="1" x14ac:dyDescent="0.25">
      <c r="Y31771" s="501"/>
    </row>
    <row r="31772" spans="25:25" hidden="1" x14ac:dyDescent="0.25">
      <c r="Y31772" s="501"/>
    </row>
    <row r="31773" spans="25:25" hidden="1" x14ac:dyDescent="0.25">
      <c r="Y31773" s="501"/>
    </row>
    <row r="31774" spans="25:25" hidden="1" x14ac:dyDescent="0.25">
      <c r="Y31774" s="501"/>
    </row>
    <row r="31775" spans="25:25" hidden="1" x14ac:dyDescent="0.25">
      <c r="Y31775" s="501"/>
    </row>
    <row r="31776" spans="25:25" hidden="1" x14ac:dyDescent="0.25">
      <c r="Y31776" s="501"/>
    </row>
    <row r="31777" spans="25:25" hidden="1" x14ac:dyDescent="0.25">
      <c r="Y31777" s="501"/>
    </row>
    <row r="31778" spans="25:25" hidden="1" x14ac:dyDescent="0.25">
      <c r="Y31778" s="501"/>
    </row>
    <row r="31779" spans="25:25" hidden="1" x14ac:dyDescent="0.25">
      <c r="Y31779" s="501"/>
    </row>
    <row r="31780" spans="25:25" hidden="1" x14ac:dyDescent="0.25">
      <c r="Y31780" s="501"/>
    </row>
    <row r="31781" spans="25:25" hidden="1" x14ac:dyDescent="0.25">
      <c r="Y31781" s="501"/>
    </row>
    <row r="31782" spans="25:25" hidden="1" x14ac:dyDescent="0.25">
      <c r="Y31782" s="501"/>
    </row>
    <row r="31783" spans="25:25" hidden="1" x14ac:dyDescent="0.25">
      <c r="Y31783" s="501"/>
    </row>
    <row r="31784" spans="25:25" hidden="1" x14ac:dyDescent="0.25">
      <c r="Y31784" s="501"/>
    </row>
    <row r="31785" spans="25:25" hidden="1" x14ac:dyDescent="0.25">
      <c r="Y31785" s="501"/>
    </row>
    <row r="31786" spans="25:25" hidden="1" x14ac:dyDescent="0.25">
      <c r="Y31786" s="501"/>
    </row>
    <row r="31787" spans="25:25" hidden="1" x14ac:dyDescent="0.25">
      <c r="Y31787" s="501"/>
    </row>
    <row r="31788" spans="25:25" hidden="1" x14ac:dyDescent="0.25">
      <c r="Y31788" s="501"/>
    </row>
    <row r="31789" spans="25:25" hidden="1" x14ac:dyDescent="0.25">
      <c r="Y31789" s="501"/>
    </row>
    <row r="31790" spans="25:25" hidden="1" x14ac:dyDescent="0.25">
      <c r="Y31790" s="501"/>
    </row>
    <row r="31791" spans="25:25" hidden="1" x14ac:dyDescent="0.25">
      <c r="Y31791" s="501"/>
    </row>
    <row r="31792" spans="25:25" hidden="1" x14ac:dyDescent="0.25">
      <c r="Y31792" s="501"/>
    </row>
    <row r="31793" spans="25:25" hidden="1" x14ac:dyDescent="0.25">
      <c r="Y31793" s="501"/>
    </row>
    <row r="31794" spans="25:25" hidden="1" x14ac:dyDescent="0.25">
      <c r="Y31794" s="501"/>
    </row>
    <row r="31795" spans="25:25" hidden="1" x14ac:dyDescent="0.25">
      <c r="Y31795" s="501"/>
    </row>
    <row r="31796" spans="25:25" hidden="1" x14ac:dyDescent="0.25">
      <c r="Y31796" s="501"/>
    </row>
    <row r="31797" spans="25:25" hidden="1" x14ac:dyDescent="0.25">
      <c r="Y31797" s="501"/>
    </row>
    <row r="31798" spans="25:25" hidden="1" x14ac:dyDescent="0.25">
      <c r="Y31798" s="501"/>
    </row>
    <row r="31799" spans="25:25" hidden="1" x14ac:dyDescent="0.25">
      <c r="Y31799" s="501"/>
    </row>
    <row r="31800" spans="25:25" hidden="1" x14ac:dyDescent="0.25">
      <c r="Y31800" s="501"/>
    </row>
    <row r="31801" spans="25:25" hidden="1" x14ac:dyDescent="0.25">
      <c r="Y31801" s="501"/>
    </row>
    <row r="31802" spans="25:25" hidden="1" x14ac:dyDescent="0.25">
      <c r="Y31802" s="501"/>
    </row>
    <row r="31803" spans="25:25" hidden="1" x14ac:dyDescent="0.25">
      <c r="Y31803" s="501"/>
    </row>
    <row r="31804" spans="25:25" hidden="1" x14ac:dyDescent="0.25">
      <c r="Y31804" s="501"/>
    </row>
    <row r="31805" spans="25:25" hidden="1" x14ac:dyDescent="0.25">
      <c r="Y31805" s="501"/>
    </row>
    <row r="31806" spans="25:25" hidden="1" x14ac:dyDescent="0.25">
      <c r="Y31806" s="501"/>
    </row>
    <row r="31807" spans="25:25" hidden="1" x14ac:dyDescent="0.25">
      <c r="Y31807" s="501"/>
    </row>
    <row r="31808" spans="25:25" hidden="1" x14ac:dyDescent="0.25">
      <c r="Y31808" s="501"/>
    </row>
    <row r="31809" spans="25:25" hidden="1" x14ac:dyDescent="0.25">
      <c r="Y31809" s="501"/>
    </row>
    <row r="31810" spans="25:25" hidden="1" x14ac:dyDescent="0.25">
      <c r="Y31810" s="501"/>
    </row>
    <row r="31811" spans="25:25" hidden="1" x14ac:dyDescent="0.25">
      <c r="Y31811" s="501"/>
    </row>
    <row r="31812" spans="25:25" hidden="1" x14ac:dyDescent="0.25">
      <c r="Y31812" s="501"/>
    </row>
    <row r="31813" spans="25:25" hidden="1" x14ac:dyDescent="0.25">
      <c r="Y31813" s="501"/>
    </row>
    <row r="31814" spans="25:25" hidden="1" x14ac:dyDescent="0.25">
      <c r="Y31814" s="501"/>
    </row>
    <row r="31815" spans="25:25" hidden="1" x14ac:dyDescent="0.25">
      <c r="Y31815" s="501"/>
    </row>
    <row r="31816" spans="25:25" hidden="1" x14ac:dyDescent="0.25">
      <c r="Y31816" s="501"/>
    </row>
    <row r="31817" spans="25:25" hidden="1" x14ac:dyDescent="0.25">
      <c r="Y31817" s="501"/>
    </row>
    <row r="31818" spans="25:25" hidden="1" x14ac:dyDescent="0.25">
      <c r="Y31818" s="501"/>
    </row>
    <row r="31819" spans="25:25" hidden="1" x14ac:dyDescent="0.25">
      <c r="Y31819" s="501"/>
    </row>
    <row r="31820" spans="25:25" hidden="1" x14ac:dyDescent="0.25">
      <c r="Y31820" s="501"/>
    </row>
    <row r="31821" spans="25:25" hidden="1" x14ac:dyDescent="0.25">
      <c r="Y31821" s="501"/>
    </row>
    <row r="31822" spans="25:25" hidden="1" x14ac:dyDescent="0.25">
      <c r="Y31822" s="501"/>
    </row>
    <row r="31823" spans="25:25" hidden="1" x14ac:dyDescent="0.25">
      <c r="Y31823" s="501"/>
    </row>
    <row r="31824" spans="25:25" hidden="1" x14ac:dyDescent="0.25">
      <c r="Y31824" s="501"/>
    </row>
    <row r="31825" spans="25:25" hidden="1" x14ac:dyDescent="0.25">
      <c r="Y31825" s="501"/>
    </row>
    <row r="31826" spans="25:25" hidden="1" x14ac:dyDescent="0.25">
      <c r="Y31826" s="501"/>
    </row>
    <row r="31827" spans="25:25" hidden="1" x14ac:dyDescent="0.25">
      <c r="Y31827" s="501"/>
    </row>
    <row r="31828" spans="25:25" hidden="1" x14ac:dyDescent="0.25">
      <c r="Y31828" s="501"/>
    </row>
    <row r="31829" spans="25:25" hidden="1" x14ac:dyDescent="0.25">
      <c r="Y31829" s="501"/>
    </row>
    <row r="31830" spans="25:25" hidden="1" x14ac:dyDescent="0.25">
      <c r="Y31830" s="501"/>
    </row>
    <row r="31831" spans="25:25" hidden="1" x14ac:dyDescent="0.25">
      <c r="Y31831" s="501"/>
    </row>
    <row r="31832" spans="25:25" hidden="1" x14ac:dyDescent="0.25">
      <c r="Y31832" s="501"/>
    </row>
    <row r="31833" spans="25:25" hidden="1" x14ac:dyDescent="0.25">
      <c r="Y31833" s="501"/>
    </row>
    <row r="31834" spans="25:25" hidden="1" x14ac:dyDescent="0.25">
      <c r="Y31834" s="501"/>
    </row>
    <row r="31835" spans="25:25" hidden="1" x14ac:dyDescent="0.25">
      <c r="Y31835" s="501"/>
    </row>
    <row r="31836" spans="25:25" hidden="1" x14ac:dyDescent="0.25">
      <c r="Y31836" s="501"/>
    </row>
    <row r="31837" spans="25:25" hidden="1" x14ac:dyDescent="0.25">
      <c r="Y31837" s="501"/>
    </row>
    <row r="31838" spans="25:25" hidden="1" x14ac:dyDescent="0.25">
      <c r="Y31838" s="501"/>
    </row>
    <row r="31839" spans="25:25" hidden="1" x14ac:dyDescent="0.25">
      <c r="Y31839" s="501"/>
    </row>
    <row r="31840" spans="25:25" hidden="1" x14ac:dyDescent="0.25">
      <c r="Y31840" s="501"/>
    </row>
    <row r="31841" spans="25:25" hidden="1" x14ac:dyDescent="0.25">
      <c r="Y31841" s="501"/>
    </row>
    <row r="31842" spans="25:25" hidden="1" x14ac:dyDescent="0.25">
      <c r="Y31842" s="501"/>
    </row>
    <row r="31843" spans="25:25" hidden="1" x14ac:dyDescent="0.25">
      <c r="Y31843" s="501"/>
    </row>
    <row r="31844" spans="25:25" hidden="1" x14ac:dyDescent="0.25">
      <c r="Y31844" s="501"/>
    </row>
    <row r="31845" spans="25:25" hidden="1" x14ac:dyDescent="0.25">
      <c r="Y31845" s="501"/>
    </row>
    <row r="31846" spans="25:25" hidden="1" x14ac:dyDescent="0.25">
      <c r="Y31846" s="501"/>
    </row>
    <row r="31847" spans="25:25" hidden="1" x14ac:dyDescent="0.25">
      <c r="Y31847" s="501"/>
    </row>
    <row r="31848" spans="25:25" hidden="1" x14ac:dyDescent="0.25">
      <c r="Y31848" s="501"/>
    </row>
    <row r="31849" spans="25:25" hidden="1" x14ac:dyDescent="0.25">
      <c r="Y31849" s="501"/>
    </row>
    <row r="31850" spans="25:25" hidden="1" x14ac:dyDescent="0.25">
      <c r="Y31850" s="501"/>
    </row>
    <row r="31851" spans="25:25" hidden="1" x14ac:dyDescent="0.25">
      <c r="Y31851" s="501"/>
    </row>
    <row r="31852" spans="25:25" hidden="1" x14ac:dyDescent="0.25">
      <c r="Y31852" s="501"/>
    </row>
    <row r="31853" spans="25:25" hidden="1" x14ac:dyDescent="0.25">
      <c r="Y31853" s="501"/>
    </row>
    <row r="31854" spans="25:25" hidden="1" x14ac:dyDescent="0.25">
      <c r="Y31854" s="501"/>
    </row>
    <row r="31855" spans="25:25" hidden="1" x14ac:dyDescent="0.25">
      <c r="Y31855" s="501"/>
    </row>
    <row r="31856" spans="25:25" hidden="1" x14ac:dyDescent="0.25">
      <c r="Y31856" s="501"/>
    </row>
    <row r="31857" spans="25:25" hidden="1" x14ac:dyDescent="0.25">
      <c r="Y31857" s="501"/>
    </row>
    <row r="31858" spans="25:25" hidden="1" x14ac:dyDescent="0.25">
      <c r="Y31858" s="501"/>
    </row>
    <row r="31859" spans="25:25" hidden="1" x14ac:dyDescent="0.25">
      <c r="Y31859" s="501"/>
    </row>
    <row r="31860" spans="25:25" hidden="1" x14ac:dyDescent="0.25">
      <c r="Y31860" s="501"/>
    </row>
    <row r="31861" spans="25:25" hidden="1" x14ac:dyDescent="0.25">
      <c r="Y31861" s="501"/>
    </row>
    <row r="31862" spans="25:25" hidden="1" x14ac:dyDescent="0.25">
      <c r="Y31862" s="501"/>
    </row>
    <row r="31863" spans="25:25" hidden="1" x14ac:dyDescent="0.25">
      <c r="Y31863" s="501"/>
    </row>
    <row r="31864" spans="25:25" hidden="1" x14ac:dyDescent="0.25">
      <c r="Y31864" s="501"/>
    </row>
    <row r="31865" spans="25:25" hidden="1" x14ac:dyDescent="0.25">
      <c r="Y31865" s="501"/>
    </row>
    <row r="31866" spans="25:25" hidden="1" x14ac:dyDescent="0.25">
      <c r="Y31866" s="501"/>
    </row>
    <row r="31867" spans="25:25" hidden="1" x14ac:dyDescent="0.25">
      <c r="Y31867" s="501"/>
    </row>
    <row r="31868" spans="25:25" hidden="1" x14ac:dyDescent="0.25">
      <c r="Y31868" s="501"/>
    </row>
    <row r="31869" spans="25:25" hidden="1" x14ac:dyDescent="0.25">
      <c r="Y31869" s="501"/>
    </row>
    <row r="31870" spans="25:25" hidden="1" x14ac:dyDescent="0.25">
      <c r="Y31870" s="501"/>
    </row>
    <row r="31871" spans="25:25" hidden="1" x14ac:dyDescent="0.25">
      <c r="Y31871" s="501"/>
    </row>
    <row r="31872" spans="25:25" hidden="1" x14ac:dyDescent="0.25">
      <c r="Y31872" s="501"/>
    </row>
    <row r="31873" spans="25:25" hidden="1" x14ac:dyDescent="0.25">
      <c r="Y31873" s="501"/>
    </row>
    <row r="31874" spans="25:25" hidden="1" x14ac:dyDescent="0.25">
      <c r="Y31874" s="501"/>
    </row>
    <row r="31875" spans="25:25" hidden="1" x14ac:dyDescent="0.25">
      <c r="Y31875" s="501"/>
    </row>
    <row r="31876" spans="25:25" hidden="1" x14ac:dyDescent="0.25">
      <c r="Y31876" s="501"/>
    </row>
    <row r="31877" spans="25:25" hidden="1" x14ac:dyDescent="0.25">
      <c r="Y31877" s="501"/>
    </row>
    <row r="31878" spans="25:25" hidden="1" x14ac:dyDescent="0.25">
      <c r="Y31878" s="501"/>
    </row>
    <row r="31879" spans="25:25" hidden="1" x14ac:dyDescent="0.25">
      <c r="Y31879" s="501"/>
    </row>
    <row r="31880" spans="25:25" hidden="1" x14ac:dyDescent="0.25">
      <c r="Y31880" s="501"/>
    </row>
    <row r="31881" spans="25:25" hidden="1" x14ac:dyDescent="0.25">
      <c r="Y31881" s="501"/>
    </row>
    <row r="31882" spans="25:25" hidden="1" x14ac:dyDescent="0.25">
      <c r="Y31882" s="501"/>
    </row>
    <row r="31883" spans="25:25" hidden="1" x14ac:dyDescent="0.25">
      <c r="Y31883" s="501"/>
    </row>
    <row r="31884" spans="25:25" hidden="1" x14ac:dyDescent="0.25">
      <c r="Y31884" s="501"/>
    </row>
    <row r="31885" spans="25:25" hidden="1" x14ac:dyDescent="0.25">
      <c r="Y31885" s="501"/>
    </row>
    <row r="31886" spans="25:25" hidden="1" x14ac:dyDescent="0.25">
      <c r="Y31886" s="501"/>
    </row>
    <row r="31887" spans="25:25" hidden="1" x14ac:dyDescent="0.25">
      <c r="Y31887" s="501"/>
    </row>
    <row r="31888" spans="25:25" hidden="1" x14ac:dyDescent="0.25">
      <c r="Y31888" s="501"/>
    </row>
    <row r="31889" spans="25:25" hidden="1" x14ac:dyDescent="0.25">
      <c r="Y31889" s="501"/>
    </row>
    <row r="31890" spans="25:25" hidden="1" x14ac:dyDescent="0.25">
      <c r="Y31890" s="501"/>
    </row>
    <row r="31891" spans="25:25" hidden="1" x14ac:dyDescent="0.25">
      <c r="Y31891" s="501"/>
    </row>
    <row r="31892" spans="25:25" hidden="1" x14ac:dyDescent="0.25">
      <c r="Y31892" s="501"/>
    </row>
    <row r="31893" spans="25:25" hidden="1" x14ac:dyDescent="0.25">
      <c r="Y31893" s="501"/>
    </row>
    <row r="31894" spans="25:25" hidden="1" x14ac:dyDescent="0.25">
      <c r="Y31894" s="501"/>
    </row>
    <row r="31895" spans="25:25" hidden="1" x14ac:dyDescent="0.25">
      <c r="Y31895" s="501"/>
    </row>
    <row r="31896" spans="25:25" hidden="1" x14ac:dyDescent="0.25">
      <c r="Y31896" s="501"/>
    </row>
    <row r="31897" spans="25:25" hidden="1" x14ac:dyDescent="0.25">
      <c r="Y31897" s="501"/>
    </row>
    <row r="31898" spans="25:25" hidden="1" x14ac:dyDescent="0.25">
      <c r="Y31898" s="501"/>
    </row>
    <row r="31899" spans="25:25" hidden="1" x14ac:dyDescent="0.25">
      <c r="Y31899" s="501"/>
    </row>
    <row r="31900" spans="25:25" hidden="1" x14ac:dyDescent="0.25">
      <c r="Y31900" s="501"/>
    </row>
    <row r="31901" spans="25:25" hidden="1" x14ac:dyDescent="0.25">
      <c r="Y31901" s="501"/>
    </row>
    <row r="31902" spans="25:25" hidden="1" x14ac:dyDescent="0.25">
      <c r="Y31902" s="501"/>
    </row>
    <row r="31903" spans="25:25" hidden="1" x14ac:dyDescent="0.25">
      <c r="Y31903" s="501"/>
    </row>
    <row r="31904" spans="25:25" hidden="1" x14ac:dyDescent="0.25">
      <c r="Y31904" s="501"/>
    </row>
    <row r="31905" spans="25:25" hidden="1" x14ac:dyDescent="0.25">
      <c r="Y31905" s="501"/>
    </row>
    <row r="31906" spans="25:25" hidden="1" x14ac:dyDescent="0.25">
      <c r="Y31906" s="501"/>
    </row>
    <row r="31907" spans="25:25" hidden="1" x14ac:dyDescent="0.25">
      <c r="Y31907" s="501"/>
    </row>
    <row r="31908" spans="25:25" hidden="1" x14ac:dyDescent="0.25">
      <c r="Y31908" s="501"/>
    </row>
    <row r="31909" spans="25:25" hidden="1" x14ac:dyDescent="0.25">
      <c r="Y31909" s="501"/>
    </row>
    <row r="31910" spans="25:25" hidden="1" x14ac:dyDescent="0.25">
      <c r="Y31910" s="501"/>
    </row>
    <row r="31911" spans="25:25" hidden="1" x14ac:dyDescent="0.25">
      <c r="Y31911" s="501"/>
    </row>
    <row r="31912" spans="25:25" hidden="1" x14ac:dyDescent="0.25">
      <c r="Y31912" s="501"/>
    </row>
    <row r="31913" spans="25:25" hidden="1" x14ac:dyDescent="0.25">
      <c r="Y31913" s="501"/>
    </row>
    <row r="31914" spans="25:25" hidden="1" x14ac:dyDescent="0.25">
      <c r="Y31914" s="501"/>
    </row>
    <row r="31915" spans="25:25" hidden="1" x14ac:dyDescent="0.25">
      <c r="Y31915" s="501"/>
    </row>
    <row r="31916" spans="25:25" hidden="1" x14ac:dyDescent="0.25">
      <c r="Y31916" s="501"/>
    </row>
    <row r="31917" spans="25:25" hidden="1" x14ac:dyDescent="0.25">
      <c r="Y31917" s="501"/>
    </row>
    <row r="31918" spans="25:25" hidden="1" x14ac:dyDescent="0.25">
      <c r="Y31918" s="501"/>
    </row>
    <row r="31919" spans="25:25" hidden="1" x14ac:dyDescent="0.25">
      <c r="Y31919" s="501"/>
    </row>
    <row r="31920" spans="25:25" hidden="1" x14ac:dyDescent="0.25">
      <c r="Y31920" s="501"/>
    </row>
    <row r="31921" spans="25:25" hidden="1" x14ac:dyDescent="0.25">
      <c r="Y31921" s="501"/>
    </row>
    <row r="31922" spans="25:25" hidden="1" x14ac:dyDescent="0.25">
      <c r="Y31922" s="501"/>
    </row>
    <row r="31923" spans="25:25" hidden="1" x14ac:dyDescent="0.25">
      <c r="Y31923" s="501"/>
    </row>
    <row r="31924" spans="25:25" hidden="1" x14ac:dyDescent="0.25">
      <c r="Y31924" s="501"/>
    </row>
    <row r="31925" spans="25:25" hidden="1" x14ac:dyDescent="0.25">
      <c r="Y31925" s="501"/>
    </row>
    <row r="31926" spans="25:25" hidden="1" x14ac:dyDescent="0.25">
      <c r="Y31926" s="501"/>
    </row>
    <row r="31927" spans="25:25" hidden="1" x14ac:dyDescent="0.25">
      <c r="Y31927" s="501"/>
    </row>
    <row r="31928" spans="25:25" hidden="1" x14ac:dyDescent="0.25">
      <c r="Y31928" s="501"/>
    </row>
    <row r="31929" spans="25:25" hidden="1" x14ac:dyDescent="0.25">
      <c r="Y31929" s="501"/>
    </row>
    <row r="31930" spans="25:25" hidden="1" x14ac:dyDescent="0.25">
      <c r="Y31930" s="501"/>
    </row>
    <row r="31931" spans="25:25" hidden="1" x14ac:dyDescent="0.25">
      <c r="Y31931" s="501"/>
    </row>
    <row r="31932" spans="25:25" hidden="1" x14ac:dyDescent="0.25">
      <c r="Y31932" s="501"/>
    </row>
    <row r="31933" spans="25:25" hidden="1" x14ac:dyDescent="0.25">
      <c r="Y31933" s="501"/>
    </row>
    <row r="31934" spans="25:25" hidden="1" x14ac:dyDescent="0.25">
      <c r="Y31934" s="501"/>
    </row>
    <row r="31935" spans="25:25" hidden="1" x14ac:dyDescent="0.25">
      <c r="Y31935" s="501"/>
    </row>
    <row r="31936" spans="25:25" hidden="1" x14ac:dyDescent="0.25">
      <c r="Y31936" s="501"/>
    </row>
    <row r="31937" spans="25:25" hidden="1" x14ac:dyDescent="0.25">
      <c r="Y31937" s="501"/>
    </row>
    <row r="31938" spans="25:25" hidden="1" x14ac:dyDescent="0.25">
      <c r="Y31938" s="501"/>
    </row>
    <row r="31939" spans="25:25" hidden="1" x14ac:dyDescent="0.25">
      <c r="Y31939" s="501"/>
    </row>
    <row r="31940" spans="25:25" hidden="1" x14ac:dyDescent="0.25">
      <c r="Y31940" s="501"/>
    </row>
    <row r="31941" spans="25:25" hidden="1" x14ac:dyDescent="0.25">
      <c r="Y31941" s="501"/>
    </row>
    <row r="31942" spans="25:25" hidden="1" x14ac:dyDescent="0.25">
      <c r="Y31942" s="501"/>
    </row>
    <row r="31943" spans="25:25" hidden="1" x14ac:dyDescent="0.25">
      <c r="Y31943" s="501"/>
    </row>
    <row r="31944" spans="25:25" hidden="1" x14ac:dyDescent="0.25">
      <c r="Y31944" s="501"/>
    </row>
    <row r="31945" spans="25:25" hidden="1" x14ac:dyDescent="0.25">
      <c r="Y31945" s="501"/>
    </row>
    <row r="31946" spans="25:25" hidden="1" x14ac:dyDescent="0.25">
      <c r="Y31946" s="501"/>
    </row>
    <row r="31947" spans="25:25" hidden="1" x14ac:dyDescent="0.25">
      <c r="Y31947" s="501"/>
    </row>
    <row r="31948" spans="25:25" hidden="1" x14ac:dyDescent="0.25">
      <c r="Y31948" s="501"/>
    </row>
    <row r="31949" spans="25:25" hidden="1" x14ac:dyDescent="0.25">
      <c r="Y31949" s="501"/>
    </row>
    <row r="31950" spans="25:25" hidden="1" x14ac:dyDescent="0.25">
      <c r="Y31950" s="501"/>
    </row>
    <row r="31951" spans="25:25" hidden="1" x14ac:dyDescent="0.25">
      <c r="Y31951" s="501"/>
    </row>
    <row r="31952" spans="25:25" hidden="1" x14ac:dyDescent="0.25">
      <c r="Y31952" s="501"/>
    </row>
    <row r="31953" spans="25:25" hidden="1" x14ac:dyDescent="0.25">
      <c r="Y31953" s="501"/>
    </row>
    <row r="31954" spans="25:25" hidden="1" x14ac:dyDescent="0.25">
      <c r="Y31954" s="501"/>
    </row>
    <row r="31955" spans="25:25" hidden="1" x14ac:dyDescent="0.25">
      <c r="Y31955" s="501"/>
    </row>
    <row r="31956" spans="25:25" hidden="1" x14ac:dyDescent="0.25">
      <c r="Y31956" s="501"/>
    </row>
    <row r="31957" spans="25:25" hidden="1" x14ac:dyDescent="0.25">
      <c r="Y31957" s="501"/>
    </row>
    <row r="31958" spans="25:25" hidden="1" x14ac:dyDescent="0.25">
      <c r="Y31958" s="501"/>
    </row>
    <row r="31959" spans="25:25" hidden="1" x14ac:dyDescent="0.25">
      <c r="Y31959" s="501"/>
    </row>
    <row r="31960" spans="25:25" hidden="1" x14ac:dyDescent="0.25">
      <c r="Y31960" s="501"/>
    </row>
    <row r="31961" spans="25:25" hidden="1" x14ac:dyDescent="0.25">
      <c r="Y31961" s="501"/>
    </row>
    <row r="31962" spans="25:25" hidden="1" x14ac:dyDescent="0.25">
      <c r="Y31962" s="501"/>
    </row>
    <row r="31963" spans="25:25" hidden="1" x14ac:dyDescent="0.25">
      <c r="Y31963" s="501"/>
    </row>
    <row r="31964" spans="25:25" hidden="1" x14ac:dyDescent="0.25">
      <c r="Y31964" s="501"/>
    </row>
    <row r="31965" spans="25:25" hidden="1" x14ac:dyDescent="0.25">
      <c r="Y31965" s="501"/>
    </row>
    <row r="31966" spans="25:25" hidden="1" x14ac:dyDescent="0.25">
      <c r="Y31966" s="501"/>
    </row>
    <row r="31967" spans="25:25" hidden="1" x14ac:dyDescent="0.25">
      <c r="Y31967" s="501"/>
    </row>
    <row r="31968" spans="25:25" hidden="1" x14ac:dyDescent="0.25">
      <c r="Y31968" s="501"/>
    </row>
    <row r="31969" spans="25:25" hidden="1" x14ac:dyDescent="0.25">
      <c r="Y31969" s="501"/>
    </row>
    <row r="31970" spans="25:25" hidden="1" x14ac:dyDescent="0.25">
      <c r="Y31970" s="501"/>
    </row>
    <row r="31971" spans="25:25" hidden="1" x14ac:dyDescent="0.25">
      <c r="Y31971" s="501"/>
    </row>
    <row r="31972" spans="25:25" hidden="1" x14ac:dyDescent="0.25">
      <c r="Y31972" s="501"/>
    </row>
    <row r="31973" spans="25:25" hidden="1" x14ac:dyDescent="0.25">
      <c r="Y31973" s="501"/>
    </row>
    <row r="31974" spans="25:25" hidden="1" x14ac:dyDescent="0.25">
      <c r="Y31974" s="501"/>
    </row>
    <row r="31975" spans="25:25" hidden="1" x14ac:dyDescent="0.25">
      <c r="Y31975" s="501"/>
    </row>
    <row r="31976" spans="25:25" hidden="1" x14ac:dyDescent="0.25">
      <c r="Y31976" s="501"/>
    </row>
    <row r="31977" spans="25:25" hidden="1" x14ac:dyDescent="0.25">
      <c r="Y31977" s="501"/>
    </row>
    <row r="31978" spans="25:25" hidden="1" x14ac:dyDescent="0.25">
      <c r="Y31978" s="501"/>
    </row>
    <row r="31979" spans="25:25" hidden="1" x14ac:dyDescent="0.25">
      <c r="Y31979" s="501"/>
    </row>
    <row r="31980" spans="25:25" hidden="1" x14ac:dyDescent="0.25">
      <c r="Y31980" s="501"/>
    </row>
    <row r="31981" spans="25:25" hidden="1" x14ac:dyDescent="0.25">
      <c r="Y31981" s="501"/>
    </row>
    <row r="31982" spans="25:25" hidden="1" x14ac:dyDescent="0.25">
      <c r="Y31982" s="501"/>
    </row>
    <row r="31983" spans="25:25" hidden="1" x14ac:dyDescent="0.25">
      <c r="Y31983" s="501"/>
    </row>
    <row r="31984" spans="25:25" hidden="1" x14ac:dyDescent="0.25">
      <c r="Y31984" s="501"/>
    </row>
    <row r="31985" spans="25:25" hidden="1" x14ac:dyDescent="0.25">
      <c r="Y31985" s="501"/>
    </row>
    <row r="31986" spans="25:25" hidden="1" x14ac:dyDescent="0.25">
      <c r="Y31986" s="501"/>
    </row>
    <row r="31987" spans="25:25" hidden="1" x14ac:dyDescent="0.25">
      <c r="Y31987" s="501"/>
    </row>
    <row r="31988" spans="25:25" hidden="1" x14ac:dyDescent="0.25">
      <c r="Y31988" s="501"/>
    </row>
    <row r="31989" spans="25:25" hidden="1" x14ac:dyDescent="0.25">
      <c r="Y31989" s="501"/>
    </row>
    <row r="31990" spans="25:25" hidden="1" x14ac:dyDescent="0.25">
      <c r="Y31990" s="501"/>
    </row>
    <row r="31991" spans="25:25" hidden="1" x14ac:dyDescent="0.25">
      <c r="Y31991" s="501"/>
    </row>
    <row r="31992" spans="25:25" hidden="1" x14ac:dyDescent="0.25">
      <c r="Y31992" s="501"/>
    </row>
    <row r="31993" spans="25:25" hidden="1" x14ac:dyDescent="0.25">
      <c r="Y31993" s="501"/>
    </row>
    <row r="31994" spans="25:25" hidden="1" x14ac:dyDescent="0.25">
      <c r="Y31994" s="501"/>
    </row>
    <row r="31995" spans="25:25" hidden="1" x14ac:dyDescent="0.25">
      <c r="Y31995" s="501"/>
    </row>
    <row r="31996" spans="25:25" hidden="1" x14ac:dyDescent="0.25">
      <c r="Y31996" s="501"/>
    </row>
    <row r="31997" spans="25:25" hidden="1" x14ac:dyDescent="0.25">
      <c r="Y31997" s="501"/>
    </row>
    <row r="31998" spans="25:25" hidden="1" x14ac:dyDescent="0.25">
      <c r="Y31998" s="501"/>
    </row>
    <row r="31999" spans="25:25" hidden="1" x14ac:dyDescent="0.25">
      <c r="Y31999" s="501"/>
    </row>
    <row r="32000" spans="25:25" hidden="1" x14ac:dyDescent="0.25">
      <c r="Y32000" s="501"/>
    </row>
    <row r="32001" spans="25:25" hidden="1" x14ac:dyDescent="0.25">
      <c r="Y32001" s="501"/>
    </row>
    <row r="32002" spans="25:25" hidden="1" x14ac:dyDescent="0.25">
      <c r="Y32002" s="501"/>
    </row>
    <row r="32003" spans="25:25" hidden="1" x14ac:dyDescent="0.25">
      <c r="Y32003" s="501"/>
    </row>
    <row r="32004" spans="25:25" hidden="1" x14ac:dyDescent="0.25">
      <c r="Y32004" s="501"/>
    </row>
    <row r="32005" spans="25:25" hidden="1" x14ac:dyDescent="0.25">
      <c r="Y32005" s="501"/>
    </row>
    <row r="32006" spans="25:25" hidden="1" x14ac:dyDescent="0.25">
      <c r="Y32006" s="501"/>
    </row>
    <row r="32007" spans="25:25" hidden="1" x14ac:dyDescent="0.25">
      <c r="Y32007" s="501"/>
    </row>
    <row r="32008" spans="25:25" hidden="1" x14ac:dyDescent="0.25">
      <c r="Y32008" s="501"/>
    </row>
    <row r="32009" spans="25:25" hidden="1" x14ac:dyDescent="0.25">
      <c r="Y32009" s="501"/>
    </row>
    <row r="32010" spans="25:25" hidden="1" x14ac:dyDescent="0.25">
      <c r="Y32010" s="501"/>
    </row>
    <row r="32011" spans="25:25" hidden="1" x14ac:dyDescent="0.25">
      <c r="Y32011" s="501"/>
    </row>
    <row r="32012" spans="25:25" hidden="1" x14ac:dyDescent="0.25">
      <c r="Y32012" s="501"/>
    </row>
    <row r="32013" spans="25:25" hidden="1" x14ac:dyDescent="0.25">
      <c r="Y32013" s="501"/>
    </row>
    <row r="32014" spans="25:25" hidden="1" x14ac:dyDescent="0.25">
      <c r="Y32014" s="501"/>
    </row>
    <row r="32015" spans="25:25" hidden="1" x14ac:dyDescent="0.25">
      <c r="Y32015" s="501"/>
    </row>
    <row r="32016" spans="25:25" hidden="1" x14ac:dyDescent="0.25">
      <c r="Y32016" s="501"/>
    </row>
    <row r="32017" spans="25:25" hidden="1" x14ac:dyDescent="0.25">
      <c r="Y32017" s="501"/>
    </row>
    <row r="32018" spans="25:25" hidden="1" x14ac:dyDescent="0.25">
      <c r="Y32018" s="501"/>
    </row>
    <row r="32019" spans="25:25" hidden="1" x14ac:dyDescent="0.25">
      <c r="Y32019" s="501"/>
    </row>
    <row r="32020" spans="25:25" hidden="1" x14ac:dyDescent="0.25">
      <c r="Y32020" s="501"/>
    </row>
    <row r="32021" spans="25:25" hidden="1" x14ac:dyDescent="0.25">
      <c r="Y32021" s="501"/>
    </row>
    <row r="32022" spans="25:25" hidden="1" x14ac:dyDescent="0.25">
      <c r="Y32022" s="501"/>
    </row>
    <row r="32023" spans="25:25" hidden="1" x14ac:dyDescent="0.25">
      <c r="Y32023" s="501"/>
    </row>
    <row r="32024" spans="25:25" hidden="1" x14ac:dyDescent="0.25">
      <c r="Y32024" s="501"/>
    </row>
    <row r="32025" spans="25:25" hidden="1" x14ac:dyDescent="0.25">
      <c r="Y32025" s="501"/>
    </row>
    <row r="32026" spans="25:25" hidden="1" x14ac:dyDescent="0.25">
      <c r="Y32026" s="501"/>
    </row>
    <row r="32027" spans="25:25" hidden="1" x14ac:dyDescent="0.25">
      <c r="Y32027" s="501"/>
    </row>
    <row r="32028" spans="25:25" hidden="1" x14ac:dyDescent="0.25">
      <c r="Y32028" s="501"/>
    </row>
    <row r="32029" spans="25:25" hidden="1" x14ac:dyDescent="0.25">
      <c r="Y32029" s="501"/>
    </row>
    <row r="32030" spans="25:25" hidden="1" x14ac:dyDescent="0.25">
      <c r="Y32030" s="501"/>
    </row>
    <row r="32031" spans="25:25" hidden="1" x14ac:dyDescent="0.25">
      <c r="Y32031" s="501"/>
    </row>
    <row r="32032" spans="25:25" hidden="1" x14ac:dyDescent="0.25">
      <c r="Y32032" s="501"/>
    </row>
    <row r="32033" spans="25:25" hidden="1" x14ac:dyDescent="0.25">
      <c r="Y32033" s="501"/>
    </row>
    <row r="32034" spans="25:25" hidden="1" x14ac:dyDescent="0.25">
      <c r="Y32034" s="501"/>
    </row>
    <row r="32035" spans="25:25" hidden="1" x14ac:dyDescent="0.25">
      <c r="Y32035" s="501"/>
    </row>
    <row r="32036" spans="25:25" hidden="1" x14ac:dyDescent="0.25">
      <c r="Y32036" s="501"/>
    </row>
    <row r="32037" spans="25:25" hidden="1" x14ac:dyDescent="0.25">
      <c r="Y32037" s="501"/>
    </row>
    <row r="32038" spans="25:25" hidden="1" x14ac:dyDescent="0.25">
      <c r="Y32038" s="501"/>
    </row>
    <row r="32039" spans="25:25" hidden="1" x14ac:dyDescent="0.25">
      <c r="Y32039" s="501"/>
    </row>
    <row r="32040" spans="25:25" hidden="1" x14ac:dyDescent="0.25">
      <c r="Y32040" s="501"/>
    </row>
    <row r="32041" spans="25:25" hidden="1" x14ac:dyDescent="0.25">
      <c r="Y32041" s="501"/>
    </row>
    <row r="32042" spans="25:25" hidden="1" x14ac:dyDescent="0.25">
      <c r="Y32042" s="501"/>
    </row>
    <row r="32043" spans="25:25" hidden="1" x14ac:dyDescent="0.25">
      <c r="Y32043" s="501"/>
    </row>
    <row r="32044" spans="25:25" hidden="1" x14ac:dyDescent="0.25">
      <c r="Y32044" s="501"/>
    </row>
    <row r="32045" spans="25:25" hidden="1" x14ac:dyDescent="0.25">
      <c r="Y32045" s="501"/>
    </row>
    <row r="32046" spans="25:25" hidden="1" x14ac:dyDescent="0.25">
      <c r="Y32046" s="501"/>
    </row>
    <row r="32047" spans="25:25" hidden="1" x14ac:dyDescent="0.25">
      <c r="Y32047" s="501"/>
    </row>
    <row r="32048" spans="25:25" hidden="1" x14ac:dyDescent="0.25">
      <c r="Y32048" s="501"/>
    </row>
    <row r="32049" spans="25:25" hidden="1" x14ac:dyDescent="0.25">
      <c r="Y32049" s="501"/>
    </row>
    <row r="32050" spans="25:25" hidden="1" x14ac:dyDescent="0.25">
      <c r="Y32050" s="501"/>
    </row>
    <row r="32051" spans="25:25" hidden="1" x14ac:dyDescent="0.25">
      <c r="Y32051" s="501"/>
    </row>
    <row r="32052" spans="25:25" hidden="1" x14ac:dyDescent="0.25">
      <c r="Y32052" s="501"/>
    </row>
    <row r="32053" spans="25:25" hidden="1" x14ac:dyDescent="0.25">
      <c r="Y32053" s="501"/>
    </row>
    <row r="32054" spans="25:25" hidden="1" x14ac:dyDescent="0.25">
      <c r="Y32054" s="501"/>
    </row>
    <row r="32055" spans="25:25" hidden="1" x14ac:dyDescent="0.25">
      <c r="Y32055" s="501"/>
    </row>
    <row r="32056" spans="25:25" hidden="1" x14ac:dyDescent="0.25">
      <c r="Y32056" s="501"/>
    </row>
    <row r="32057" spans="25:25" hidden="1" x14ac:dyDescent="0.25">
      <c r="Y32057" s="501"/>
    </row>
    <row r="32058" spans="25:25" hidden="1" x14ac:dyDescent="0.25">
      <c r="Y32058" s="501"/>
    </row>
    <row r="32059" spans="25:25" hidden="1" x14ac:dyDescent="0.25">
      <c r="Y32059" s="501"/>
    </row>
    <row r="32060" spans="25:25" hidden="1" x14ac:dyDescent="0.25">
      <c r="Y32060" s="501"/>
    </row>
    <row r="32061" spans="25:25" hidden="1" x14ac:dyDescent="0.25">
      <c r="Y32061" s="501"/>
    </row>
    <row r="32062" spans="25:25" hidden="1" x14ac:dyDescent="0.25">
      <c r="Y32062" s="501"/>
    </row>
    <row r="32063" spans="25:25" hidden="1" x14ac:dyDescent="0.25">
      <c r="Y32063" s="501"/>
    </row>
    <row r="32064" spans="25:25" hidden="1" x14ac:dyDescent="0.25">
      <c r="Y32064" s="501"/>
    </row>
    <row r="32065" spans="25:25" hidden="1" x14ac:dyDescent="0.25">
      <c r="Y32065" s="501"/>
    </row>
    <row r="32066" spans="25:25" hidden="1" x14ac:dyDescent="0.25">
      <c r="Y32066" s="501"/>
    </row>
    <row r="32067" spans="25:25" hidden="1" x14ac:dyDescent="0.25">
      <c r="Y32067" s="501"/>
    </row>
    <row r="32068" spans="25:25" hidden="1" x14ac:dyDescent="0.25">
      <c r="Y32068" s="501"/>
    </row>
    <row r="32069" spans="25:25" hidden="1" x14ac:dyDescent="0.25">
      <c r="Y32069" s="501"/>
    </row>
    <row r="32070" spans="25:25" hidden="1" x14ac:dyDescent="0.25">
      <c r="Y32070" s="501"/>
    </row>
    <row r="32071" spans="25:25" hidden="1" x14ac:dyDescent="0.25">
      <c r="Y32071" s="501"/>
    </row>
    <row r="32072" spans="25:25" hidden="1" x14ac:dyDescent="0.25">
      <c r="Y32072" s="501"/>
    </row>
    <row r="32073" spans="25:25" hidden="1" x14ac:dyDescent="0.25">
      <c r="Y32073" s="501"/>
    </row>
    <row r="32074" spans="25:25" hidden="1" x14ac:dyDescent="0.25">
      <c r="Y32074" s="501"/>
    </row>
    <row r="32075" spans="25:25" hidden="1" x14ac:dyDescent="0.25">
      <c r="Y32075" s="501"/>
    </row>
    <row r="32076" spans="25:25" hidden="1" x14ac:dyDescent="0.25">
      <c r="Y32076" s="501"/>
    </row>
    <row r="32077" spans="25:25" hidden="1" x14ac:dyDescent="0.25">
      <c r="Y32077" s="501"/>
    </row>
    <row r="32078" spans="25:25" hidden="1" x14ac:dyDescent="0.25">
      <c r="Y32078" s="501"/>
    </row>
    <row r="32079" spans="25:25" hidden="1" x14ac:dyDescent="0.25">
      <c r="Y32079" s="501"/>
    </row>
    <row r="32080" spans="25:25" hidden="1" x14ac:dyDescent="0.25">
      <c r="Y32080" s="501"/>
    </row>
    <row r="32081" spans="25:25" hidden="1" x14ac:dyDescent="0.25">
      <c r="Y32081" s="501"/>
    </row>
    <row r="32082" spans="25:25" hidden="1" x14ac:dyDescent="0.25">
      <c r="Y32082" s="501"/>
    </row>
    <row r="32083" spans="25:25" hidden="1" x14ac:dyDescent="0.25">
      <c r="Y32083" s="501"/>
    </row>
    <row r="32084" spans="25:25" hidden="1" x14ac:dyDescent="0.25">
      <c r="Y32084" s="501"/>
    </row>
    <row r="32085" spans="25:25" hidden="1" x14ac:dyDescent="0.25">
      <c r="Y32085" s="501"/>
    </row>
    <row r="32086" spans="25:25" hidden="1" x14ac:dyDescent="0.25">
      <c r="Y32086" s="501"/>
    </row>
    <row r="32087" spans="25:25" hidden="1" x14ac:dyDescent="0.25">
      <c r="Y32087" s="501"/>
    </row>
    <row r="32088" spans="25:25" hidden="1" x14ac:dyDescent="0.25">
      <c r="Y32088" s="501"/>
    </row>
    <row r="32089" spans="25:25" hidden="1" x14ac:dyDescent="0.25">
      <c r="Y32089" s="501"/>
    </row>
    <row r="32090" spans="25:25" hidden="1" x14ac:dyDescent="0.25">
      <c r="Y32090" s="501"/>
    </row>
    <row r="32091" spans="25:25" hidden="1" x14ac:dyDescent="0.25">
      <c r="Y32091" s="501"/>
    </row>
    <row r="32092" spans="25:25" hidden="1" x14ac:dyDescent="0.25">
      <c r="Y32092" s="501"/>
    </row>
    <row r="32093" spans="25:25" hidden="1" x14ac:dyDescent="0.25">
      <c r="Y32093" s="501"/>
    </row>
    <row r="32094" spans="25:25" hidden="1" x14ac:dyDescent="0.25">
      <c r="Y32094" s="501"/>
    </row>
    <row r="32095" spans="25:25" hidden="1" x14ac:dyDescent="0.25">
      <c r="Y32095" s="501"/>
    </row>
    <row r="32096" spans="25:25" hidden="1" x14ac:dyDescent="0.25">
      <c r="Y32096" s="501"/>
    </row>
    <row r="32097" spans="25:25" hidden="1" x14ac:dyDescent="0.25">
      <c r="Y32097" s="501"/>
    </row>
    <row r="32098" spans="25:25" hidden="1" x14ac:dyDescent="0.25">
      <c r="Y32098" s="501"/>
    </row>
    <row r="32099" spans="25:25" hidden="1" x14ac:dyDescent="0.25">
      <c r="Y32099" s="501"/>
    </row>
    <row r="32100" spans="25:25" hidden="1" x14ac:dyDescent="0.25">
      <c r="Y32100" s="501"/>
    </row>
    <row r="32101" spans="25:25" hidden="1" x14ac:dyDescent="0.25">
      <c r="Y32101" s="501"/>
    </row>
    <row r="32102" spans="25:25" hidden="1" x14ac:dyDescent="0.25">
      <c r="Y32102" s="501"/>
    </row>
    <row r="32103" spans="25:25" hidden="1" x14ac:dyDescent="0.25">
      <c r="Y32103" s="501"/>
    </row>
    <row r="32104" spans="25:25" hidden="1" x14ac:dyDescent="0.25">
      <c r="Y32104" s="501"/>
    </row>
    <row r="32105" spans="25:25" hidden="1" x14ac:dyDescent="0.25">
      <c r="Y32105" s="501"/>
    </row>
    <row r="32106" spans="25:25" hidden="1" x14ac:dyDescent="0.25">
      <c r="Y32106" s="501"/>
    </row>
    <row r="32107" spans="25:25" hidden="1" x14ac:dyDescent="0.25">
      <c r="Y32107" s="501"/>
    </row>
    <row r="32108" spans="25:25" hidden="1" x14ac:dyDescent="0.25">
      <c r="Y32108" s="501"/>
    </row>
    <row r="32109" spans="25:25" hidden="1" x14ac:dyDescent="0.25">
      <c r="Y32109" s="501"/>
    </row>
    <row r="32110" spans="25:25" hidden="1" x14ac:dyDescent="0.25">
      <c r="Y32110" s="501"/>
    </row>
    <row r="32111" spans="25:25" hidden="1" x14ac:dyDescent="0.25">
      <c r="Y32111" s="501"/>
    </row>
    <row r="32112" spans="25:25" hidden="1" x14ac:dyDescent="0.25">
      <c r="Y32112" s="501"/>
    </row>
    <row r="32113" spans="25:25" hidden="1" x14ac:dyDescent="0.25">
      <c r="Y32113" s="501"/>
    </row>
    <row r="32114" spans="25:25" hidden="1" x14ac:dyDescent="0.25">
      <c r="Y32114" s="501"/>
    </row>
    <row r="32115" spans="25:25" hidden="1" x14ac:dyDescent="0.25">
      <c r="Y32115" s="501"/>
    </row>
    <row r="32116" spans="25:25" hidden="1" x14ac:dyDescent="0.25">
      <c r="Y32116" s="501"/>
    </row>
    <row r="32117" spans="25:25" hidden="1" x14ac:dyDescent="0.25">
      <c r="Y32117" s="501"/>
    </row>
    <row r="32118" spans="25:25" hidden="1" x14ac:dyDescent="0.25">
      <c r="Y32118" s="501"/>
    </row>
    <row r="32119" spans="25:25" hidden="1" x14ac:dyDescent="0.25">
      <c r="Y32119" s="501"/>
    </row>
    <row r="32120" spans="25:25" hidden="1" x14ac:dyDescent="0.25">
      <c r="Y32120" s="501"/>
    </row>
    <row r="32121" spans="25:25" hidden="1" x14ac:dyDescent="0.25">
      <c r="Y32121" s="501"/>
    </row>
    <row r="32122" spans="25:25" hidden="1" x14ac:dyDescent="0.25">
      <c r="Y32122" s="501"/>
    </row>
    <row r="32123" spans="25:25" hidden="1" x14ac:dyDescent="0.25">
      <c r="Y32123" s="501"/>
    </row>
    <row r="32124" spans="25:25" hidden="1" x14ac:dyDescent="0.25">
      <c r="Y32124" s="501"/>
    </row>
    <row r="32125" spans="25:25" hidden="1" x14ac:dyDescent="0.25">
      <c r="Y32125" s="501"/>
    </row>
    <row r="32126" spans="25:25" hidden="1" x14ac:dyDescent="0.25">
      <c r="Y32126" s="501"/>
    </row>
    <row r="32127" spans="25:25" hidden="1" x14ac:dyDescent="0.25">
      <c r="Y32127" s="501"/>
    </row>
    <row r="32128" spans="25:25" hidden="1" x14ac:dyDescent="0.25">
      <c r="Y32128" s="501"/>
    </row>
    <row r="32129" spans="25:25" hidden="1" x14ac:dyDescent="0.25">
      <c r="Y32129" s="501"/>
    </row>
    <row r="32130" spans="25:25" hidden="1" x14ac:dyDescent="0.25">
      <c r="Y32130" s="501"/>
    </row>
    <row r="32131" spans="25:25" hidden="1" x14ac:dyDescent="0.25">
      <c r="Y32131" s="501"/>
    </row>
    <row r="32132" spans="25:25" hidden="1" x14ac:dyDescent="0.25">
      <c r="Y32132" s="501"/>
    </row>
    <row r="32133" spans="25:25" hidden="1" x14ac:dyDescent="0.25">
      <c r="Y32133" s="501"/>
    </row>
    <row r="32134" spans="25:25" hidden="1" x14ac:dyDescent="0.25">
      <c r="Y32134" s="501"/>
    </row>
    <row r="32135" spans="25:25" hidden="1" x14ac:dyDescent="0.25">
      <c r="Y32135" s="501"/>
    </row>
    <row r="32136" spans="25:25" hidden="1" x14ac:dyDescent="0.25">
      <c r="Y32136" s="501"/>
    </row>
    <row r="32137" spans="25:25" hidden="1" x14ac:dyDescent="0.25">
      <c r="Y32137" s="501"/>
    </row>
    <row r="32138" spans="25:25" hidden="1" x14ac:dyDescent="0.25">
      <c r="Y32138" s="501"/>
    </row>
    <row r="32139" spans="25:25" hidden="1" x14ac:dyDescent="0.25">
      <c r="Y32139" s="501"/>
    </row>
    <row r="32140" spans="25:25" hidden="1" x14ac:dyDescent="0.25">
      <c r="Y32140" s="501"/>
    </row>
    <row r="32141" spans="25:25" hidden="1" x14ac:dyDescent="0.25">
      <c r="Y32141" s="501"/>
    </row>
    <row r="32142" spans="25:25" hidden="1" x14ac:dyDescent="0.25">
      <c r="Y32142" s="501"/>
    </row>
    <row r="32143" spans="25:25" hidden="1" x14ac:dyDescent="0.25">
      <c r="Y32143" s="501"/>
    </row>
    <row r="32144" spans="25:25" hidden="1" x14ac:dyDescent="0.25">
      <c r="Y32144" s="501"/>
    </row>
    <row r="32145" spans="25:25" hidden="1" x14ac:dyDescent="0.25">
      <c r="Y32145" s="501"/>
    </row>
    <row r="32146" spans="25:25" hidden="1" x14ac:dyDescent="0.25">
      <c r="Y32146" s="501"/>
    </row>
    <row r="32147" spans="25:25" hidden="1" x14ac:dyDescent="0.25">
      <c r="Y32147" s="501"/>
    </row>
    <row r="32148" spans="25:25" hidden="1" x14ac:dyDescent="0.25">
      <c r="Y32148" s="501"/>
    </row>
    <row r="32149" spans="25:25" hidden="1" x14ac:dyDescent="0.25">
      <c r="Y32149" s="501"/>
    </row>
    <row r="32150" spans="25:25" hidden="1" x14ac:dyDescent="0.25">
      <c r="Y32150" s="501"/>
    </row>
    <row r="32151" spans="25:25" hidden="1" x14ac:dyDescent="0.25">
      <c r="Y32151" s="501"/>
    </row>
    <row r="32152" spans="25:25" hidden="1" x14ac:dyDescent="0.25">
      <c r="Y32152" s="501"/>
    </row>
    <row r="32153" spans="25:25" hidden="1" x14ac:dyDescent="0.25">
      <c r="Y32153" s="501"/>
    </row>
    <row r="32154" spans="25:25" hidden="1" x14ac:dyDescent="0.25">
      <c r="Y32154" s="501"/>
    </row>
    <row r="32155" spans="25:25" hidden="1" x14ac:dyDescent="0.25">
      <c r="Y32155" s="501"/>
    </row>
    <row r="32156" spans="25:25" hidden="1" x14ac:dyDescent="0.25">
      <c r="Y32156" s="501"/>
    </row>
    <row r="32157" spans="25:25" hidden="1" x14ac:dyDescent="0.25">
      <c r="Y32157" s="501"/>
    </row>
    <row r="32158" spans="25:25" hidden="1" x14ac:dyDescent="0.25">
      <c r="Y32158" s="501"/>
    </row>
    <row r="32159" spans="25:25" hidden="1" x14ac:dyDescent="0.25">
      <c r="Y32159" s="501"/>
    </row>
    <row r="32160" spans="25:25" hidden="1" x14ac:dyDescent="0.25">
      <c r="Y32160" s="501"/>
    </row>
    <row r="32161" spans="25:25" hidden="1" x14ac:dyDescent="0.25">
      <c r="Y32161" s="501"/>
    </row>
    <row r="32162" spans="25:25" hidden="1" x14ac:dyDescent="0.25">
      <c r="Y32162" s="501"/>
    </row>
    <row r="32163" spans="25:25" hidden="1" x14ac:dyDescent="0.25">
      <c r="Y32163" s="501"/>
    </row>
    <row r="32164" spans="25:25" hidden="1" x14ac:dyDescent="0.25">
      <c r="Y32164" s="501"/>
    </row>
    <row r="32165" spans="25:25" hidden="1" x14ac:dyDescent="0.25">
      <c r="Y32165" s="501"/>
    </row>
    <row r="32166" spans="25:25" hidden="1" x14ac:dyDescent="0.25">
      <c r="Y32166" s="501"/>
    </row>
    <row r="32167" spans="25:25" hidden="1" x14ac:dyDescent="0.25">
      <c r="Y32167" s="501"/>
    </row>
    <row r="32168" spans="25:25" hidden="1" x14ac:dyDescent="0.25">
      <c r="Y32168" s="501"/>
    </row>
    <row r="32169" spans="25:25" hidden="1" x14ac:dyDescent="0.25">
      <c r="Y32169" s="501"/>
    </row>
    <row r="32170" spans="25:25" hidden="1" x14ac:dyDescent="0.25">
      <c r="Y32170" s="501"/>
    </row>
    <row r="32171" spans="25:25" hidden="1" x14ac:dyDescent="0.25">
      <c r="Y32171" s="501"/>
    </row>
    <row r="32172" spans="25:25" hidden="1" x14ac:dyDescent="0.25">
      <c r="Y32172" s="501"/>
    </row>
    <row r="32173" spans="25:25" hidden="1" x14ac:dyDescent="0.25">
      <c r="Y32173" s="501"/>
    </row>
    <row r="32174" spans="25:25" hidden="1" x14ac:dyDescent="0.25">
      <c r="Y32174" s="501"/>
    </row>
    <row r="32175" spans="25:25" hidden="1" x14ac:dyDescent="0.25">
      <c r="Y32175" s="501"/>
    </row>
    <row r="32176" spans="25:25" hidden="1" x14ac:dyDescent="0.25">
      <c r="Y32176" s="501"/>
    </row>
    <row r="32177" spans="25:25" hidden="1" x14ac:dyDescent="0.25">
      <c r="Y32177" s="501"/>
    </row>
    <row r="32178" spans="25:25" hidden="1" x14ac:dyDescent="0.25">
      <c r="Y32178" s="501"/>
    </row>
    <row r="32179" spans="25:25" hidden="1" x14ac:dyDescent="0.25">
      <c r="Y32179" s="501"/>
    </row>
    <row r="32180" spans="25:25" hidden="1" x14ac:dyDescent="0.25">
      <c r="Y32180" s="501"/>
    </row>
    <row r="32181" spans="25:25" hidden="1" x14ac:dyDescent="0.25">
      <c r="Y32181" s="501"/>
    </row>
    <row r="32182" spans="25:25" hidden="1" x14ac:dyDescent="0.25">
      <c r="Y32182" s="501"/>
    </row>
    <row r="32183" spans="25:25" hidden="1" x14ac:dyDescent="0.25">
      <c r="Y32183" s="501"/>
    </row>
    <row r="32184" spans="25:25" hidden="1" x14ac:dyDescent="0.25">
      <c r="Y32184" s="501"/>
    </row>
    <row r="32185" spans="25:25" hidden="1" x14ac:dyDescent="0.25">
      <c r="Y32185" s="501"/>
    </row>
    <row r="32186" spans="25:25" hidden="1" x14ac:dyDescent="0.25">
      <c r="Y32186" s="501"/>
    </row>
    <row r="32187" spans="25:25" hidden="1" x14ac:dyDescent="0.25">
      <c r="Y32187" s="501"/>
    </row>
    <row r="32188" spans="25:25" hidden="1" x14ac:dyDescent="0.25">
      <c r="Y32188" s="501"/>
    </row>
    <row r="32189" spans="25:25" hidden="1" x14ac:dyDescent="0.25">
      <c r="Y32189" s="501"/>
    </row>
    <row r="32190" spans="25:25" hidden="1" x14ac:dyDescent="0.25">
      <c r="Y32190" s="501"/>
    </row>
    <row r="32191" spans="25:25" hidden="1" x14ac:dyDescent="0.25">
      <c r="Y32191" s="501"/>
    </row>
    <row r="32192" spans="25:25" hidden="1" x14ac:dyDescent="0.25">
      <c r="Y32192" s="501"/>
    </row>
    <row r="32193" spans="25:25" hidden="1" x14ac:dyDescent="0.25">
      <c r="Y32193" s="501"/>
    </row>
    <row r="32194" spans="25:25" hidden="1" x14ac:dyDescent="0.25">
      <c r="Y32194" s="501"/>
    </row>
    <row r="32195" spans="25:25" hidden="1" x14ac:dyDescent="0.25">
      <c r="Y32195" s="501"/>
    </row>
    <row r="32196" spans="25:25" hidden="1" x14ac:dyDescent="0.25">
      <c r="Y32196" s="501"/>
    </row>
    <row r="32197" spans="25:25" hidden="1" x14ac:dyDescent="0.25">
      <c r="Y32197" s="501"/>
    </row>
    <row r="32198" spans="25:25" hidden="1" x14ac:dyDescent="0.25">
      <c r="Y32198" s="501"/>
    </row>
    <row r="32199" spans="25:25" hidden="1" x14ac:dyDescent="0.25">
      <c r="Y32199" s="501"/>
    </row>
    <row r="32200" spans="25:25" hidden="1" x14ac:dyDescent="0.25">
      <c r="Y32200" s="501"/>
    </row>
    <row r="32201" spans="25:25" hidden="1" x14ac:dyDescent="0.25">
      <c r="Y32201" s="501"/>
    </row>
    <row r="32202" spans="25:25" hidden="1" x14ac:dyDescent="0.25">
      <c r="Y32202" s="501"/>
    </row>
    <row r="32203" spans="25:25" hidden="1" x14ac:dyDescent="0.25">
      <c r="Y32203" s="501"/>
    </row>
    <row r="32204" spans="25:25" hidden="1" x14ac:dyDescent="0.25">
      <c r="Y32204" s="501"/>
    </row>
    <row r="32205" spans="25:25" hidden="1" x14ac:dyDescent="0.25">
      <c r="Y32205" s="501"/>
    </row>
    <row r="32206" spans="25:25" hidden="1" x14ac:dyDescent="0.25">
      <c r="Y32206" s="501"/>
    </row>
    <row r="32207" spans="25:25" hidden="1" x14ac:dyDescent="0.25">
      <c r="Y32207" s="501"/>
    </row>
    <row r="32208" spans="25:25" hidden="1" x14ac:dyDescent="0.25">
      <c r="Y32208" s="501"/>
    </row>
    <row r="32209" spans="25:25" hidden="1" x14ac:dyDescent="0.25">
      <c r="Y32209" s="501"/>
    </row>
    <row r="32210" spans="25:25" hidden="1" x14ac:dyDescent="0.25">
      <c r="Y32210" s="501"/>
    </row>
    <row r="32211" spans="25:25" hidden="1" x14ac:dyDescent="0.25">
      <c r="Y32211" s="501"/>
    </row>
    <row r="32212" spans="25:25" hidden="1" x14ac:dyDescent="0.25">
      <c r="Y32212" s="501"/>
    </row>
    <row r="32213" spans="25:25" hidden="1" x14ac:dyDescent="0.25">
      <c r="Y32213" s="501"/>
    </row>
    <row r="32214" spans="25:25" hidden="1" x14ac:dyDescent="0.25">
      <c r="Y32214" s="501"/>
    </row>
    <row r="32215" spans="25:25" hidden="1" x14ac:dyDescent="0.25">
      <c r="Y32215" s="501"/>
    </row>
    <row r="32216" spans="25:25" hidden="1" x14ac:dyDescent="0.25">
      <c r="Y32216" s="501"/>
    </row>
    <row r="32217" spans="25:25" hidden="1" x14ac:dyDescent="0.25">
      <c r="Y32217" s="501"/>
    </row>
    <row r="32218" spans="25:25" hidden="1" x14ac:dyDescent="0.25">
      <c r="Y32218" s="501"/>
    </row>
    <row r="32219" spans="25:25" hidden="1" x14ac:dyDescent="0.25">
      <c r="Y32219" s="501"/>
    </row>
    <row r="32220" spans="25:25" hidden="1" x14ac:dyDescent="0.25">
      <c r="Y32220" s="501"/>
    </row>
    <row r="32221" spans="25:25" hidden="1" x14ac:dyDescent="0.25">
      <c r="Y32221" s="501"/>
    </row>
    <row r="32222" spans="25:25" hidden="1" x14ac:dyDescent="0.25">
      <c r="Y32222" s="501"/>
    </row>
    <row r="32223" spans="25:25" hidden="1" x14ac:dyDescent="0.25">
      <c r="Y32223" s="501"/>
    </row>
    <row r="32224" spans="25:25" hidden="1" x14ac:dyDescent="0.25">
      <c r="Y32224" s="501"/>
    </row>
    <row r="32225" spans="25:25" hidden="1" x14ac:dyDescent="0.25">
      <c r="Y32225" s="501"/>
    </row>
    <row r="32226" spans="25:25" hidden="1" x14ac:dyDescent="0.25">
      <c r="Y32226" s="501"/>
    </row>
    <row r="32227" spans="25:25" hidden="1" x14ac:dyDescent="0.25">
      <c r="Y32227" s="501"/>
    </row>
    <row r="32228" spans="25:25" hidden="1" x14ac:dyDescent="0.25">
      <c r="Y32228" s="501"/>
    </row>
    <row r="32229" spans="25:25" hidden="1" x14ac:dyDescent="0.25">
      <c r="Y32229" s="501"/>
    </row>
    <row r="32230" spans="25:25" hidden="1" x14ac:dyDescent="0.25">
      <c r="Y32230" s="501"/>
    </row>
    <row r="32231" spans="25:25" hidden="1" x14ac:dyDescent="0.25">
      <c r="Y32231" s="501"/>
    </row>
    <row r="32232" spans="25:25" hidden="1" x14ac:dyDescent="0.25">
      <c r="Y32232" s="501"/>
    </row>
    <row r="32233" spans="25:25" hidden="1" x14ac:dyDescent="0.25">
      <c r="Y32233" s="501"/>
    </row>
    <row r="32234" spans="25:25" hidden="1" x14ac:dyDescent="0.25">
      <c r="Y32234" s="501"/>
    </row>
    <row r="32235" spans="25:25" hidden="1" x14ac:dyDescent="0.25">
      <c r="Y32235" s="501"/>
    </row>
    <row r="32236" spans="25:25" hidden="1" x14ac:dyDescent="0.25">
      <c r="Y32236" s="501"/>
    </row>
    <row r="32237" spans="25:25" hidden="1" x14ac:dyDescent="0.25">
      <c r="Y32237" s="501"/>
    </row>
    <row r="32238" spans="25:25" hidden="1" x14ac:dyDescent="0.25">
      <c r="Y32238" s="501"/>
    </row>
    <row r="32239" spans="25:25" hidden="1" x14ac:dyDescent="0.25">
      <c r="Y32239" s="501"/>
    </row>
    <row r="32240" spans="25:25" hidden="1" x14ac:dyDescent="0.25">
      <c r="Y32240" s="501"/>
    </row>
    <row r="32241" spans="25:25" hidden="1" x14ac:dyDescent="0.25">
      <c r="Y32241" s="501"/>
    </row>
    <row r="32242" spans="25:25" hidden="1" x14ac:dyDescent="0.25">
      <c r="Y32242" s="501"/>
    </row>
    <row r="32243" spans="25:25" hidden="1" x14ac:dyDescent="0.25">
      <c r="Y32243" s="501"/>
    </row>
    <row r="32244" spans="25:25" hidden="1" x14ac:dyDescent="0.25">
      <c r="Y32244" s="501"/>
    </row>
    <row r="32245" spans="25:25" hidden="1" x14ac:dyDescent="0.25">
      <c r="Y32245" s="501"/>
    </row>
    <row r="32246" spans="25:25" hidden="1" x14ac:dyDescent="0.25">
      <c r="Y32246" s="501"/>
    </row>
    <row r="32247" spans="25:25" hidden="1" x14ac:dyDescent="0.25">
      <c r="Y32247" s="501"/>
    </row>
    <row r="32248" spans="25:25" hidden="1" x14ac:dyDescent="0.25">
      <c r="Y32248" s="501"/>
    </row>
    <row r="32249" spans="25:25" hidden="1" x14ac:dyDescent="0.25">
      <c r="Y32249" s="501"/>
    </row>
    <row r="32250" spans="25:25" hidden="1" x14ac:dyDescent="0.25">
      <c r="Y32250" s="501"/>
    </row>
    <row r="32251" spans="25:25" hidden="1" x14ac:dyDescent="0.25">
      <c r="Y32251" s="501"/>
    </row>
    <row r="32252" spans="25:25" hidden="1" x14ac:dyDescent="0.25">
      <c r="Y32252" s="501"/>
    </row>
    <row r="32253" spans="25:25" hidden="1" x14ac:dyDescent="0.25">
      <c r="Y32253" s="501"/>
    </row>
    <row r="32254" spans="25:25" hidden="1" x14ac:dyDescent="0.25">
      <c r="Y32254" s="501"/>
    </row>
    <row r="32255" spans="25:25" hidden="1" x14ac:dyDescent="0.25">
      <c r="Y32255" s="501"/>
    </row>
    <row r="32256" spans="25:25" hidden="1" x14ac:dyDescent="0.25">
      <c r="Y32256" s="501"/>
    </row>
    <row r="32257" spans="25:25" hidden="1" x14ac:dyDescent="0.25">
      <c r="Y32257" s="501"/>
    </row>
    <row r="32258" spans="25:25" hidden="1" x14ac:dyDescent="0.25">
      <c r="Y32258" s="501"/>
    </row>
    <row r="32259" spans="25:25" hidden="1" x14ac:dyDescent="0.25">
      <c r="Y32259" s="501"/>
    </row>
    <row r="32260" spans="25:25" hidden="1" x14ac:dyDescent="0.25">
      <c r="Y32260" s="501"/>
    </row>
    <row r="32261" spans="25:25" hidden="1" x14ac:dyDescent="0.25">
      <c r="Y32261" s="501"/>
    </row>
    <row r="32262" spans="25:25" hidden="1" x14ac:dyDescent="0.25">
      <c r="Y32262" s="501"/>
    </row>
    <row r="32263" spans="25:25" hidden="1" x14ac:dyDescent="0.25">
      <c r="Y32263" s="501"/>
    </row>
    <row r="32264" spans="25:25" hidden="1" x14ac:dyDescent="0.25">
      <c r="Y32264" s="501"/>
    </row>
    <row r="32265" spans="25:25" hidden="1" x14ac:dyDescent="0.25">
      <c r="Y32265" s="501"/>
    </row>
    <row r="32266" spans="25:25" hidden="1" x14ac:dyDescent="0.25">
      <c r="Y32266" s="501"/>
    </row>
    <row r="32267" spans="25:25" hidden="1" x14ac:dyDescent="0.25">
      <c r="Y32267" s="501"/>
    </row>
    <row r="32268" spans="25:25" hidden="1" x14ac:dyDescent="0.25">
      <c r="Y32268" s="501"/>
    </row>
    <row r="32269" spans="25:25" hidden="1" x14ac:dyDescent="0.25">
      <c r="Y32269" s="501"/>
    </row>
    <row r="32270" spans="25:25" hidden="1" x14ac:dyDescent="0.25">
      <c r="Y32270" s="501"/>
    </row>
    <row r="32271" spans="25:25" hidden="1" x14ac:dyDescent="0.25">
      <c r="Y32271" s="501"/>
    </row>
    <row r="32272" spans="25:25" hidden="1" x14ac:dyDescent="0.25">
      <c r="Y32272" s="501"/>
    </row>
    <row r="32273" spans="25:25" hidden="1" x14ac:dyDescent="0.25">
      <c r="Y32273" s="501"/>
    </row>
    <row r="32274" spans="25:25" hidden="1" x14ac:dyDescent="0.25">
      <c r="Y32274" s="501"/>
    </row>
    <row r="32275" spans="25:25" hidden="1" x14ac:dyDescent="0.25">
      <c r="Y32275" s="501"/>
    </row>
    <row r="32276" spans="25:25" hidden="1" x14ac:dyDescent="0.25">
      <c r="Y32276" s="501"/>
    </row>
    <row r="32277" spans="25:25" hidden="1" x14ac:dyDescent="0.25">
      <c r="Y32277" s="501"/>
    </row>
    <row r="32278" spans="25:25" hidden="1" x14ac:dyDescent="0.25">
      <c r="Y32278" s="501"/>
    </row>
    <row r="32279" spans="25:25" hidden="1" x14ac:dyDescent="0.25">
      <c r="Y32279" s="501"/>
    </row>
    <row r="32280" spans="25:25" hidden="1" x14ac:dyDescent="0.25">
      <c r="Y32280" s="501"/>
    </row>
    <row r="32281" spans="25:25" hidden="1" x14ac:dyDescent="0.25">
      <c r="Y32281" s="501"/>
    </row>
    <row r="32282" spans="25:25" hidden="1" x14ac:dyDescent="0.25">
      <c r="Y32282" s="501"/>
    </row>
    <row r="32283" spans="25:25" hidden="1" x14ac:dyDescent="0.25">
      <c r="Y32283" s="501"/>
    </row>
    <row r="32284" spans="25:25" hidden="1" x14ac:dyDescent="0.25">
      <c r="Y32284" s="501"/>
    </row>
    <row r="32285" spans="25:25" hidden="1" x14ac:dyDescent="0.25">
      <c r="Y32285" s="501"/>
    </row>
    <row r="32286" spans="25:25" hidden="1" x14ac:dyDescent="0.25">
      <c r="Y32286" s="501"/>
    </row>
    <row r="32287" spans="25:25" hidden="1" x14ac:dyDescent="0.25">
      <c r="Y32287" s="501"/>
    </row>
    <row r="32288" spans="25:25" hidden="1" x14ac:dyDescent="0.25">
      <c r="Y32288" s="501"/>
    </row>
    <row r="32289" spans="25:25" hidden="1" x14ac:dyDescent="0.25">
      <c r="Y32289" s="501"/>
    </row>
    <row r="32290" spans="25:25" hidden="1" x14ac:dyDescent="0.25">
      <c r="Y32290" s="501"/>
    </row>
    <row r="32291" spans="25:25" hidden="1" x14ac:dyDescent="0.25">
      <c r="Y32291" s="501"/>
    </row>
    <row r="32292" spans="25:25" hidden="1" x14ac:dyDescent="0.25">
      <c r="Y32292" s="501"/>
    </row>
    <row r="32293" spans="25:25" hidden="1" x14ac:dyDescent="0.25">
      <c r="Y32293" s="501"/>
    </row>
    <row r="32294" spans="25:25" hidden="1" x14ac:dyDescent="0.25">
      <c r="Y32294" s="501"/>
    </row>
    <row r="32295" spans="25:25" hidden="1" x14ac:dyDescent="0.25">
      <c r="Y32295" s="501"/>
    </row>
    <row r="32296" spans="25:25" hidden="1" x14ac:dyDescent="0.25">
      <c r="Y32296" s="501"/>
    </row>
    <row r="32297" spans="25:25" hidden="1" x14ac:dyDescent="0.25">
      <c r="Y32297" s="501"/>
    </row>
    <row r="32298" spans="25:25" hidden="1" x14ac:dyDescent="0.25">
      <c r="Y32298" s="501"/>
    </row>
    <row r="32299" spans="25:25" hidden="1" x14ac:dyDescent="0.25">
      <c r="Y32299" s="501"/>
    </row>
    <row r="32300" spans="25:25" hidden="1" x14ac:dyDescent="0.25">
      <c r="Y32300" s="501"/>
    </row>
    <row r="32301" spans="25:25" hidden="1" x14ac:dyDescent="0.25">
      <c r="Y32301" s="501"/>
    </row>
    <row r="32302" spans="25:25" hidden="1" x14ac:dyDescent="0.25">
      <c r="Y32302" s="501"/>
    </row>
    <row r="32303" spans="25:25" hidden="1" x14ac:dyDescent="0.25">
      <c r="Y32303" s="501"/>
    </row>
    <row r="32304" spans="25:25" hidden="1" x14ac:dyDescent="0.25">
      <c r="Y32304" s="501"/>
    </row>
    <row r="32305" spans="25:25" hidden="1" x14ac:dyDescent="0.25">
      <c r="Y32305" s="501"/>
    </row>
    <row r="32306" spans="25:25" hidden="1" x14ac:dyDescent="0.25">
      <c r="Y32306" s="501"/>
    </row>
    <row r="32307" spans="25:25" hidden="1" x14ac:dyDescent="0.25">
      <c r="Y32307" s="501"/>
    </row>
    <row r="32308" spans="25:25" hidden="1" x14ac:dyDescent="0.25">
      <c r="Y32308" s="501"/>
    </row>
    <row r="32309" spans="25:25" hidden="1" x14ac:dyDescent="0.25">
      <c r="Y32309" s="501"/>
    </row>
    <row r="32310" spans="25:25" hidden="1" x14ac:dyDescent="0.25">
      <c r="Y32310" s="501"/>
    </row>
    <row r="32311" spans="25:25" hidden="1" x14ac:dyDescent="0.25">
      <c r="Y32311" s="501"/>
    </row>
    <row r="32312" spans="25:25" hidden="1" x14ac:dyDescent="0.25">
      <c r="Y32312" s="501"/>
    </row>
    <row r="32313" spans="25:25" hidden="1" x14ac:dyDescent="0.25">
      <c r="Y32313" s="501"/>
    </row>
    <row r="32314" spans="25:25" hidden="1" x14ac:dyDescent="0.25">
      <c r="Y32314" s="501"/>
    </row>
    <row r="32315" spans="25:25" hidden="1" x14ac:dyDescent="0.25">
      <c r="Y32315" s="501"/>
    </row>
    <row r="32316" spans="25:25" hidden="1" x14ac:dyDescent="0.25">
      <c r="Y32316" s="501"/>
    </row>
    <row r="32317" spans="25:25" hidden="1" x14ac:dyDescent="0.25">
      <c r="Y32317" s="501"/>
    </row>
    <row r="32318" spans="25:25" hidden="1" x14ac:dyDescent="0.25">
      <c r="Y32318" s="501"/>
    </row>
    <row r="32319" spans="25:25" hidden="1" x14ac:dyDescent="0.25">
      <c r="Y32319" s="501"/>
    </row>
    <row r="32320" spans="25:25" hidden="1" x14ac:dyDescent="0.25">
      <c r="Y32320" s="501"/>
    </row>
    <row r="32321" spans="25:25" hidden="1" x14ac:dyDescent="0.25">
      <c r="Y32321" s="501"/>
    </row>
    <row r="32322" spans="25:25" hidden="1" x14ac:dyDescent="0.25">
      <c r="Y32322" s="501"/>
    </row>
    <row r="32323" spans="25:25" hidden="1" x14ac:dyDescent="0.25">
      <c r="Y32323" s="501"/>
    </row>
    <row r="32324" spans="25:25" hidden="1" x14ac:dyDescent="0.25">
      <c r="Y32324" s="501"/>
    </row>
    <row r="32325" spans="25:25" hidden="1" x14ac:dyDescent="0.25">
      <c r="Y32325" s="501"/>
    </row>
    <row r="32326" spans="25:25" hidden="1" x14ac:dyDescent="0.25">
      <c r="Y32326" s="501"/>
    </row>
    <row r="32327" spans="25:25" hidden="1" x14ac:dyDescent="0.25">
      <c r="Y32327" s="501"/>
    </row>
    <row r="32328" spans="25:25" hidden="1" x14ac:dyDescent="0.25">
      <c r="Y32328" s="501"/>
    </row>
    <row r="32329" spans="25:25" hidden="1" x14ac:dyDescent="0.25">
      <c r="Y32329" s="501"/>
    </row>
    <row r="32330" spans="25:25" hidden="1" x14ac:dyDescent="0.25">
      <c r="Y32330" s="501"/>
    </row>
    <row r="32331" spans="25:25" hidden="1" x14ac:dyDescent="0.25">
      <c r="Y32331" s="501"/>
    </row>
    <row r="32332" spans="25:25" hidden="1" x14ac:dyDescent="0.25">
      <c r="Y32332" s="501"/>
    </row>
    <row r="32333" spans="25:25" hidden="1" x14ac:dyDescent="0.25">
      <c r="Y32333" s="501"/>
    </row>
    <row r="32334" spans="25:25" hidden="1" x14ac:dyDescent="0.25">
      <c r="Y32334" s="501"/>
    </row>
    <row r="32335" spans="25:25" hidden="1" x14ac:dyDescent="0.25">
      <c r="Y32335" s="501"/>
    </row>
    <row r="32336" spans="25:25" hidden="1" x14ac:dyDescent="0.25">
      <c r="Y32336" s="501"/>
    </row>
    <row r="32337" spans="25:25" hidden="1" x14ac:dyDescent="0.25">
      <c r="Y32337" s="501"/>
    </row>
    <row r="32338" spans="25:25" hidden="1" x14ac:dyDescent="0.25">
      <c r="Y32338" s="501"/>
    </row>
    <row r="32339" spans="25:25" hidden="1" x14ac:dyDescent="0.25">
      <c r="Y32339" s="501"/>
    </row>
    <row r="32340" spans="25:25" hidden="1" x14ac:dyDescent="0.25">
      <c r="Y32340" s="501"/>
    </row>
    <row r="32341" spans="25:25" hidden="1" x14ac:dyDescent="0.25">
      <c r="Y32341" s="501"/>
    </row>
    <row r="32342" spans="25:25" hidden="1" x14ac:dyDescent="0.25">
      <c r="Y32342" s="501"/>
    </row>
    <row r="32343" spans="25:25" hidden="1" x14ac:dyDescent="0.25">
      <c r="Y32343" s="501"/>
    </row>
    <row r="32344" spans="25:25" hidden="1" x14ac:dyDescent="0.25">
      <c r="Y32344" s="501"/>
    </row>
    <row r="32345" spans="25:25" hidden="1" x14ac:dyDescent="0.25">
      <c r="Y32345" s="501"/>
    </row>
    <row r="32346" spans="25:25" hidden="1" x14ac:dyDescent="0.25">
      <c r="Y32346" s="501"/>
    </row>
    <row r="32347" spans="25:25" hidden="1" x14ac:dyDescent="0.25">
      <c r="Y32347" s="501"/>
    </row>
    <row r="32348" spans="25:25" hidden="1" x14ac:dyDescent="0.25">
      <c r="Y32348" s="501"/>
    </row>
    <row r="32349" spans="25:25" hidden="1" x14ac:dyDescent="0.25">
      <c r="Y32349" s="501"/>
    </row>
    <row r="32350" spans="25:25" hidden="1" x14ac:dyDescent="0.25">
      <c r="Y32350" s="501"/>
    </row>
    <row r="32351" spans="25:25" hidden="1" x14ac:dyDescent="0.25">
      <c r="Y32351" s="501"/>
    </row>
    <row r="32352" spans="25:25" hidden="1" x14ac:dyDescent="0.25">
      <c r="Y32352" s="501"/>
    </row>
    <row r="32353" spans="25:25" hidden="1" x14ac:dyDescent="0.25">
      <c r="Y32353" s="501"/>
    </row>
    <row r="32354" spans="25:25" hidden="1" x14ac:dyDescent="0.25">
      <c r="Y32354" s="501"/>
    </row>
    <row r="32355" spans="25:25" hidden="1" x14ac:dyDescent="0.25">
      <c r="Y32355" s="501"/>
    </row>
    <row r="32356" spans="25:25" hidden="1" x14ac:dyDescent="0.25">
      <c r="Y32356" s="501"/>
    </row>
    <row r="32357" spans="25:25" hidden="1" x14ac:dyDescent="0.25">
      <c r="Y32357" s="501"/>
    </row>
    <row r="32358" spans="25:25" hidden="1" x14ac:dyDescent="0.25">
      <c r="Y32358" s="501"/>
    </row>
    <row r="32359" spans="25:25" hidden="1" x14ac:dyDescent="0.25">
      <c r="Y32359" s="501"/>
    </row>
    <row r="32360" spans="25:25" hidden="1" x14ac:dyDescent="0.25">
      <c r="Y32360" s="501"/>
    </row>
    <row r="32361" spans="25:25" hidden="1" x14ac:dyDescent="0.25">
      <c r="Y32361" s="501"/>
    </row>
    <row r="32362" spans="25:25" hidden="1" x14ac:dyDescent="0.25">
      <c r="Y32362" s="501"/>
    </row>
    <row r="32363" spans="25:25" hidden="1" x14ac:dyDescent="0.25">
      <c r="Y32363" s="501"/>
    </row>
    <row r="32364" spans="25:25" hidden="1" x14ac:dyDescent="0.25">
      <c r="Y32364" s="501"/>
    </row>
    <row r="32365" spans="25:25" hidden="1" x14ac:dyDescent="0.25">
      <c r="Y32365" s="501"/>
    </row>
    <row r="32366" spans="25:25" hidden="1" x14ac:dyDescent="0.25">
      <c r="Y32366" s="501"/>
    </row>
    <row r="32367" spans="25:25" hidden="1" x14ac:dyDescent="0.25">
      <c r="Y32367" s="501"/>
    </row>
    <row r="32368" spans="25:25" hidden="1" x14ac:dyDescent="0.25">
      <c r="Y32368" s="501"/>
    </row>
    <row r="32369" spans="25:25" hidden="1" x14ac:dyDescent="0.25">
      <c r="Y32369" s="501"/>
    </row>
    <row r="32370" spans="25:25" hidden="1" x14ac:dyDescent="0.25">
      <c r="Y32370" s="501"/>
    </row>
    <row r="32371" spans="25:25" hidden="1" x14ac:dyDescent="0.25">
      <c r="Y32371" s="501"/>
    </row>
    <row r="32372" spans="25:25" hidden="1" x14ac:dyDescent="0.25">
      <c r="Y32372" s="501"/>
    </row>
    <row r="32373" spans="25:25" hidden="1" x14ac:dyDescent="0.25">
      <c r="Y32373" s="501"/>
    </row>
    <row r="32374" spans="25:25" hidden="1" x14ac:dyDescent="0.25">
      <c r="Y32374" s="501"/>
    </row>
    <row r="32375" spans="25:25" hidden="1" x14ac:dyDescent="0.25">
      <c r="Y32375" s="501"/>
    </row>
    <row r="32376" spans="25:25" hidden="1" x14ac:dyDescent="0.25">
      <c r="Y32376" s="501"/>
    </row>
    <row r="32377" spans="25:25" hidden="1" x14ac:dyDescent="0.25">
      <c r="Y32377" s="501"/>
    </row>
    <row r="32378" spans="25:25" hidden="1" x14ac:dyDescent="0.25">
      <c r="Y32378" s="501"/>
    </row>
    <row r="32379" spans="25:25" hidden="1" x14ac:dyDescent="0.25">
      <c r="Y32379" s="501"/>
    </row>
    <row r="32380" spans="25:25" hidden="1" x14ac:dyDescent="0.25">
      <c r="Y32380" s="501"/>
    </row>
    <row r="32381" spans="25:25" hidden="1" x14ac:dyDescent="0.25">
      <c r="Y32381" s="501"/>
    </row>
    <row r="32382" spans="25:25" hidden="1" x14ac:dyDescent="0.25">
      <c r="Y32382" s="501"/>
    </row>
    <row r="32383" spans="25:25" hidden="1" x14ac:dyDescent="0.25">
      <c r="Y32383" s="501"/>
    </row>
    <row r="32384" spans="25:25" hidden="1" x14ac:dyDescent="0.25">
      <c r="Y32384" s="501"/>
    </row>
    <row r="32385" spans="25:25" hidden="1" x14ac:dyDescent="0.25">
      <c r="Y32385" s="501"/>
    </row>
    <row r="32386" spans="25:25" hidden="1" x14ac:dyDescent="0.25">
      <c r="Y32386" s="501"/>
    </row>
    <row r="32387" spans="25:25" hidden="1" x14ac:dyDescent="0.25">
      <c r="Y32387" s="501"/>
    </row>
    <row r="32388" spans="25:25" hidden="1" x14ac:dyDescent="0.25">
      <c r="Y32388" s="501"/>
    </row>
    <row r="32389" spans="25:25" hidden="1" x14ac:dyDescent="0.25">
      <c r="Y32389" s="501"/>
    </row>
    <row r="32390" spans="25:25" hidden="1" x14ac:dyDescent="0.25">
      <c r="Y32390" s="501"/>
    </row>
    <row r="32391" spans="25:25" hidden="1" x14ac:dyDescent="0.25">
      <c r="Y32391" s="501"/>
    </row>
    <row r="32392" spans="25:25" hidden="1" x14ac:dyDescent="0.25">
      <c r="Y32392" s="501"/>
    </row>
    <row r="32393" spans="25:25" hidden="1" x14ac:dyDescent="0.25">
      <c r="Y32393" s="501"/>
    </row>
    <row r="32394" spans="25:25" hidden="1" x14ac:dyDescent="0.25">
      <c r="Y32394" s="501"/>
    </row>
    <row r="32395" spans="25:25" hidden="1" x14ac:dyDescent="0.25">
      <c r="Y32395" s="501"/>
    </row>
    <row r="32396" spans="25:25" hidden="1" x14ac:dyDescent="0.25">
      <c r="Y32396" s="501"/>
    </row>
    <row r="32397" spans="25:25" hidden="1" x14ac:dyDescent="0.25">
      <c r="Y32397" s="501"/>
    </row>
    <row r="32398" spans="25:25" hidden="1" x14ac:dyDescent="0.25">
      <c r="Y32398" s="501"/>
    </row>
    <row r="32399" spans="25:25" hidden="1" x14ac:dyDescent="0.25">
      <c r="Y32399" s="501"/>
    </row>
    <row r="32400" spans="25:25" hidden="1" x14ac:dyDescent="0.25">
      <c r="Y32400" s="501"/>
    </row>
    <row r="32401" spans="25:25" hidden="1" x14ac:dyDescent="0.25">
      <c r="Y32401" s="501"/>
    </row>
    <row r="32402" spans="25:25" hidden="1" x14ac:dyDescent="0.25">
      <c r="Y32402" s="501"/>
    </row>
    <row r="32403" spans="25:25" hidden="1" x14ac:dyDescent="0.25">
      <c r="Y32403" s="501"/>
    </row>
    <row r="32404" spans="25:25" hidden="1" x14ac:dyDescent="0.25">
      <c r="Y32404" s="501"/>
    </row>
    <row r="32405" spans="25:25" hidden="1" x14ac:dyDescent="0.25">
      <c r="Y32405" s="501"/>
    </row>
    <row r="32406" spans="25:25" hidden="1" x14ac:dyDescent="0.25">
      <c r="Y32406" s="501"/>
    </row>
    <row r="32407" spans="25:25" hidden="1" x14ac:dyDescent="0.25">
      <c r="Y32407" s="501"/>
    </row>
    <row r="32408" spans="25:25" hidden="1" x14ac:dyDescent="0.25">
      <c r="Y32408" s="501"/>
    </row>
    <row r="32409" spans="25:25" hidden="1" x14ac:dyDescent="0.25">
      <c r="Y32409" s="501"/>
    </row>
    <row r="32410" spans="25:25" hidden="1" x14ac:dyDescent="0.25">
      <c r="Y32410" s="501"/>
    </row>
    <row r="32411" spans="25:25" hidden="1" x14ac:dyDescent="0.25">
      <c r="Y32411" s="501"/>
    </row>
    <row r="32412" spans="25:25" hidden="1" x14ac:dyDescent="0.25">
      <c r="Y32412" s="501"/>
    </row>
    <row r="32413" spans="25:25" hidden="1" x14ac:dyDescent="0.25">
      <c r="Y32413" s="501"/>
    </row>
    <row r="32414" spans="25:25" hidden="1" x14ac:dyDescent="0.25">
      <c r="Y32414" s="501"/>
    </row>
    <row r="32415" spans="25:25" hidden="1" x14ac:dyDescent="0.25">
      <c r="Y32415" s="501"/>
    </row>
    <row r="32416" spans="25:25" hidden="1" x14ac:dyDescent="0.25">
      <c r="Y32416" s="501"/>
    </row>
    <row r="32417" spans="25:25" hidden="1" x14ac:dyDescent="0.25">
      <c r="Y32417" s="501"/>
    </row>
    <row r="32418" spans="25:25" hidden="1" x14ac:dyDescent="0.25">
      <c r="Y32418" s="501"/>
    </row>
    <row r="32419" spans="25:25" hidden="1" x14ac:dyDescent="0.25">
      <c r="Y32419" s="501"/>
    </row>
    <row r="32420" spans="25:25" hidden="1" x14ac:dyDescent="0.25">
      <c r="Y32420" s="501"/>
    </row>
    <row r="32421" spans="25:25" hidden="1" x14ac:dyDescent="0.25">
      <c r="Y32421" s="501"/>
    </row>
    <row r="32422" spans="25:25" hidden="1" x14ac:dyDescent="0.25">
      <c r="Y32422" s="501"/>
    </row>
    <row r="32423" spans="25:25" hidden="1" x14ac:dyDescent="0.25">
      <c r="Y32423" s="501"/>
    </row>
    <row r="32424" spans="25:25" hidden="1" x14ac:dyDescent="0.25">
      <c r="Y32424" s="501"/>
    </row>
    <row r="32425" spans="25:25" hidden="1" x14ac:dyDescent="0.25">
      <c r="Y32425" s="501"/>
    </row>
    <row r="32426" spans="25:25" hidden="1" x14ac:dyDescent="0.25">
      <c r="Y32426" s="501"/>
    </row>
    <row r="32427" spans="25:25" hidden="1" x14ac:dyDescent="0.25">
      <c r="Y32427" s="501"/>
    </row>
    <row r="32428" spans="25:25" hidden="1" x14ac:dyDescent="0.25">
      <c r="Y32428" s="501"/>
    </row>
    <row r="32429" spans="25:25" hidden="1" x14ac:dyDescent="0.25">
      <c r="Y32429" s="501"/>
    </row>
    <row r="32430" spans="25:25" hidden="1" x14ac:dyDescent="0.25">
      <c r="Y32430" s="501"/>
    </row>
    <row r="32431" spans="25:25" hidden="1" x14ac:dyDescent="0.25">
      <c r="Y32431" s="501"/>
    </row>
    <row r="32432" spans="25:25" hidden="1" x14ac:dyDescent="0.25">
      <c r="Y32432" s="501"/>
    </row>
    <row r="32433" spans="25:25" hidden="1" x14ac:dyDescent="0.25">
      <c r="Y32433" s="501"/>
    </row>
    <row r="32434" spans="25:25" hidden="1" x14ac:dyDescent="0.25">
      <c r="Y32434" s="501"/>
    </row>
    <row r="32435" spans="25:25" hidden="1" x14ac:dyDescent="0.25">
      <c r="Y32435" s="501"/>
    </row>
    <row r="32436" spans="25:25" hidden="1" x14ac:dyDescent="0.25">
      <c r="Y32436" s="501"/>
    </row>
    <row r="32437" spans="25:25" hidden="1" x14ac:dyDescent="0.25">
      <c r="Y32437" s="501"/>
    </row>
    <row r="32438" spans="25:25" hidden="1" x14ac:dyDescent="0.25">
      <c r="Y32438" s="501"/>
    </row>
    <row r="32439" spans="25:25" hidden="1" x14ac:dyDescent="0.25">
      <c r="Y32439" s="501"/>
    </row>
    <row r="32440" spans="25:25" hidden="1" x14ac:dyDescent="0.25">
      <c r="Y32440" s="501"/>
    </row>
    <row r="32441" spans="25:25" hidden="1" x14ac:dyDescent="0.25">
      <c r="Y32441" s="501"/>
    </row>
    <row r="32442" spans="25:25" hidden="1" x14ac:dyDescent="0.25">
      <c r="Y32442" s="501"/>
    </row>
    <row r="32443" spans="25:25" hidden="1" x14ac:dyDescent="0.25">
      <c r="Y32443" s="501"/>
    </row>
    <row r="32444" spans="25:25" hidden="1" x14ac:dyDescent="0.25">
      <c r="Y32444" s="501"/>
    </row>
    <row r="32445" spans="25:25" hidden="1" x14ac:dyDescent="0.25">
      <c r="Y32445" s="501"/>
    </row>
    <row r="32446" spans="25:25" hidden="1" x14ac:dyDescent="0.25">
      <c r="Y32446" s="501"/>
    </row>
    <row r="32447" spans="25:25" hidden="1" x14ac:dyDescent="0.25">
      <c r="Y32447" s="501"/>
    </row>
    <row r="32448" spans="25:25" hidden="1" x14ac:dyDescent="0.25">
      <c r="Y32448" s="501"/>
    </row>
    <row r="32449" spans="25:25" hidden="1" x14ac:dyDescent="0.25">
      <c r="Y32449" s="501"/>
    </row>
    <row r="32450" spans="25:25" hidden="1" x14ac:dyDescent="0.25">
      <c r="Y32450" s="501"/>
    </row>
    <row r="32451" spans="25:25" hidden="1" x14ac:dyDescent="0.25">
      <c r="Y32451" s="501"/>
    </row>
    <row r="32452" spans="25:25" hidden="1" x14ac:dyDescent="0.25">
      <c r="Y32452" s="501"/>
    </row>
    <row r="32453" spans="25:25" hidden="1" x14ac:dyDescent="0.25">
      <c r="Y32453" s="501"/>
    </row>
    <row r="32454" spans="25:25" hidden="1" x14ac:dyDescent="0.25">
      <c r="Y32454" s="501"/>
    </row>
    <row r="32455" spans="25:25" hidden="1" x14ac:dyDescent="0.25">
      <c r="Y32455" s="501"/>
    </row>
    <row r="32456" spans="25:25" hidden="1" x14ac:dyDescent="0.25">
      <c r="Y32456" s="501"/>
    </row>
    <row r="32457" spans="25:25" hidden="1" x14ac:dyDescent="0.25">
      <c r="Y32457" s="501"/>
    </row>
    <row r="32458" spans="25:25" hidden="1" x14ac:dyDescent="0.25">
      <c r="Y32458" s="501"/>
    </row>
    <row r="32459" spans="25:25" hidden="1" x14ac:dyDescent="0.25">
      <c r="Y32459" s="501"/>
    </row>
    <row r="32460" spans="25:25" hidden="1" x14ac:dyDescent="0.25">
      <c r="Y32460" s="501"/>
    </row>
    <row r="32461" spans="25:25" hidden="1" x14ac:dyDescent="0.25">
      <c r="Y32461" s="501"/>
    </row>
    <row r="32462" spans="25:25" hidden="1" x14ac:dyDescent="0.25">
      <c r="Y32462" s="501"/>
    </row>
    <row r="32463" spans="25:25" hidden="1" x14ac:dyDescent="0.25">
      <c r="Y32463" s="501"/>
    </row>
    <row r="32464" spans="25:25" hidden="1" x14ac:dyDescent="0.25">
      <c r="Y32464" s="501"/>
    </row>
    <row r="32465" spans="25:25" hidden="1" x14ac:dyDescent="0.25">
      <c r="Y32465" s="501"/>
    </row>
    <row r="32466" spans="25:25" hidden="1" x14ac:dyDescent="0.25">
      <c r="Y32466" s="501"/>
    </row>
    <row r="32467" spans="25:25" hidden="1" x14ac:dyDescent="0.25">
      <c r="Y32467" s="501"/>
    </row>
    <row r="32468" spans="25:25" hidden="1" x14ac:dyDescent="0.25">
      <c r="Y32468" s="501"/>
    </row>
    <row r="32469" spans="25:25" hidden="1" x14ac:dyDescent="0.25">
      <c r="Y32469" s="501"/>
    </row>
    <row r="32470" spans="25:25" hidden="1" x14ac:dyDescent="0.25">
      <c r="Y32470" s="501"/>
    </row>
    <row r="32471" spans="25:25" hidden="1" x14ac:dyDescent="0.25">
      <c r="Y32471" s="501"/>
    </row>
    <row r="32472" spans="25:25" hidden="1" x14ac:dyDescent="0.25">
      <c r="Y32472" s="501"/>
    </row>
    <row r="32473" spans="25:25" hidden="1" x14ac:dyDescent="0.25">
      <c r="Y32473" s="501"/>
    </row>
    <row r="32474" spans="25:25" hidden="1" x14ac:dyDescent="0.25">
      <c r="Y32474" s="501"/>
    </row>
    <row r="32475" spans="25:25" hidden="1" x14ac:dyDescent="0.25">
      <c r="Y32475" s="501"/>
    </row>
    <row r="32476" spans="25:25" hidden="1" x14ac:dyDescent="0.25">
      <c r="Y32476" s="501"/>
    </row>
    <row r="32477" spans="25:25" hidden="1" x14ac:dyDescent="0.25">
      <c r="Y32477" s="501"/>
    </row>
    <row r="32478" spans="25:25" hidden="1" x14ac:dyDescent="0.25">
      <c r="Y32478" s="501"/>
    </row>
    <row r="32479" spans="25:25" hidden="1" x14ac:dyDescent="0.25">
      <c r="Y32479" s="501"/>
    </row>
    <row r="32480" spans="25:25" hidden="1" x14ac:dyDescent="0.25">
      <c r="Y32480" s="501"/>
    </row>
    <row r="32481" spans="25:25" hidden="1" x14ac:dyDescent="0.25">
      <c r="Y32481" s="501"/>
    </row>
    <row r="32482" spans="25:25" hidden="1" x14ac:dyDescent="0.25">
      <c r="Y32482" s="501"/>
    </row>
    <row r="32483" spans="25:25" hidden="1" x14ac:dyDescent="0.25">
      <c r="Y32483" s="501"/>
    </row>
    <row r="32484" spans="25:25" hidden="1" x14ac:dyDescent="0.25">
      <c r="Y32484" s="501"/>
    </row>
    <row r="32485" spans="25:25" hidden="1" x14ac:dyDescent="0.25">
      <c r="Y32485" s="501"/>
    </row>
    <row r="32486" spans="25:25" hidden="1" x14ac:dyDescent="0.25">
      <c r="Y32486" s="501"/>
    </row>
    <row r="32487" spans="25:25" hidden="1" x14ac:dyDescent="0.25">
      <c r="Y32487" s="501"/>
    </row>
    <row r="32488" spans="25:25" hidden="1" x14ac:dyDescent="0.25">
      <c r="Y32488" s="501"/>
    </row>
    <row r="32489" spans="25:25" hidden="1" x14ac:dyDescent="0.25">
      <c r="Y32489" s="501"/>
    </row>
    <row r="32490" spans="25:25" hidden="1" x14ac:dyDescent="0.25">
      <c r="Y32490" s="501"/>
    </row>
    <row r="32491" spans="25:25" hidden="1" x14ac:dyDescent="0.25">
      <c r="Y32491" s="501"/>
    </row>
    <row r="32492" spans="25:25" hidden="1" x14ac:dyDescent="0.25">
      <c r="Y32492" s="501"/>
    </row>
    <row r="32493" spans="25:25" hidden="1" x14ac:dyDescent="0.25">
      <c r="Y32493" s="501"/>
    </row>
    <row r="32494" spans="25:25" hidden="1" x14ac:dyDescent="0.25">
      <c r="Y32494" s="501"/>
    </row>
    <row r="32495" spans="25:25" hidden="1" x14ac:dyDescent="0.25">
      <c r="Y32495" s="501"/>
    </row>
    <row r="32496" spans="25:25" hidden="1" x14ac:dyDescent="0.25">
      <c r="Y32496" s="501"/>
    </row>
    <row r="32497" spans="25:25" hidden="1" x14ac:dyDescent="0.25">
      <c r="Y32497" s="501"/>
    </row>
    <row r="32498" spans="25:25" hidden="1" x14ac:dyDescent="0.25">
      <c r="Y32498" s="501"/>
    </row>
    <row r="32499" spans="25:25" hidden="1" x14ac:dyDescent="0.25">
      <c r="Y32499" s="501"/>
    </row>
    <row r="32500" spans="25:25" hidden="1" x14ac:dyDescent="0.25">
      <c r="Y32500" s="501"/>
    </row>
    <row r="32501" spans="25:25" hidden="1" x14ac:dyDescent="0.25">
      <c r="Y32501" s="501"/>
    </row>
    <row r="32502" spans="25:25" hidden="1" x14ac:dyDescent="0.25">
      <c r="Y32502" s="501"/>
    </row>
    <row r="32503" spans="25:25" hidden="1" x14ac:dyDescent="0.25">
      <c r="Y32503" s="501"/>
    </row>
    <row r="32504" spans="25:25" hidden="1" x14ac:dyDescent="0.25">
      <c r="Y32504" s="501"/>
    </row>
    <row r="32505" spans="25:25" hidden="1" x14ac:dyDescent="0.25">
      <c r="Y32505" s="501"/>
    </row>
    <row r="32506" spans="25:25" hidden="1" x14ac:dyDescent="0.25">
      <c r="Y32506" s="501"/>
    </row>
    <row r="32507" spans="25:25" hidden="1" x14ac:dyDescent="0.25">
      <c r="Y32507" s="501"/>
    </row>
    <row r="32508" spans="25:25" hidden="1" x14ac:dyDescent="0.25">
      <c r="Y32508" s="501"/>
    </row>
    <row r="32509" spans="25:25" hidden="1" x14ac:dyDescent="0.25">
      <c r="Y32509" s="501"/>
    </row>
    <row r="32510" spans="25:25" hidden="1" x14ac:dyDescent="0.25">
      <c r="Y32510" s="501"/>
    </row>
    <row r="32511" spans="25:25" hidden="1" x14ac:dyDescent="0.25">
      <c r="Y32511" s="501"/>
    </row>
    <row r="32512" spans="25:25" hidden="1" x14ac:dyDescent="0.25">
      <c r="Y32512" s="501"/>
    </row>
    <row r="32513" spans="25:25" hidden="1" x14ac:dyDescent="0.25">
      <c r="Y32513" s="501"/>
    </row>
    <row r="32514" spans="25:25" hidden="1" x14ac:dyDescent="0.25">
      <c r="Y32514" s="501"/>
    </row>
    <row r="32515" spans="25:25" hidden="1" x14ac:dyDescent="0.25">
      <c r="Y32515" s="501"/>
    </row>
    <row r="32516" spans="25:25" hidden="1" x14ac:dyDescent="0.25">
      <c r="Y32516" s="501"/>
    </row>
    <row r="32517" spans="25:25" hidden="1" x14ac:dyDescent="0.25">
      <c r="Y32517" s="501"/>
    </row>
    <row r="32518" spans="25:25" hidden="1" x14ac:dyDescent="0.25">
      <c r="Y32518" s="501"/>
    </row>
    <row r="32519" spans="25:25" hidden="1" x14ac:dyDescent="0.25">
      <c r="Y32519" s="501"/>
    </row>
    <row r="32520" spans="25:25" hidden="1" x14ac:dyDescent="0.25">
      <c r="Y32520" s="501"/>
    </row>
    <row r="32521" spans="25:25" hidden="1" x14ac:dyDescent="0.25">
      <c r="Y32521" s="501"/>
    </row>
    <row r="32522" spans="25:25" hidden="1" x14ac:dyDescent="0.25">
      <c r="Y32522" s="501"/>
    </row>
    <row r="32523" spans="25:25" hidden="1" x14ac:dyDescent="0.25">
      <c r="Y32523" s="501"/>
    </row>
    <row r="32524" spans="25:25" hidden="1" x14ac:dyDescent="0.25">
      <c r="Y32524" s="501"/>
    </row>
    <row r="32525" spans="25:25" hidden="1" x14ac:dyDescent="0.25">
      <c r="Y32525" s="501"/>
    </row>
    <row r="32526" spans="25:25" hidden="1" x14ac:dyDescent="0.25">
      <c r="Y32526" s="501"/>
    </row>
    <row r="32527" spans="25:25" hidden="1" x14ac:dyDescent="0.25">
      <c r="Y32527" s="501"/>
    </row>
    <row r="32528" spans="25:25" hidden="1" x14ac:dyDescent="0.25">
      <c r="Y32528" s="501"/>
    </row>
    <row r="32529" spans="25:25" hidden="1" x14ac:dyDescent="0.25">
      <c r="Y32529" s="501"/>
    </row>
    <row r="32530" spans="25:25" hidden="1" x14ac:dyDescent="0.25">
      <c r="Y32530" s="501"/>
    </row>
    <row r="32531" spans="25:25" hidden="1" x14ac:dyDescent="0.25">
      <c r="Y32531" s="501"/>
    </row>
    <row r="32532" spans="25:25" hidden="1" x14ac:dyDescent="0.25">
      <c r="Y32532" s="501"/>
    </row>
    <row r="32533" spans="25:25" hidden="1" x14ac:dyDescent="0.25">
      <c r="Y32533" s="501"/>
    </row>
    <row r="32534" spans="25:25" hidden="1" x14ac:dyDescent="0.25">
      <c r="Y32534" s="501"/>
    </row>
    <row r="32535" spans="25:25" hidden="1" x14ac:dyDescent="0.25">
      <c r="Y32535" s="501"/>
    </row>
    <row r="32536" spans="25:25" hidden="1" x14ac:dyDescent="0.25">
      <c r="Y32536" s="501"/>
    </row>
    <row r="32537" spans="25:25" hidden="1" x14ac:dyDescent="0.25">
      <c r="Y32537" s="501"/>
    </row>
    <row r="32538" spans="25:25" hidden="1" x14ac:dyDescent="0.25">
      <c r="Y32538" s="501"/>
    </row>
    <row r="32539" spans="25:25" hidden="1" x14ac:dyDescent="0.25">
      <c r="Y32539" s="501"/>
    </row>
    <row r="32540" spans="25:25" hidden="1" x14ac:dyDescent="0.25">
      <c r="Y32540" s="501"/>
    </row>
    <row r="32541" spans="25:25" hidden="1" x14ac:dyDescent="0.25">
      <c r="Y32541" s="501"/>
    </row>
    <row r="32542" spans="25:25" hidden="1" x14ac:dyDescent="0.25">
      <c r="Y32542" s="501"/>
    </row>
    <row r="32543" spans="25:25" hidden="1" x14ac:dyDescent="0.25">
      <c r="Y32543" s="501"/>
    </row>
    <row r="32544" spans="25:25" hidden="1" x14ac:dyDescent="0.25">
      <c r="Y32544" s="501"/>
    </row>
    <row r="32545" spans="25:25" hidden="1" x14ac:dyDescent="0.25">
      <c r="Y32545" s="501"/>
    </row>
    <row r="32546" spans="25:25" hidden="1" x14ac:dyDescent="0.25">
      <c r="Y32546" s="501"/>
    </row>
    <row r="32547" spans="25:25" hidden="1" x14ac:dyDescent="0.25">
      <c r="Y32547" s="501"/>
    </row>
    <row r="32548" spans="25:25" hidden="1" x14ac:dyDescent="0.25">
      <c r="Y32548" s="501"/>
    </row>
    <row r="32549" spans="25:25" hidden="1" x14ac:dyDescent="0.25">
      <c r="Y32549" s="501"/>
    </row>
    <row r="32550" spans="25:25" hidden="1" x14ac:dyDescent="0.25">
      <c r="Y32550" s="501"/>
    </row>
    <row r="32551" spans="25:25" hidden="1" x14ac:dyDescent="0.25">
      <c r="Y32551" s="501"/>
    </row>
    <row r="32552" spans="25:25" hidden="1" x14ac:dyDescent="0.25">
      <c r="Y32552" s="501"/>
    </row>
    <row r="32553" spans="25:25" hidden="1" x14ac:dyDescent="0.25">
      <c r="Y32553" s="501"/>
    </row>
    <row r="32554" spans="25:25" hidden="1" x14ac:dyDescent="0.25">
      <c r="Y32554" s="501"/>
    </row>
    <row r="32555" spans="25:25" hidden="1" x14ac:dyDescent="0.25">
      <c r="Y32555" s="501"/>
    </row>
    <row r="32556" spans="25:25" hidden="1" x14ac:dyDescent="0.25">
      <c r="Y32556" s="501"/>
    </row>
    <row r="32557" spans="25:25" hidden="1" x14ac:dyDescent="0.25">
      <c r="Y32557" s="501"/>
    </row>
    <row r="32558" spans="25:25" hidden="1" x14ac:dyDescent="0.25">
      <c r="Y32558" s="501"/>
    </row>
    <row r="32559" spans="25:25" hidden="1" x14ac:dyDescent="0.25">
      <c r="Y32559" s="501"/>
    </row>
    <row r="32560" spans="25:25" hidden="1" x14ac:dyDescent="0.25">
      <c r="Y32560" s="501"/>
    </row>
    <row r="32561" spans="25:25" hidden="1" x14ac:dyDescent="0.25">
      <c r="Y32561" s="501"/>
    </row>
    <row r="32562" spans="25:25" hidden="1" x14ac:dyDescent="0.25">
      <c r="Y32562" s="501"/>
    </row>
    <row r="32563" spans="25:25" hidden="1" x14ac:dyDescent="0.25">
      <c r="Y32563" s="501"/>
    </row>
    <row r="32564" spans="25:25" hidden="1" x14ac:dyDescent="0.25">
      <c r="Y32564" s="501"/>
    </row>
    <row r="32565" spans="25:25" hidden="1" x14ac:dyDescent="0.25">
      <c r="Y32565" s="501"/>
    </row>
    <row r="32566" spans="25:25" hidden="1" x14ac:dyDescent="0.25">
      <c r="Y32566" s="501"/>
    </row>
    <row r="32567" spans="25:25" hidden="1" x14ac:dyDescent="0.25">
      <c r="Y32567" s="501"/>
    </row>
    <row r="32568" spans="25:25" hidden="1" x14ac:dyDescent="0.25">
      <c r="Y32568" s="501"/>
    </row>
    <row r="32569" spans="25:25" hidden="1" x14ac:dyDescent="0.25">
      <c r="Y32569" s="501"/>
    </row>
    <row r="32570" spans="25:25" hidden="1" x14ac:dyDescent="0.25">
      <c r="Y32570" s="501"/>
    </row>
    <row r="32571" spans="25:25" hidden="1" x14ac:dyDescent="0.25">
      <c r="Y32571" s="501"/>
    </row>
    <row r="32572" spans="25:25" hidden="1" x14ac:dyDescent="0.25">
      <c r="Y32572" s="501"/>
    </row>
    <row r="32573" spans="25:25" hidden="1" x14ac:dyDescent="0.25">
      <c r="Y32573" s="501"/>
    </row>
    <row r="32574" spans="25:25" hidden="1" x14ac:dyDescent="0.25">
      <c r="Y32574" s="501"/>
    </row>
    <row r="32575" spans="25:25" hidden="1" x14ac:dyDescent="0.25">
      <c r="Y32575" s="501"/>
    </row>
    <row r="32576" spans="25:25" hidden="1" x14ac:dyDescent="0.25">
      <c r="Y32576" s="501"/>
    </row>
    <row r="32577" spans="25:25" hidden="1" x14ac:dyDescent="0.25">
      <c r="Y32577" s="501"/>
    </row>
    <row r="32578" spans="25:25" hidden="1" x14ac:dyDescent="0.25">
      <c r="Y32578" s="501"/>
    </row>
    <row r="32579" spans="25:25" hidden="1" x14ac:dyDescent="0.25">
      <c r="Y32579" s="501"/>
    </row>
    <row r="32580" spans="25:25" hidden="1" x14ac:dyDescent="0.25">
      <c r="Y32580" s="501"/>
    </row>
    <row r="32581" spans="25:25" hidden="1" x14ac:dyDescent="0.25">
      <c r="Y32581" s="501"/>
    </row>
    <row r="32582" spans="25:25" hidden="1" x14ac:dyDescent="0.25">
      <c r="Y32582" s="501"/>
    </row>
    <row r="32583" spans="25:25" hidden="1" x14ac:dyDescent="0.25">
      <c r="Y32583" s="501"/>
    </row>
    <row r="32584" spans="25:25" hidden="1" x14ac:dyDescent="0.25">
      <c r="Y32584" s="501"/>
    </row>
    <row r="32585" spans="25:25" hidden="1" x14ac:dyDescent="0.25">
      <c r="Y32585" s="501"/>
    </row>
    <row r="32586" spans="25:25" hidden="1" x14ac:dyDescent="0.25">
      <c r="Y32586" s="501"/>
    </row>
    <row r="32587" spans="25:25" hidden="1" x14ac:dyDescent="0.25">
      <c r="Y32587" s="501"/>
    </row>
    <row r="32588" spans="25:25" hidden="1" x14ac:dyDescent="0.25">
      <c r="Y32588" s="501"/>
    </row>
    <row r="32589" spans="25:25" hidden="1" x14ac:dyDescent="0.25">
      <c r="Y32589" s="501"/>
    </row>
    <row r="32590" spans="25:25" hidden="1" x14ac:dyDescent="0.25">
      <c r="Y32590" s="501"/>
    </row>
    <row r="32591" spans="25:25" hidden="1" x14ac:dyDescent="0.25">
      <c r="Y32591" s="501"/>
    </row>
    <row r="32592" spans="25:25" hidden="1" x14ac:dyDescent="0.25">
      <c r="Y32592" s="501"/>
    </row>
    <row r="32593" spans="25:25" hidden="1" x14ac:dyDescent="0.25">
      <c r="Y32593" s="501"/>
    </row>
    <row r="32594" spans="25:25" hidden="1" x14ac:dyDescent="0.25">
      <c r="Y32594" s="501"/>
    </row>
    <row r="32595" spans="25:25" hidden="1" x14ac:dyDescent="0.25">
      <c r="Y32595" s="501"/>
    </row>
    <row r="32596" spans="25:25" hidden="1" x14ac:dyDescent="0.25">
      <c r="Y32596" s="501"/>
    </row>
    <row r="32597" spans="25:25" hidden="1" x14ac:dyDescent="0.25">
      <c r="Y32597" s="501"/>
    </row>
    <row r="32598" spans="25:25" hidden="1" x14ac:dyDescent="0.25">
      <c r="Y32598" s="501"/>
    </row>
    <row r="32599" spans="25:25" hidden="1" x14ac:dyDescent="0.25">
      <c r="Y32599" s="501"/>
    </row>
    <row r="32600" spans="25:25" hidden="1" x14ac:dyDescent="0.25">
      <c r="Y32600" s="501"/>
    </row>
    <row r="32601" spans="25:25" hidden="1" x14ac:dyDescent="0.25">
      <c r="Y32601" s="501"/>
    </row>
    <row r="32602" spans="25:25" hidden="1" x14ac:dyDescent="0.25">
      <c r="Y32602" s="501"/>
    </row>
    <row r="32603" spans="25:25" hidden="1" x14ac:dyDescent="0.25">
      <c r="Y32603" s="501"/>
    </row>
    <row r="32604" spans="25:25" hidden="1" x14ac:dyDescent="0.25">
      <c r="Y32604" s="501"/>
    </row>
    <row r="32605" spans="25:25" hidden="1" x14ac:dyDescent="0.25">
      <c r="Y32605" s="501"/>
    </row>
    <row r="32606" spans="25:25" hidden="1" x14ac:dyDescent="0.25">
      <c r="Y32606" s="501"/>
    </row>
    <row r="32607" spans="25:25" hidden="1" x14ac:dyDescent="0.25">
      <c r="Y32607" s="501"/>
    </row>
    <row r="32608" spans="25:25" hidden="1" x14ac:dyDescent="0.25">
      <c r="Y32608" s="501"/>
    </row>
    <row r="32609" spans="25:25" hidden="1" x14ac:dyDescent="0.25">
      <c r="Y32609" s="501"/>
    </row>
    <row r="32610" spans="25:25" hidden="1" x14ac:dyDescent="0.25">
      <c r="Y32610" s="501"/>
    </row>
    <row r="32611" spans="25:25" hidden="1" x14ac:dyDescent="0.25">
      <c r="Y32611" s="501"/>
    </row>
    <row r="32612" spans="25:25" hidden="1" x14ac:dyDescent="0.25">
      <c r="Y32612" s="501"/>
    </row>
    <row r="32613" spans="25:25" hidden="1" x14ac:dyDescent="0.25">
      <c r="Y32613" s="501"/>
    </row>
    <row r="32614" spans="25:25" hidden="1" x14ac:dyDescent="0.25">
      <c r="Y32614" s="501"/>
    </row>
    <row r="32615" spans="25:25" hidden="1" x14ac:dyDescent="0.25">
      <c r="Y32615" s="501"/>
    </row>
    <row r="32616" spans="25:25" hidden="1" x14ac:dyDescent="0.25">
      <c r="Y32616" s="501"/>
    </row>
    <row r="32617" spans="25:25" hidden="1" x14ac:dyDescent="0.25">
      <c r="Y32617" s="501"/>
    </row>
    <row r="32618" spans="25:25" hidden="1" x14ac:dyDescent="0.25">
      <c r="Y32618" s="501"/>
    </row>
    <row r="32619" spans="25:25" hidden="1" x14ac:dyDescent="0.25">
      <c r="Y32619" s="501"/>
    </row>
    <row r="32620" spans="25:25" hidden="1" x14ac:dyDescent="0.25">
      <c r="Y32620" s="501"/>
    </row>
    <row r="32621" spans="25:25" hidden="1" x14ac:dyDescent="0.25">
      <c r="Y32621" s="501"/>
    </row>
    <row r="32622" spans="25:25" hidden="1" x14ac:dyDescent="0.25">
      <c r="Y32622" s="501"/>
    </row>
    <row r="32623" spans="25:25" hidden="1" x14ac:dyDescent="0.25">
      <c r="Y32623" s="501"/>
    </row>
    <row r="32624" spans="25:25" hidden="1" x14ac:dyDescent="0.25">
      <c r="Y32624" s="501"/>
    </row>
    <row r="32625" spans="25:25" hidden="1" x14ac:dyDescent="0.25">
      <c r="Y32625" s="501"/>
    </row>
    <row r="32626" spans="25:25" hidden="1" x14ac:dyDescent="0.25">
      <c r="Y32626" s="501"/>
    </row>
    <row r="32627" spans="25:25" hidden="1" x14ac:dyDescent="0.25">
      <c r="Y32627" s="501"/>
    </row>
    <row r="32628" spans="25:25" hidden="1" x14ac:dyDescent="0.25">
      <c r="Y32628" s="501"/>
    </row>
    <row r="32629" spans="25:25" hidden="1" x14ac:dyDescent="0.25">
      <c r="Y32629" s="501"/>
    </row>
    <row r="32630" spans="25:25" hidden="1" x14ac:dyDescent="0.25">
      <c r="Y32630" s="501"/>
    </row>
    <row r="32631" spans="25:25" hidden="1" x14ac:dyDescent="0.25">
      <c r="Y32631" s="501"/>
    </row>
    <row r="32632" spans="25:25" hidden="1" x14ac:dyDescent="0.25">
      <c r="Y32632" s="501"/>
    </row>
    <row r="32633" spans="25:25" hidden="1" x14ac:dyDescent="0.25">
      <c r="Y32633" s="501"/>
    </row>
    <row r="32634" spans="25:25" hidden="1" x14ac:dyDescent="0.25">
      <c r="Y32634" s="501"/>
    </row>
    <row r="32635" spans="25:25" hidden="1" x14ac:dyDescent="0.25">
      <c r="Y32635" s="501"/>
    </row>
    <row r="32636" spans="25:25" hidden="1" x14ac:dyDescent="0.25">
      <c r="Y32636" s="501"/>
    </row>
    <row r="32637" spans="25:25" hidden="1" x14ac:dyDescent="0.25">
      <c r="Y32637" s="501"/>
    </row>
    <row r="32638" spans="25:25" hidden="1" x14ac:dyDescent="0.25">
      <c r="Y32638" s="501"/>
    </row>
    <row r="32639" spans="25:25" hidden="1" x14ac:dyDescent="0.25">
      <c r="Y32639" s="501"/>
    </row>
    <row r="32640" spans="25:25" hidden="1" x14ac:dyDescent="0.25">
      <c r="Y32640" s="501"/>
    </row>
    <row r="32641" spans="25:25" hidden="1" x14ac:dyDescent="0.25">
      <c r="Y32641" s="501"/>
    </row>
    <row r="32642" spans="25:25" hidden="1" x14ac:dyDescent="0.25">
      <c r="Y32642" s="501"/>
    </row>
    <row r="32643" spans="25:25" hidden="1" x14ac:dyDescent="0.25">
      <c r="Y32643" s="501"/>
    </row>
    <row r="32644" spans="25:25" hidden="1" x14ac:dyDescent="0.25">
      <c r="Y32644" s="501"/>
    </row>
    <row r="32645" spans="25:25" hidden="1" x14ac:dyDescent="0.25">
      <c r="Y32645" s="501"/>
    </row>
    <row r="32646" spans="25:25" hidden="1" x14ac:dyDescent="0.25">
      <c r="Y32646" s="501"/>
    </row>
    <row r="32647" spans="25:25" hidden="1" x14ac:dyDescent="0.25">
      <c r="Y32647" s="501"/>
    </row>
    <row r="32648" spans="25:25" hidden="1" x14ac:dyDescent="0.25">
      <c r="Y32648" s="501"/>
    </row>
    <row r="32649" spans="25:25" hidden="1" x14ac:dyDescent="0.25">
      <c r="Y32649" s="501"/>
    </row>
    <row r="32650" spans="25:25" hidden="1" x14ac:dyDescent="0.25">
      <c r="Y32650" s="501"/>
    </row>
    <row r="32651" spans="25:25" hidden="1" x14ac:dyDescent="0.25">
      <c r="Y32651" s="501"/>
    </row>
    <row r="32652" spans="25:25" hidden="1" x14ac:dyDescent="0.25">
      <c r="Y32652" s="501"/>
    </row>
    <row r="32653" spans="25:25" hidden="1" x14ac:dyDescent="0.25">
      <c r="Y32653" s="501"/>
    </row>
    <row r="32654" spans="25:25" hidden="1" x14ac:dyDescent="0.25">
      <c r="Y32654" s="501"/>
    </row>
    <row r="32655" spans="25:25" hidden="1" x14ac:dyDescent="0.25">
      <c r="Y32655" s="501"/>
    </row>
    <row r="32656" spans="25:25" hidden="1" x14ac:dyDescent="0.25">
      <c r="Y32656" s="501"/>
    </row>
    <row r="32657" spans="25:25" hidden="1" x14ac:dyDescent="0.25">
      <c r="Y32657" s="501"/>
    </row>
    <row r="32658" spans="25:25" hidden="1" x14ac:dyDescent="0.25">
      <c r="Y32658" s="501"/>
    </row>
    <row r="32659" spans="25:25" hidden="1" x14ac:dyDescent="0.25">
      <c r="Y32659" s="501"/>
    </row>
    <row r="32660" spans="25:25" hidden="1" x14ac:dyDescent="0.25">
      <c r="Y32660" s="501"/>
    </row>
    <row r="32661" spans="25:25" hidden="1" x14ac:dyDescent="0.25">
      <c r="Y32661" s="501"/>
    </row>
    <row r="32662" spans="25:25" hidden="1" x14ac:dyDescent="0.25">
      <c r="Y32662" s="501"/>
    </row>
    <row r="32663" spans="25:25" hidden="1" x14ac:dyDescent="0.25">
      <c r="Y32663" s="501"/>
    </row>
    <row r="32664" spans="25:25" hidden="1" x14ac:dyDescent="0.25">
      <c r="Y32664" s="501"/>
    </row>
    <row r="32665" spans="25:25" hidden="1" x14ac:dyDescent="0.25">
      <c r="Y32665" s="501"/>
    </row>
    <row r="32666" spans="25:25" hidden="1" x14ac:dyDescent="0.25">
      <c r="Y32666" s="501"/>
    </row>
    <row r="32667" spans="25:25" hidden="1" x14ac:dyDescent="0.25">
      <c r="Y32667" s="501"/>
    </row>
    <row r="32668" spans="25:25" hidden="1" x14ac:dyDescent="0.25">
      <c r="Y32668" s="501"/>
    </row>
    <row r="32669" spans="25:25" hidden="1" x14ac:dyDescent="0.25">
      <c r="Y32669" s="501"/>
    </row>
    <row r="32670" spans="25:25" hidden="1" x14ac:dyDescent="0.25">
      <c r="Y32670" s="501"/>
    </row>
    <row r="32671" spans="25:25" hidden="1" x14ac:dyDescent="0.25">
      <c r="Y32671" s="501"/>
    </row>
    <row r="32672" spans="25:25" hidden="1" x14ac:dyDescent="0.25">
      <c r="Y32672" s="501"/>
    </row>
    <row r="32673" spans="25:25" hidden="1" x14ac:dyDescent="0.25">
      <c r="Y32673" s="501"/>
    </row>
    <row r="32674" spans="25:25" hidden="1" x14ac:dyDescent="0.25">
      <c r="Y32674" s="501"/>
    </row>
    <row r="32675" spans="25:25" hidden="1" x14ac:dyDescent="0.25">
      <c r="Y32675" s="501"/>
    </row>
    <row r="32676" spans="25:25" hidden="1" x14ac:dyDescent="0.25">
      <c r="Y32676" s="501"/>
    </row>
    <row r="32677" spans="25:25" hidden="1" x14ac:dyDescent="0.25">
      <c r="Y32677" s="501"/>
    </row>
    <row r="32678" spans="25:25" hidden="1" x14ac:dyDescent="0.25">
      <c r="Y32678" s="501"/>
    </row>
    <row r="32679" spans="25:25" hidden="1" x14ac:dyDescent="0.25">
      <c r="Y32679" s="501"/>
    </row>
    <row r="32680" spans="25:25" hidden="1" x14ac:dyDescent="0.25">
      <c r="Y32680" s="501"/>
    </row>
    <row r="32681" spans="25:25" hidden="1" x14ac:dyDescent="0.25">
      <c r="Y32681" s="501"/>
    </row>
    <row r="32682" spans="25:25" hidden="1" x14ac:dyDescent="0.25">
      <c r="Y32682" s="501"/>
    </row>
    <row r="32683" spans="25:25" hidden="1" x14ac:dyDescent="0.25">
      <c r="Y32683" s="501"/>
    </row>
    <row r="32684" spans="25:25" hidden="1" x14ac:dyDescent="0.25">
      <c r="Y32684" s="501"/>
    </row>
    <row r="32685" spans="25:25" hidden="1" x14ac:dyDescent="0.25">
      <c r="Y32685" s="501"/>
    </row>
    <row r="32686" spans="25:25" hidden="1" x14ac:dyDescent="0.25">
      <c r="Y32686" s="501"/>
    </row>
    <row r="32687" spans="25:25" hidden="1" x14ac:dyDescent="0.25">
      <c r="Y32687" s="501"/>
    </row>
    <row r="32688" spans="25:25" hidden="1" x14ac:dyDescent="0.25">
      <c r="Y32688" s="501"/>
    </row>
    <row r="32689" spans="25:25" hidden="1" x14ac:dyDescent="0.25">
      <c r="Y32689" s="501"/>
    </row>
    <row r="32690" spans="25:25" hidden="1" x14ac:dyDescent="0.25">
      <c r="Y32690" s="501"/>
    </row>
    <row r="32691" spans="25:25" hidden="1" x14ac:dyDescent="0.25">
      <c r="Y32691" s="501"/>
    </row>
    <row r="32692" spans="25:25" hidden="1" x14ac:dyDescent="0.25">
      <c r="Y32692" s="501"/>
    </row>
    <row r="32693" spans="25:25" hidden="1" x14ac:dyDescent="0.25">
      <c r="Y32693" s="501"/>
    </row>
    <row r="32694" spans="25:25" hidden="1" x14ac:dyDescent="0.25">
      <c r="Y32694" s="501"/>
    </row>
    <row r="32695" spans="25:25" hidden="1" x14ac:dyDescent="0.25">
      <c r="Y32695" s="501"/>
    </row>
    <row r="32696" spans="25:25" hidden="1" x14ac:dyDescent="0.25">
      <c r="Y32696" s="501"/>
    </row>
    <row r="32697" spans="25:25" hidden="1" x14ac:dyDescent="0.25">
      <c r="Y32697" s="501"/>
    </row>
    <row r="32698" spans="25:25" hidden="1" x14ac:dyDescent="0.25">
      <c r="Y32698" s="501"/>
    </row>
    <row r="32699" spans="25:25" hidden="1" x14ac:dyDescent="0.25">
      <c r="Y32699" s="501"/>
    </row>
    <row r="32700" spans="25:25" hidden="1" x14ac:dyDescent="0.25">
      <c r="Y32700" s="501"/>
    </row>
    <row r="32701" spans="25:25" hidden="1" x14ac:dyDescent="0.25">
      <c r="Y32701" s="501"/>
    </row>
    <row r="32702" spans="25:25" hidden="1" x14ac:dyDescent="0.25">
      <c r="Y32702" s="501"/>
    </row>
    <row r="32703" spans="25:25" hidden="1" x14ac:dyDescent="0.25">
      <c r="Y32703" s="501"/>
    </row>
    <row r="32704" spans="25:25" hidden="1" x14ac:dyDescent="0.25">
      <c r="Y32704" s="501"/>
    </row>
    <row r="32705" spans="25:25" hidden="1" x14ac:dyDescent="0.25">
      <c r="Y32705" s="501"/>
    </row>
    <row r="32706" spans="25:25" hidden="1" x14ac:dyDescent="0.25">
      <c r="Y32706" s="501"/>
    </row>
    <row r="32707" spans="25:25" hidden="1" x14ac:dyDescent="0.25">
      <c r="Y32707" s="501"/>
    </row>
    <row r="32708" spans="25:25" hidden="1" x14ac:dyDescent="0.25">
      <c r="Y32708" s="501"/>
    </row>
    <row r="32709" spans="25:25" hidden="1" x14ac:dyDescent="0.25">
      <c r="Y32709" s="501"/>
    </row>
    <row r="32710" spans="25:25" hidden="1" x14ac:dyDescent="0.25">
      <c r="Y32710" s="501"/>
    </row>
    <row r="32711" spans="25:25" hidden="1" x14ac:dyDescent="0.25">
      <c r="Y32711" s="501"/>
    </row>
    <row r="32712" spans="25:25" hidden="1" x14ac:dyDescent="0.25">
      <c r="Y32712" s="501"/>
    </row>
    <row r="32713" spans="25:25" hidden="1" x14ac:dyDescent="0.25">
      <c r="Y32713" s="501"/>
    </row>
    <row r="32714" spans="25:25" hidden="1" x14ac:dyDescent="0.25">
      <c r="Y32714" s="501"/>
    </row>
    <row r="32715" spans="25:25" hidden="1" x14ac:dyDescent="0.25">
      <c r="Y32715" s="501"/>
    </row>
    <row r="32716" spans="25:25" hidden="1" x14ac:dyDescent="0.25">
      <c r="Y32716" s="501"/>
    </row>
    <row r="32717" spans="25:25" hidden="1" x14ac:dyDescent="0.25">
      <c r="Y32717" s="501"/>
    </row>
    <row r="32718" spans="25:25" hidden="1" x14ac:dyDescent="0.25">
      <c r="Y32718" s="501"/>
    </row>
    <row r="32719" spans="25:25" hidden="1" x14ac:dyDescent="0.25">
      <c r="Y32719" s="501"/>
    </row>
    <row r="32720" spans="25:25" hidden="1" x14ac:dyDescent="0.25">
      <c r="Y32720" s="501"/>
    </row>
    <row r="32721" spans="25:25" hidden="1" x14ac:dyDescent="0.25">
      <c r="Y32721" s="501"/>
    </row>
    <row r="32722" spans="25:25" hidden="1" x14ac:dyDescent="0.25">
      <c r="Y32722" s="501"/>
    </row>
    <row r="32723" spans="25:25" hidden="1" x14ac:dyDescent="0.25">
      <c r="Y32723" s="501"/>
    </row>
    <row r="32724" spans="25:25" hidden="1" x14ac:dyDescent="0.25">
      <c r="Y32724" s="501"/>
    </row>
    <row r="32725" spans="25:25" hidden="1" x14ac:dyDescent="0.25">
      <c r="Y32725" s="501"/>
    </row>
    <row r="32726" spans="25:25" hidden="1" x14ac:dyDescent="0.25">
      <c r="Y32726" s="501"/>
    </row>
    <row r="32727" spans="25:25" hidden="1" x14ac:dyDescent="0.25">
      <c r="Y32727" s="501"/>
    </row>
    <row r="32728" spans="25:25" hidden="1" x14ac:dyDescent="0.25">
      <c r="Y32728" s="501"/>
    </row>
    <row r="32729" spans="25:25" hidden="1" x14ac:dyDescent="0.25">
      <c r="Y32729" s="501"/>
    </row>
    <row r="32730" spans="25:25" hidden="1" x14ac:dyDescent="0.25">
      <c r="Y32730" s="501"/>
    </row>
    <row r="32731" spans="25:25" hidden="1" x14ac:dyDescent="0.25">
      <c r="Y32731" s="501"/>
    </row>
    <row r="32732" spans="25:25" hidden="1" x14ac:dyDescent="0.25">
      <c r="Y32732" s="501"/>
    </row>
    <row r="32733" spans="25:25" hidden="1" x14ac:dyDescent="0.25">
      <c r="Y32733" s="501"/>
    </row>
    <row r="32734" spans="25:25" hidden="1" x14ac:dyDescent="0.25">
      <c r="Y32734" s="501"/>
    </row>
    <row r="32735" spans="25:25" hidden="1" x14ac:dyDescent="0.25">
      <c r="Y32735" s="501"/>
    </row>
    <row r="32736" spans="25:25" hidden="1" x14ac:dyDescent="0.25">
      <c r="Y32736" s="501"/>
    </row>
    <row r="32737" spans="25:25" hidden="1" x14ac:dyDescent="0.25">
      <c r="Y32737" s="501"/>
    </row>
    <row r="32738" spans="25:25" hidden="1" x14ac:dyDescent="0.25">
      <c r="Y32738" s="501"/>
    </row>
    <row r="32739" spans="25:25" hidden="1" x14ac:dyDescent="0.25">
      <c r="Y32739" s="501"/>
    </row>
    <row r="32740" spans="25:25" hidden="1" x14ac:dyDescent="0.25">
      <c r="Y32740" s="501"/>
    </row>
    <row r="32741" spans="25:25" hidden="1" x14ac:dyDescent="0.25">
      <c r="Y32741" s="501"/>
    </row>
    <row r="32742" spans="25:25" hidden="1" x14ac:dyDescent="0.25">
      <c r="Y32742" s="501"/>
    </row>
    <row r="32743" spans="25:25" hidden="1" x14ac:dyDescent="0.25">
      <c r="Y32743" s="501"/>
    </row>
    <row r="32744" spans="25:25" hidden="1" x14ac:dyDescent="0.25">
      <c r="Y32744" s="501"/>
    </row>
    <row r="32745" spans="25:25" hidden="1" x14ac:dyDescent="0.25">
      <c r="Y32745" s="501"/>
    </row>
    <row r="32746" spans="25:25" hidden="1" x14ac:dyDescent="0.25">
      <c r="Y32746" s="501"/>
    </row>
    <row r="32747" spans="25:25" hidden="1" x14ac:dyDescent="0.25">
      <c r="Y32747" s="501"/>
    </row>
    <row r="32748" spans="25:25" hidden="1" x14ac:dyDescent="0.25">
      <c r="Y32748" s="501"/>
    </row>
    <row r="32749" spans="25:25" hidden="1" x14ac:dyDescent="0.25">
      <c r="Y32749" s="501"/>
    </row>
    <row r="32750" spans="25:25" hidden="1" x14ac:dyDescent="0.25">
      <c r="Y32750" s="501"/>
    </row>
    <row r="32751" spans="25:25" hidden="1" x14ac:dyDescent="0.25">
      <c r="Y32751" s="501"/>
    </row>
    <row r="32752" spans="25:25" hidden="1" x14ac:dyDescent="0.25">
      <c r="Y32752" s="501"/>
    </row>
    <row r="32753" spans="25:25" hidden="1" x14ac:dyDescent="0.25">
      <c r="Y32753" s="501"/>
    </row>
    <row r="32754" spans="25:25" hidden="1" x14ac:dyDescent="0.25">
      <c r="Y32754" s="501"/>
    </row>
    <row r="32755" spans="25:25" hidden="1" x14ac:dyDescent="0.25">
      <c r="Y32755" s="501"/>
    </row>
    <row r="32756" spans="25:25" hidden="1" x14ac:dyDescent="0.25">
      <c r="Y32756" s="501"/>
    </row>
    <row r="32757" spans="25:25" hidden="1" x14ac:dyDescent="0.25">
      <c r="Y32757" s="501"/>
    </row>
    <row r="32758" spans="25:25" hidden="1" x14ac:dyDescent="0.25">
      <c r="Y32758" s="501"/>
    </row>
    <row r="32759" spans="25:25" hidden="1" x14ac:dyDescent="0.25">
      <c r="Y32759" s="501"/>
    </row>
    <row r="32760" spans="25:25" hidden="1" x14ac:dyDescent="0.25">
      <c r="Y32760" s="501"/>
    </row>
    <row r="32761" spans="25:25" hidden="1" x14ac:dyDescent="0.25">
      <c r="Y32761" s="501"/>
    </row>
    <row r="32762" spans="25:25" hidden="1" x14ac:dyDescent="0.25">
      <c r="Y32762" s="501"/>
    </row>
    <row r="32763" spans="25:25" hidden="1" x14ac:dyDescent="0.25">
      <c r="Y32763" s="501"/>
    </row>
    <row r="32764" spans="25:25" hidden="1" x14ac:dyDescent="0.25">
      <c r="Y32764" s="501"/>
    </row>
    <row r="32765" spans="25:25" hidden="1" x14ac:dyDescent="0.25">
      <c r="Y32765" s="501"/>
    </row>
    <row r="32766" spans="25:25" hidden="1" x14ac:dyDescent="0.25">
      <c r="Y32766" s="501"/>
    </row>
    <row r="32767" spans="25:25" hidden="1" x14ac:dyDescent="0.25">
      <c r="Y32767" s="501"/>
    </row>
    <row r="32768" spans="25:25" hidden="1" x14ac:dyDescent="0.25">
      <c r="Y32768" s="501"/>
    </row>
    <row r="32769" spans="25:25" hidden="1" x14ac:dyDescent="0.25">
      <c r="Y32769" s="501"/>
    </row>
    <row r="32770" spans="25:25" hidden="1" x14ac:dyDescent="0.25">
      <c r="Y32770" s="501"/>
    </row>
    <row r="32771" spans="25:25" hidden="1" x14ac:dyDescent="0.25">
      <c r="Y32771" s="501"/>
    </row>
    <row r="32772" spans="25:25" hidden="1" x14ac:dyDescent="0.25">
      <c r="Y32772" s="501"/>
    </row>
    <row r="32773" spans="25:25" hidden="1" x14ac:dyDescent="0.25">
      <c r="Y32773" s="501"/>
    </row>
    <row r="32774" spans="25:25" hidden="1" x14ac:dyDescent="0.25">
      <c r="Y32774" s="501"/>
    </row>
    <row r="32775" spans="25:25" hidden="1" x14ac:dyDescent="0.25">
      <c r="Y32775" s="501"/>
    </row>
    <row r="32776" spans="25:25" hidden="1" x14ac:dyDescent="0.25">
      <c r="Y32776" s="501"/>
    </row>
    <row r="32777" spans="25:25" hidden="1" x14ac:dyDescent="0.25">
      <c r="Y32777" s="501"/>
    </row>
    <row r="32778" spans="25:25" hidden="1" x14ac:dyDescent="0.25">
      <c r="Y32778" s="501"/>
    </row>
    <row r="32779" spans="25:25" hidden="1" x14ac:dyDescent="0.25">
      <c r="Y32779" s="501"/>
    </row>
    <row r="32780" spans="25:25" hidden="1" x14ac:dyDescent="0.25">
      <c r="Y32780" s="501"/>
    </row>
    <row r="32781" spans="25:25" hidden="1" x14ac:dyDescent="0.25">
      <c r="Y32781" s="501"/>
    </row>
    <row r="32782" spans="25:25" hidden="1" x14ac:dyDescent="0.25">
      <c r="Y32782" s="501"/>
    </row>
    <row r="32783" spans="25:25" hidden="1" x14ac:dyDescent="0.25">
      <c r="Y32783" s="501"/>
    </row>
    <row r="32784" spans="25:25" hidden="1" x14ac:dyDescent="0.25">
      <c r="Y32784" s="501"/>
    </row>
    <row r="32785" spans="25:25" hidden="1" x14ac:dyDescent="0.25">
      <c r="Y32785" s="501"/>
    </row>
    <row r="32786" spans="25:25" hidden="1" x14ac:dyDescent="0.25">
      <c r="Y32786" s="501"/>
    </row>
    <row r="32787" spans="25:25" hidden="1" x14ac:dyDescent="0.25">
      <c r="Y32787" s="501"/>
    </row>
    <row r="32788" spans="25:25" hidden="1" x14ac:dyDescent="0.25">
      <c r="Y32788" s="501"/>
    </row>
    <row r="32789" spans="25:25" hidden="1" x14ac:dyDescent="0.25">
      <c r="Y32789" s="501"/>
    </row>
    <row r="32790" spans="25:25" hidden="1" x14ac:dyDescent="0.25">
      <c r="Y32790" s="501"/>
    </row>
    <row r="32791" spans="25:25" hidden="1" x14ac:dyDescent="0.25">
      <c r="Y32791" s="501"/>
    </row>
    <row r="32792" spans="25:25" hidden="1" x14ac:dyDescent="0.25">
      <c r="Y32792" s="501"/>
    </row>
    <row r="32793" spans="25:25" hidden="1" x14ac:dyDescent="0.25">
      <c r="Y32793" s="501"/>
    </row>
    <row r="32794" spans="25:25" hidden="1" x14ac:dyDescent="0.25">
      <c r="Y32794" s="501"/>
    </row>
    <row r="32795" spans="25:25" hidden="1" x14ac:dyDescent="0.25">
      <c r="Y32795" s="501"/>
    </row>
    <row r="32796" spans="25:25" hidden="1" x14ac:dyDescent="0.25">
      <c r="Y32796" s="501"/>
    </row>
    <row r="32797" spans="25:25" hidden="1" x14ac:dyDescent="0.25">
      <c r="Y32797" s="501"/>
    </row>
    <row r="32798" spans="25:25" hidden="1" x14ac:dyDescent="0.25">
      <c r="Y32798" s="501"/>
    </row>
    <row r="32799" spans="25:25" hidden="1" x14ac:dyDescent="0.25">
      <c r="Y32799" s="501"/>
    </row>
    <row r="32800" spans="25:25" hidden="1" x14ac:dyDescent="0.25">
      <c r="Y32800" s="501"/>
    </row>
    <row r="32801" spans="25:25" hidden="1" x14ac:dyDescent="0.25">
      <c r="Y32801" s="501"/>
    </row>
    <row r="32802" spans="25:25" hidden="1" x14ac:dyDescent="0.25">
      <c r="Y32802" s="501"/>
    </row>
    <row r="32803" spans="25:25" hidden="1" x14ac:dyDescent="0.25">
      <c r="Y32803" s="501"/>
    </row>
    <row r="32804" spans="25:25" hidden="1" x14ac:dyDescent="0.25">
      <c r="Y32804" s="501"/>
    </row>
    <row r="32805" spans="25:25" hidden="1" x14ac:dyDescent="0.25">
      <c r="Y32805" s="501"/>
    </row>
    <row r="32806" spans="25:25" hidden="1" x14ac:dyDescent="0.25">
      <c r="Y32806" s="501"/>
    </row>
    <row r="32807" spans="25:25" hidden="1" x14ac:dyDescent="0.25">
      <c r="Y32807" s="501"/>
    </row>
    <row r="32808" spans="25:25" hidden="1" x14ac:dyDescent="0.25">
      <c r="Y32808" s="501"/>
    </row>
    <row r="32809" spans="25:25" hidden="1" x14ac:dyDescent="0.25">
      <c r="Y32809" s="501"/>
    </row>
    <row r="32810" spans="25:25" hidden="1" x14ac:dyDescent="0.25">
      <c r="Y32810" s="501"/>
    </row>
    <row r="32811" spans="25:25" hidden="1" x14ac:dyDescent="0.25">
      <c r="Y32811" s="501"/>
    </row>
    <row r="32812" spans="25:25" hidden="1" x14ac:dyDescent="0.25">
      <c r="Y32812" s="501"/>
    </row>
    <row r="32813" spans="25:25" hidden="1" x14ac:dyDescent="0.25">
      <c r="Y32813" s="501"/>
    </row>
    <row r="32814" spans="25:25" hidden="1" x14ac:dyDescent="0.25">
      <c r="Y32814" s="501"/>
    </row>
    <row r="32815" spans="25:25" hidden="1" x14ac:dyDescent="0.25">
      <c r="Y32815" s="501"/>
    </row>
    <row r="32816" spans="25:25" hidden="1" x14ac:dyDescent="0.25">
      <c r="Y32816" s="501"/>
    </row>
    <row r="32817" spans="25:25" hidden="1" x14ac:dyDescent="0.25">
      <c r="Y32817" s="501"/>
    </row>
    <row r="32818" spans="25:25" hidden="1" x14ac:dyDescent="0.25">
      <c r="Y32818" s="501"/>
    </row>
    <row r="32819" spans="25:25" hidden="1" x14ac:dyDescent="0.25">
      <c r="Y32819" s="501"/>
    </row>
    <row r="32820" spans="25:25" hidden="1" x14ac:dyDescent="0.25">
      <c r="Y32820" s="501"/>
    </row>
    <row r="32821" spans="25:25" hidden="1" x14ac:dyDescent="0.25">
      <c r="Y32821" s="501"/>
    </row>
    <row r="32822" spans="25:25" hidden="1" x14ac:dyDescent="0.25">
      <c r="Y32822" s="501"/>
    </row>
    <row r="32823" spans="25:25" hidden="1" x14ac:dyDescent="0.25">
      <c r="Y32823" s="501"/>
    </row>
    <row r="32824" spans="25:25" hidden="1" x14ac:dyDescent="0.25">
      <c r="Y32824" s="501"/>
    </row>
    <row r="32825" spans="25:25" hidden="1" x14ac:dyDescent="0.25">
      <c r="Y32825" s="501"/>
    </row>
    <row r="32826" spans="25:25" hidden="1" x14ac:dyDescent="0.25">
      <c r="Y32826" s="501"/>
    </row>
    <row r="32827" spans="25:25" hidden="1" x14ac:dyDescent="0.25">
      <c r="Y32827" s="501"/>
    </row>
    <row r="32828" spans="25:25" hidden="1" x14ac:dyDescent="0.25">
      <c r="Y32828" s="501"/>
    </row>
    <row r="32829" spans="25:25" hidden="1" x14ac:dyDescent="0.25">
      <c r="Y32829" s="501"/>
    </row>
    <row r="32830" spans="25:25" hidden="1" x14ac:dyDescent="0.25">
      <c r="Y32830" s="501"/>
    </row>
    <row r="32831" spans="25:25" hidden="1" x14ac:dyDescent="0.25">
      <c r="Y32831" s="501"/>
    </row>
    <row r="32832" spans="25:25" hidden="1" x14ac:dyDescent="0.25">
      <c r="Y32832" s="501"/>
    </row>
    <row r="32833" spans="25:25" hidden="1" x14ac:dyDescent="0.25">
      <c r="Y32833" s="501"/>
    </row>
    <row r="32834" spans="25:25" hidden="1" x14ac:dyDescent="0.25">
      <c r="Y32834" s="501"/>
    </row>
    <row r="32835" spans="25:25" hidden="1" x14ac:dyDescent="0.25">
      <c r="Y32835" s="501"/>
    </row>
    <row r="32836" spans="25:25" hidden="1" x14ac:dyDescent="0.25">
      <c r="Y32836" s="501"/>
    </row>
    <row r="32837" spans="25:25" hidden="1" x14ac:dyDescent="0.25">
      <c r="Y32837" s="501"/>
    </row>
    <row r="32838" spans="25:25" hidden="1" x14ac:dyDescent="0.25">
      <c r="Y32838" s="501"/>
    </row>
    <row r="32839" spans="25:25" hidden="1" x14ac:dyDescent="0.25">
      <c r="Y32839" s="501"/>
    </row>
    <row r="32840" spans="25:25" hidden="1" x14ac:dyDescent="0.25">
      <c r="Y32840" s="501"/>
    </row>
    <row r="32841" spans="25:25" hidden="1" x14ac:dyDescent="0.25">
      <c r="Y32841" s="501"/>
    </row>
    <row r="32842" spans="25:25" hidden="1" x14ac:dyDescent="0.25">
      <c r="Y32842" s="501"/>
    </row>
    <row r="32843" spans="25:25" hidden="1" x14ac:dyDescent="0.25">
      <c r="Y32843" s="501"/>
    </row>
    <row r="32844" spans="25:25" hidden="1" x14ac:dyDescent="0.25">
      <c r="Y32844" s="501"/>
    </row>
    <row r="32845" spans="25:25" hidden="1" x14ac:dyDescent="0.25">
      <c r="Y32845" s="501"/>
    </row>
    <row r="32846" spans="25:25" hidden="1" x14ac:dyDescent="0.25">
      <c r="Y32846" s="501"/>
    </row>
    <row r="32847" spans="25:25" hidden="1" x14ac:dyDescent="0.25">
      <c r="Y32847" s="501"/>
    </row>
    <row r="32848" spans="25:25" hidden="1" x14ac:dyDescent="0.25">
      <c r="Y32848" s="501"/>
    </row>
    <row r="32849" spans="25:25" hidden="1" x14ac:dyDescent="0.25">
      <c r="Y32849" s="501"/>
    </row>
    <row r="32850" spans="25:25" hidden="1" x14ac:dyDescent="0.25">
      <c r="Y32850" s="501"/>
    </row>
    <row r="32851" spans="25:25" hidden="1" x14ac:dyDescent="0.25">
      <c r="Y32851" s="501"/>
    </row>
    <row r="32852" spans="25:25" hidden="1" x14ac:dyDescent="0.25">
      <c r="Y32852" s="501"/>
    </row>
    <row r="32853" spans="25:25" hidden="1" x14ac:dyDescent="0.25">
      <c r="Y32853" s="501"/>
    </row>
    <row r="32854" spans="25:25" hidden="1" x14ac:dyDescent="0.25">
      <c r="Y32854" s="501"/>
    </row>
    <row r="32855" spans="25:25" hidden="1" x14ac:dyDescent="0.25">
      <c r="Y32855" s="501"/>
    </row>
    <row r="32856" spans="25:25" hidden="1" x14ac:dyDescent="0.25">
      <c r="Y32856" s="501"/>
    </row>
    <row r="32857" spans="25:25" hidden="1" x14ac:dyDescent="0.25">
      <c r="Y32857" s="501"/>
    </row>
    <row r="32858" spans="25:25" hidden="1" x14ac:dyDescent="0.25">
      <c r="Y32858" s="501"/>
    </row>
    <row r="32859" spans="25:25" hidden="1" x14ac:dyDescent="0.25">
      <c r="Y32859" s="501"/>
    </row>
    <row r="32860" spans="25:25" hidden="1" x14ac:dyDescent="0.25">
      <c r="Y32860" s="501"/>
    </row>
    <row r="32861" spans="25:25" hidden="1" x14ac:dyDescent="0.25">
      <c r="Y32861" s="501"/>
    </row>
    <row r="32862" spans="25:25" hidden="1" x14ac:dyDescent="0.25">
      <c r="Y32862" s="501"/>
    </row>
    <row r="32863" spans="25:25" hidden="1" x14ac:dyDescent="0.25">
      <c r="Y32863" s="501"/>
    </row>
    <row r="32864" spans="25:25" hidden="1" x14ac:dyDescent="0.25">
      <c r="Y32864" s="501"/>
    </row>
    <row r="32865" spans="25:25" hidden="1" x14ac:dyDescent="0.25">
      <c r="Y32865" s="501"/>
    </row>
    <row r="32866" spans="25:25" hidden="1" x14ac:dyDescent="0.25">
      <c r="Y32866" s="501"/>
    </row>
    <row r="32867" spans="25:25" hidden="1" x14ac:dyDescent="0.25">
      <c r="Y32867" s="501"/>
    </row>
    <row r="32868" spans="25:25" hidden="1" x14ac:dyDescent="0.25">
      <c r="Y32868" s="501"/>
    </row>
    <row r="32869" spans="25:25" hidden="1" x14ac:dyDescent="0.25">
      <c r="Y32869" s="501"/>
    </row>
    <row r="32870" spans="25:25" hidden="1" x14ac:dyDescent="0.25">
      <c r="Y32870" s="501"/>
    </row>
    <row r="32871" spans="25:25" hidden="1" x14ac:dyDescent="0.25">
      <c r="Y32871" s="501"/>
    </row>
    <row r="32872" spans="25:25" hidden="1" x14ac:dyDescent="0.25">
      <c r="Y32872" s="501"/>
    </row>
    <row r="32873" spans="25:25" hidden="1" x14ac:dyDescent="0.25">
      <c r="Y32873" s="501"/>
    </row>
    <row r="32874" spans="25:25" hidden="1" x14ac:dyDescent="0.25">
      <c r="Y32874" s="501"/>
    </row>
    <row r="32875" spans="25:25" hidden="1" x14ac:dyDescent="0.25">
      <c r="Y32875" s="501"/>
    </row>
    <row r="32876" spans="25:25" hidden="1" x14ac:dyDescent="0.25">
      <c r="Y32876" s="501"/>
    </row>
    <row r="32877" spans="25:25" hidden="1" x14ac:dyDescent="0.25">
      <c r="Y32877" s="501"/>
    </row>
    <row r="32878" spans="25:25" hidden="1" x14ac:dyDescent="0.25">
      <c r="Y32878" s="501"/>
    </row>
    <row r="32879" spans="25:25" hidden="1" x14ac:dyDescent="0.25">
      <c r="Y32879" s="501"/>
    </row>
    <row r="32880" spans="25:25" hidden="1" x14ac:dyDescent="0.25">
      <c r="Y32880" s="501"/>
    </row>
    <row r="32881" spans="25:25" hidden="1" x14ac:dyDescent="0.25">
      <c r="Y32881" s="501"/>
    </row>
    <row r="32882" spans="25:25" hidden="1" x14ac:dyDescent="0.25">
      <c r="Y32882" s="501"/>
    </row>
    <row r="32883" spans="25:25" hidden="1" x14ac:dyDescent="0.25">
      <c r="Y32883" s="501"/>
    </row>
    <row r="32884" spans="25:25" hidden="1" x14ac:dyDescent="0.25">
      <c r="Y32884" s="501"/>
    </row>
    <row r="32885" spans="25:25" hidden="1" x14ac:dyDescent="0.25">
      <c r="Y32885" s="501"/>
    </row>
    <row r="32886" spans="25:25" hidden="1" x14ac:dyDescent="0.25">
      <c r="Y32886" s="501"/>
    </row>
    <row r="32887" spans="25:25" hidden="1" x14ac:dyDescent="0.25">
      <c r="Y32887" s="501"/>
    </row>
    <row r="32888" spans="25:25" hidden="1" x14ac:dyDescent="0.25">
      <c r="Y32888" s="501"/>
    </row>
    <row r="32889" spans="25:25" hidden="1" x14ac:dyDescent="0.25">
      <c r="Y32889" s="501"/>
    </row>
    <row r="32890" spans="25:25" hidden="1" x14ac:dyDescent="0.25">
      <c r="Y32890" s="501"/>
    </row>
    <row r="32891" spans="25:25" hidden="1" x14ac:dyDescent="0.25">
      <c r="Y32891" s="501"/>
    </row>
    <row r="32892" spans="25:25" hidden="1" x14ac:dyDescent="0.25">
      <c r="Y32892" s="501"/>
    </row>
    <row r="32893" spans="25:25" hidden="1" x14ac:dyDescent="0.25">
      <c r="Y32893" s="501"/>
    </row>
    <row r="32894" spans="25:25" hidden="1" x14ac:dyDescent="0.25">
      <c r="Y32894" s="501"/>
    </row>
    <row r="32895" spans="25:25" hidden="1" x14ac:dyDescent="0.25">
      <c r="Y32895" s="501"/>
    </row>
    <row r="32896" spans="25:25" hidden="1" x14ac:dyDescent="0.25">
      <c r="Y32896" s="501"/>
    </row>
    <row r="32897" spans="25:25" hidden="1" x14ac:dyDescent="0.25">
      <c r="Y32897" s="501"/>
    </row>
    <row r="32898" spans="25:25" hidden="1" x14ac:dyDescent="0.25">
      <c r="Y32898" s="501"/>
    </row>
    <row r="32899" spans="25:25" hidden="1" x14ac:dyDescent="0.25">
      <c r="Y32899" s="501"/>
    </row>
    <row r="32900" spans="25:25" hidden="1" x14ac:dyDescent="0.25">
      <c r="Y32900" s="501"/>
    </row>
    <row r="32901" spans="25:25" hidden="1" x14ac:dyDescent="0.25">
      <c r="Y32901" s="501"/>
    </row>
    <row r="32902" spans="25:25" hidden="1" x14ac:dyDescent="0.25">
      <c r="Y32902" s="501"/>
    </row>
    <row r="32903" spans="25:25" hidden="1" x14ac:dyDescent="0.25">
      <c r="Y32903" s="501"/>
    </row>
    <row r="32904" spans="25:25" hidden="1" x14ac:dyDescent="0.25">
      <c r="Y32904" s="501"/>
    </row>
    <row r="32905" spans="25:25" hidden="1" x14ac:dyDescent="0.25">
      <c r="Y32905" s="501"/>
    </row>
    <row r="32906" spans="25:25" hidden="1" x14ac:dyDescent="0.25">
      <c r="Y32906" s="501"/>
    </row>
    <row r="32907" spans="25:25" hidden="1" x14ac:dyDescent="0.25">
      <c r="Y32907" s="501"/>
    </row>
    <row r="32908" spans="25:25" hidden="1" x14ac:dyDescent="0.25">
      <c r="Y32908" s="501"/>
    </row>
    <row r="32909" spans="25:25" hidden="1" x14ac:dyDescent="0.25">
      <c r="Y32909" s="501"/>
    </row>
    <row r="32910" spans="25:25" hidden="1" x14ac:dyDescent="0.25">
      <c r="Y32910" s="501"/>
    </row>
    <row r="32911" spans="25:25" hidden="1" x14ac:dyDescent="0.25">
      <c r="Y32911" s="501"/>
    </row>
    <row r="32912" spans="25:25" hidden="1" x14ac:dyDescent="0.25">
      <c r="Y32912" s="501"/>
    </row>
    <row r="32913" spans="25:25" hidden="1" x14ac:dyDescent="0.25">
      <c r="Y32913" s="501"/>
    </row>
    <row r="32914" spans="25:25" hidden="1" x14ac:dyDescent="0.25">
      <c r="Y32914" s="501"/>
    </row>
    <row r="32915" spans="25:25" hidden="1" x14ac:dyDescent="0.25">
      <c r="Y32915" s="501"/>
    </row>
    <row r="32916" spans="25:25" hidden="1" x14ac:dyDescent="0.25">
      <c r="Y32916" s="501"/>
    </row>
    <row r="32917" spans="25:25" hidden="1" x14ac:dyDescent="0.25">
      <c r="Y32917" s="501"/>
    </row>
    <row r="32918" spans="25:25" hidden="1" x14ac:dyDescent="0.25">
      <c r="Y32918" s="501"/>
    </row>
    <row r="32919" spans="25:25" hidden="1" x14ac:dyDescent="0.25">
      <c r="Y32919" s="501"/>
    </row>
    <row r="32920" spans="25:25" hidden="1" x14ac:dyDescent="0.25">
      <c r="Y32920" s="501"/>
    </row>
    <row r="32921" spans="25:25" hidden="1" x14ac:dyDescent="0.25">
      <c r="Y32921" s="501"/>
    </row>
    <row r="32922" spans="25:25" hidden="1" x14ac:dyDescent="0.25">
      <c r="Y32922" s="501"/>
    </row>
    <row r="32923" spans="25:25" hidden="1" x14ac:dyDescent="0.25">
      <c r="Y32923" s="501"/>
    </row>
    <row r="32924" spans="25:25" hidden="1" x14ac:dyDescent="0.25">
      <c r="Y32924" s="501"/>
    </row>
    <row r="32925" spans="25:25" hidden="1" x14ac:dyDescent="0.25">
      <c r="Y32925" s="501"/>
    </row>
    <row r="32926" spans="25:25" hidden="1" x14ac:dyDescent="0.25">
      <c r="Y32926" s="501"/>
    </row>
    <row r="32927" spans="25:25" hidden="1" x14ac:dyDescent="0.25">
      <c r="Y32927" s="501"/>
    </row>
    <row r="32928" spans="25:25" hidden="1" x14ac:dyDescent="0.25">
      <c r="Y32928" s="501"/>
    </row>
    <row r="32929" spans="25:25" hidden="1" x14ac:dyDescent="0.25">
      <c r="Y32929" s="501"/>
    </row>
    <row r="32930" spans="25:25" hidden="1" x14ac:dyDescent="0.25">
      <c r="Y32930" s="501"/>
    </row>
    <row r="32931" spans="25:25" hidden="1" x14ac:dyDescent="0.25">
      <c r="Y32931" s="501"/>
    </row>
    <row r="32932" spans="25:25" hidden="1" x14ac:dyDescent="0.25">
      <c r="Y32932" s="501"/>
    </row>
    <row r="32933" spans="25:25" hidden="1" x14ac:dyDescent="0.25">
      <c r="Y32933" s="501"/>
    </row>
    <row r="32934" spans="25:25" hidden="1" x14ac:dyDescent="0.25">
      <c r="Y32934" s="501"/>
    </row>
    <row r="32935" spans="25:25" hidden="1" x14ac:dyDescent="0.25">
      <c r="Y32935" s="501"/>
    </row>
    <row r="32936" spans="25:25" hidden="1" x14ac:dyDescent="0.25">
      <c r="Y32936" s="501"/>
    </row>
    <row r="32937" spans="25:25" hidden="1" x14ac:dyDescent="0.25">
      <c r="Y32937" s="501"/>
    </row>
    <row r="32938" spans="25:25" hidden="1" x14ac:dyDescent="0.25">
      <c r="Y32938" s="501"/>
    </row>
    <row r="32939" spans="25:25" hidden="1" x14ac:dyDescent="0.25">
      <c r="Y32939" s="501"/>
    </row>
    <row r="32940" spans="25:25" hidden="1" x14ac:dyDescent="0.25">
      <c r="Y32940" s="501"/>
    </row>
    <row r="32941" spans="25:25" hidden="1" x14ac:dyDescent="0.25">
      <c r="Y32941" s="501"/>
    </row>
    <row r="32942" spans="25:25" hidden="1" x14ac:dyDescent="0.25">
      <c r="Y32942" s="501"/>
    </row>
    <row r="32943" spans="25:25" hidden="1" x14ac:dyDescent="0.25">
      <c r="Y32943" s="501"/>
    </row>
    <row r="32944" spans="25:25" hidden="1" x14ac:dyDescent="0.25">
      <c r="Y32944" s="501"/>
    </row>
    <row r="32945" spans="25:25" hidden="1" x14ac:dyDescent="0.25">
      <c r="Y32945" s="501"/>
    </row>
    <row r="32946" spans="25:25" hidden="1" x14ac:dyDescent="0.25">
      <c r="Y32946" s="501"/>
    </row>
    <row r="32947" spans="25:25" hidden="1" x14ac:dyDescent="0.25">
      <c r="Y32947" s="501"/>
    </row>
    <row r="32948" spans="25:25" hidden="1" x14ac:dyDescent="0.25">
      <c r="Y32948" s="501"/>
    </row>
    <row r="32949" spans="25:25" hidden="1" x14ac:dyDescent="0.25">
      <c r="Y32949" s="501"/>
    </row>
    <row r="32950" spans="25:25" hidden="1" x14ac:dyDescent="0.25">
      <c r="Y32950" s="501"/>
    </row>
    <row r="32951" spans="25:25" hidden="1" x14ac:dyDescent="0.25">
      <c r="Y32951" s="501"/>
    </row>
    <row r="32952" spans="25:25" hidden="1" x14ac:dyDescent="0.25">
      <c r="Y32952" s="501"/>
    </row>
    <row r="32953" spans="25:25" hidden="1" x14ac:dyDescent="0.25">
      <c r="Y32953" s="501"/>
    </row>
    <row r="32954" spans="25:25" hidden="1" x14ac:dyDescent="0.25">
      <c r="Y32954" s="501"/>
    </row>
    <row r="32955" spans="25:25" hidden="1" x14ac:dyDescent="0.25">
      <c r="Y32955" s="501"/>
    </row>
    <row r="32956" spans="25:25" hidden="1" x14ac:dyDescent="0.25">
      <c r="Y32956" s="501"/>
    </row>
    <row r="32957" spans="25:25" hidden="1" x14ac:dyDescent="0.25">
      <c r="Y32957" s="501"/>
    </row>
    <row r="32958" spans="25:25" hidden="1" x14ac:dyDescent="0.25">
      <c r="Y32958" s="501"/>
    </row>
    <row r="32959" spans="25:25" hidden="1" x14ac:dyDescent="0.25">
      <c r="Y32959" s="501"/>
    </row>
    <row r="32960" spans="25:25" hidden="1" x14ac:dyDescent="0.25">
      <c r="Y32960" s="501"/>
    </row>
    <row r="32961" spans="25:25" hidden="1" x14ac:dyDescent="0.25">
      <c r="Y32961" s="501"/>
    </row>
    <row r="32962" spans="25:25" hidden="1" x14ac:dyDescent="0.25">
      <c r="Y32962" s="501"/>
    </row>
    <row r="32963" spans="25:25" hidden="1" x14ac:dyDescent="0.25">
      <c r="Y32963" s="501"/>
    </row>
    <row r="32964" spans="25:25" hidden="1" x14ac:dyDescent="0.25">
      <c r="Y32964" s="501"/>
    </row>
    <row r="32965" spans="25:25" hidden="1" x14ac:dyDescent="0.25">
      <c r="Y32965" s="501"/>
    </row>
    <row r="32966" spans="25:25" hidden="1" x14ac:dyDescent="0.25">
      <c r="Y32966" s="501"/>
    </row>
    <row r="32967" spans="25:25" hidden="1" x14ac:dyDescent="0.25">
      <c r="Y32967" s="501"/>
    </row>
    <row r="32968" spans="25:25" hidden="1" x14ac:dyDescent="0.25">
      <c r="Y32968" s="501"/>
    </row>
    <row r="32969" spans="25:25" hidden="1" x14ac:dyDescent="0.25">
      <c r="Y32969" s="501"/>
    </row>
    <row r="32970" spans="25:25" hidden="1" x14ac:dyDescent="0.25">
      <c r="Y32970" s="501"/>
    </row>
    <row r="32971" spans="25:25" hidden="1" x14ac:dyDescent="0.25">
      <c r="Y32971" s="501"/>
    </row>
    <row r="32972" spans="25:25" hidden="1" x14ac:dyDescent="0.25">
      <c r="Y32972" s="501"/>
    </row>
    <row r="32973" spans="25:25" hidden="1" x14ac:dyDescent="0.25">
      <c r="Y32973" s="501"/>
    </row>
    <row r="32974" spans="25:25" hidden="1" x14ac:dyDescent="0.25">
      <c r="Y32974" s="501"/>
    </row>
    <row r="32975" spans="25:25" hidden="1" x14ac:dyDescent="0.25">
      <c r="Y32975" s="501"/>
    </row>
    <row r="32976" spans="25:25" hidden="1" x14ac:dyDescent="0.25">
      <c r="Y32976" s="501"/>
    </row>
    <row r="32977" spans="25:25" hidden="1" x14ac:dyDescent="0.25">
      <c r="Y32977" s="501"/>
    </row>
    <row r="32978" spans="25:25" hidden="1" x14ac:dyDescent="0.25">
      <c r="Y32978" s="501"/>
    </row>
    <row r="32979" spans="25:25" hidden="1" x14ac:dyDescent="0.25">
      <c r="Y32979" s="501"/>
    </row>
    <row r="32980" spans="25:25" hidden="1" x14ac:dyDescent="0.25">
      <c r="Y32980" s="501"/>
    </row>
    <row r="32981" spans="25:25" hidden="1" x14ac:dyDescent="0.25">
      <c r="Y32981" s="501"/>
    </row>
    <row r="32982" spans="25:25" hidden="1" x14ac:dyDescent="0.25">
      <c r="Y32982" s="501"/>
    </row>
    <row r="32983" spans="25:25" hidden="1" x14ac:dyDescent="0.25">
      <c r="Y32983" s="501"/>
    </row>
    <row r="32984" spans="25:25" hidden="1" x14ac:dyDescent="0.25">
      <c r="Y32984" s="501"/>
    </row>
    <row r="32985" spans="25:25" hidden="1" x14ac:dyDescent="0.25">
      <c r="Y32985" s="501"/>
    </row>
    <row r="32986" spans="25:25" hidden="1" x14ac:dyDescent="0.25">
      <c r="Y32986" s="501"/>
    </row>
    <row r="32987" spans="25:25" hidden="1" x14ac:dyDescent="0.25">
      <c r="Y32987" s="501"/>
    </row>
    <row r="32988" spans="25:25" hidden="1" x14ac:dyDescent="0.25">
      <c r="Y32988" s="501"/>
    </row>
    <row r="32989" spans="25:25" hidden="1" x14ac:dyDescent="0.25">
      <c r="Y32989" s="501"/>
    </row>
    <row r="32990" spans="25:25" hidden="1" x14ac:dyDescent="0.25">
      <c r="Y32990" s="501"/>
    </row>
    <row r="32991" spans="25:25" hidden="1" x14ac:dyDescent="0.25">
      <c r="Y32991" s="501"/>
    </row>
    <row r="32992" spans="25:25" hidden="1" x14ac:dyDescent="0.25">
      <c r="Y32992" s="501"/>
    </row>
    <row r="32993" spans="25:25" hidden="1" x14ac:dyDescent="0.25">
      <c r="Y32993" s="501"/>
    </row>
    <row r="32994" spans="25:25" hidden="1" x14ac:dyDescent="0.25">
      <c r="Y32994" s="501"/>
    </row>
    <row r="32995" spans="25:25" hidden="1" x14ac:dyDescent="0.25">
      <c r="Y32995" s="501"/>
    </row>
    <row r="32996" spans="25:25" hidden="1" x14ac:dyDescent="0.25">
      <c r="Y32996" s="501"/>
    </row>
    <row r="32997" spans="25:25" hidden="1" x14ac:dyDescent="0.25">
      <c r="Y32997" s="501"/>
    </row>
    <row r="32998" spans="25:25" hidden="1" x14ac:dyDescent="0.25">
      <c r="Y32998" s="501"/>
    </row>
    <row r="32999" spans="25:25" hidden="1" x14ac:dyDescent="0.25">
      <c r="Y32999" s="501"/>
    </row>
    <row r="33000" spans="25:25" hidden="1" x14ac:dyDescent="0.25">
      <c r="Y33000" s="501"/>
    </row>
    <row r="33001" spans="25:25" hidden="1" x14ac:dyDescent="0.25">
      <c r="Y33001" s="501"/>
    </row>
    <row r="33002" spans="25:25" hidden="1" x14ac:dyDescent="0.25">
      <c r="Y33002" s="501"/>
    </row>
    <row r="33003" spans="25:25" hidden="1" x14ac:dyDescent="0.25">
      <c r="Y33003" s="501"/>
    </row>
    <row r="33004" spans="25:25" hidden="1" x14ac:dyDescent="0.25">
      <c r="Y33004" s="501"/>
    </row>
    <row r="33005" spans="25:25" hidden="1" x14ac:dyDescent="0.25">
      <c r="Y33005" s="501"/>
    </row>
    <row r="33006" spans="25:25" hidden="1" x14ac:dyDescent="0.25">
      <c r="Y33006" s="501"/>
    </row>
    <row r="33007" spans="25:25" hidden="1" x14ac:dyDescent="0.25">
      <c r="Y33007" s="501"/>
    </row>
    <row r="33008" spans="25:25" hidden="1" x14ac:dyDescent="0.25">
      <c r="Y33008" s="501"/>
    </row>
    <row r="33009" spans="25:25" hidden="1" x14ac:dyDescent="0.25">
      <c r="Y33009" s="501"/>
    </row>
    <row r="33010" spans="25:25" hidden="1" x14ac:dyDescent="0.25">
      <c r="Y33010" s="501"/>
    </row>
    <row r="33011" spans="25:25" hidden="1" x14ac:dyDescent="0.25">
      <c r="Y33011" s="501"/>
    </row>
    <row r="33012" spans="25:25" hidden="1" x14ac:dyDescent="0.25">
      <c r="Y33012" s="501"/>
    </row>
    <row r="33013" spans="25:25" hidden="1" x14ac:dyDescent="0.25">
      <c r="Y33013" s="501"/>
    </row>
    <row r="33014" spans="25:25" hidden="1" x14ac:dyDescent="0.25">
      <c r="Y33014" s="501"/>
    </row>
    <row r="33015" spans="25:25" hidden="1" x14ac:dyDescent="0.25">
      <c r="Y33015" s="501"/>
    </row>
    <row r="33016" spans="25:25" hidden="1" x14ac:dyDescent="0.25">
      <c r="Y33016" s="501"/>
    </row>
    <row r="33017" spans="25:25" hidden="1" x14ac:dyDescent="0.25">
      <c r="Y33017" s="501"/>
    </row>
    <row r="33018" spans="25:25" hidden="1" x14ac:dyDescent="0.25">
      <c r="Y33018" s="501"/>
    </row>
    <row r="33019" spans="25:25" hidden="1" x14ac:dyDescent="0.25">
      <c r="Y33019" s="501"/>
    </row>
    <row r="33020" spans="25:25" hidden="1" x14ac:dyDescent="0.25">
      <c r="Y33020" s="501"/>
    </row>
    <row r="33021" spans="25:25" hidden="1" x14ac:dyDescent="0.25">
      <c r="Y33021" s="501"/>
    </row>
    <row r="33022" spans="25:25" hidden="1" x14ac:dyDescent="0.25">
      <c r="Y33022" s="501"/>
    </row>
    <row r="33023" spans="25:25" hidden="1" x14ac:dyDescent="0.25">
      <c r="Y33023" s="501"/>
    </row>
    <row r="33024" spans="25:25" hidden="1" x14ac:dyDescent="0.25">
      <c r="Y33024" s="501"/>
    </row>
    <row r="33025" spans="25:25" hidden="1" x14ac:dyDescent="0.25">
      <c r="Y33025" s="501"/>
    </row>
    <row r="33026" spans="25:25" hidden="1" x14ac:dyDescent="0.25">
      <c r="Y33026" s="501"/>
    </row>
    <row r="33027" spans="25:25" hidden="1" x14ac:dyDescent="0.25">
      <c r="Y33027" s="501"/>
    </row>
    <row r="33028" spans="25:25" hidden="1" x14ac:dyDescent="0.25">
      <c r="Y33028" s="501"/>
    </row>
    <row r="33029" spans="25:25" hidden="1" x14ac:dyDescent="0.25">
      <c r="Y33029" s="501"/>
    </row>
    <row r="33030" spans="25:25" hidden="1" x14ac:dyDescent="0.25">
      <c r="Y33030" s="501"/>
    </row>
    <row r="33031" spans="25:25" hidden="1" x14ac:dyDescent="0.25">
      <c r="Y33031" s="501"/>
    </row>
    <row r="33032" spans="25:25" hidden="1" x14ac:dyDescent="0.25">
      <c r="Y33032" s="501"/>
    </row>
    <row r="33033" spans="25:25" hidden="1" x14ac:dyDescent="0.25">
      <c r="Y33033" s="501"/>
    </row>
    <row r="33034" spans="25:25" hidden="1" x14ac:dyDescent="0.25">
      <c r="Y33034" s="501"/>
    </row>
    <row r="33035" spans="25:25" hidden="1" x14ac:dyDescent="0.25">
      <c r="Y33035" s="501"/>
    </row>
    <row r="33036" spans="25:25" hidden="1" x14ac:dyDescent="0.25">
      <c r="Y33036" s="501"/>
    </row>
    <row r="33037" spans="25:25" hidden="1" x14ac:dyDescent="0.25">
      <c r="Y33037" s="501"/>
    </row>
    <row r="33038" spans="25:25" hidden="1" x14ac:dyDescent="0.25">
      <c r="Y33038" s="501"/>
    </row>
    <row r="33039" spans="25:25" hidden="1" x14ac:dyDescent="0.25">
      <c r="Y33039" s="501"/>
    </row>
    <row r="33040" spans="25:25" hidden="1" x14ac:dyDescent="0.25">
      <c r="Y33040" s="501"/>
    </row>
    <row r="33041" spans="25:25" hidden="1" x14ac:dyDescent="0.25">
      <c r="Y33041" s="501"/>
    </row>
    <row r="33042" spans="25:25" hidden="1" x14ac:dyDescent="0.25">
      <c r="Y33042" s="501"/>
    </row>
    <row r="33043" spans="25:25" hidden="1" x14ac:dyDescent="0.25">
      <c r="Y33043" s="501"/>
    </row>
    <row r="33044" spans="25:25" hidden="1" x14ac:dyDescent="0.25">
      <c r="Y33044" s="501"/>
    </row>
    <row r="33045" spans="25:25" hidden="1" x14ac:dyDescent="0.25">
      <c r="Y33045" s="501"/>
    </row>
    <row r="33046" spans="25:25" hidden="1" x14ac:dyDescent="0.25">
      <c r="Y33046" s="501"/>
    </row>
    <row r="33047" spans="25:25" hidden="1" x14ac:dyDescent="0.25">
      <c r="Y33047" s="501"/>
    </row>
    <row r="33048" spans="25:25" hidden="1" x14ac:dyDescent="0.25">
      <c r="Y33048" s="501"/>
    </row>
    <row r="33049" spans="25:25" hidden="1" x14ac:dyDescent="0.25">
      <c r="Y33049" s="501"/>
    </row>
    <row r="33050" spans="25:25" hidden="1" x14ac:dyDescent="0.25">
      <c r="Y33050" s="501"/>
    </row>
    <row r="33051" spans="25:25" hidden="1" x14ac:dyDescent="0.25">
      <c r="Y33051" s="501"/>
    </row>
    <row r="33052" spans="25:25" hidden="1" x14ac:dyDescent="0.25">
      <c r="Y33052" s="501"/>
    </row>
    <row r="33053" spans="25:25" hidden="1" x14ac:dyDescent="0.25">
      <c r="Y33053" s="501"/>
    </row>
    <row r="33054" spans="25:25" hidden="1" x14ac:dyDescent="0.25">
      <c r="Y33054" s="501"/>
    </row>
    <row r="33055" spans="25:25" hidden="1" x14ac:dyDescent="0.25">
      <c r="Y33055" s="501"/>
    </row>
    <row r="33056" spans="25:25" hidden="1" x14ac:dyDescent="0.25">
      <c r="Y33056" s="501"/>
    </row>
    <row r="33057" spans="25:25" hidden="1" x14ac:dyDescent="0.25">
      <c r="Y33057" s="501"/>
    </row>
    <row r="33058" spans="25:25" hidden="1" x14ac:dyDescent="0.25">
      <c r="Y33058" s="501"/>
    </row>
    <row r="33059" spans="25:25" hidden="1" x14ac:dyDescent="0.25">
      <c r="Y33059" s="501"/>
    </row>
    <row r="33060" spans="25:25" hidden="1" x14ac:dyDescent="0.25">
      <c r="Y33060" s="501"/>
    </row>
    <row r="33061" spans="25:25" hidden="1" x14ac:dyDescent="0.25">
      <c r="Y33061" s="501"/>
    </row>
    <row r="33062" spans="25:25" hidden="1" x14ac:dyDescent="0.25">
      <c r="Y33062" s="501"/>
    </row>
    <row r="33063" spans="25:25" hidden="1" x14ac:dyDescent="0.25">
      <c r="Y33063" s="501"/>
    </row>
    <row r="33064" spans="25:25" hidden="1" x14ac:dyDescent="0.25">
      <c r="Y33064" s="501"/>
    </row>
    <row r="33065" spans="25:25" hidden="1" x14ac:dyDescent="0.25">
      <c r="Y33065" s="501"/>
    </row>
    <row r="33066" spans="25:25" hidden="1" x14ac:dyDescent="0.25">
      <c r="Y33066" s="501"/>
    </row>
    <row r="33067" spans="25:25" hidden="1" x14ac:dyDescent="0.25">
      <c r="Y33067" s="501"/>
    </row>
    <row r="33068" spans="25:25" hidden="1" x14ac:dyDescent="0.25">
      <c r="Y33068" s="501"/>
    </row>
    <row r="33069" spans="25:25" hidden="1" x14ac:dyDescent="0.25">
      <c r="Y33069" s="501"/>
    </row>
    <row r="33070" spans="25:25" hidden="1" x14ac:dyDescent="0.25">
      <c r="Y33070" s="501"/>
    </row>
    <row r="33071" spans="25:25" hidden="1" x14ac:dyDescent="0.25">
      <c r="Y33071" s="501"/>
    </row>
    <row r="33072" spans="25:25" hidden="1" x14ac:dyDescent="0.25">
      <c r="Y33072" s="501"/>
    </row>
    <row r="33073" spans="25:25" hidden="1" x14ac:dyDescent="0.25">
      <c r="Y33073" s="501"/>
    </row>
    <row r="33074" spans="25:25" hidden="1" x14ac:dyDescent="0.25">
      <c r="Y33074" s="501"/>
    </row>
    <row r="33075" spans="25:25" hidden="1" x14ac:dyDescent="0.25">
      <c r="Y33075" s="501"/>
    </row>
    <row r="33076" spans="25:25" hidden="1" x14ac:dyDescent="0.25">
      <c r="Y33076" s="501"/>
    </row>
    <row r="33077" spans="25:25" hidden="1" x14ac:dyDescent="0.25">
      <c r="Y33077" s="501"/>
    </row>
    <row r="33078" spans="25:25" hidden="1" x14ac:dyDescent="0.25">
      <c r="Y33078" s="501"/>
    </row>
    <row r="33079" spans="25:25" hidden="1" x14ac:dyDescent="0.25">
      <c r="Y33079" s="501"/>
    </row>
    <row r="33080" spans="25:25" hidden="1" x14ac:dyDescent="0.25">
      <c r="Y33080" s="501"/>
    </row>
    <row r="33081" spans="25:25" hidden="1" x14ac:dyDescent="0.25">
      <c r="Y33081" s="501"/>
    </row>
    <row r="33082" spans="25:25" hidden="1" x14ac:dyDescent="0.25">
      <c r="Y33082" s="501"/>
    </row>
    <row r="33083" spans="25:25" hidden="1" x14ac:dyDescent="0.25">
      <c r="Y33083" s="501"/>
    </row>
    <row r="33084" spans="25:25" hidden="1" x14ac:dyDescent="0.25">
      <c r="Y33084" s="501"/>
    </row>
    <row r="33085" spans="25:25" hidden="1" x14ac:dyDescent="0.25">
      <c r="Y33085" s="501"/>
    </row>
    <row r="33086" spans="25:25" hidden="1" x14ac:dyDescent="0.25">
      <c r="Y33086" s="501"/>
    </row>
    <row r="33087" spans="25:25" hidden="1" x14ac:dyDescent="0.25">
      <c r="Y33087" s="501"/>
    </row>
    <row r="33088" spans="25:25" hidden="1" x14ac:dyDescent="0.25">
      <c r="Y33088" s="501"/>
    </row>
    <row r="33089" spans="25:25" hidden="1" x14ac:dyDescent="0.25">
      <c r="Y33089" s="501"/>
    </row>
    <row r="33090" spans="25:25" hidden="1" x14ac:dyDescent="0.25">
      <c r="Y33090" s="501"/>
    </row>
    <row r="33091" spans="25:25" hidden="1" x14ac:dyDescent="0.25">
      <c r="Y33091" s="501"/>
    </row>
    <row r="33092" spans="25:25" hidden="1" x14ac:dyDescent="0.25">
      <c r="Y33092" s="501"/>
    </row>
    <row r="33093" spans="25:25" hidden="1" x14ac:dyDescent="0.25">
      <c r="Y33093" s="501"/>
    </row>
    <row r="33094" spans="25:25" hidden="1" x14ac:dyDescent="0.25">
      <c r="Y33094" s="501"/>
    </row>
    <row r="33095" spans="25:25" hidden="1" x14ac:dyDescent="0.25">
      <c r="Y33095" s="501"/>
    </row>
    <row r="33096" spans="25:25" hidden="1" x14ac:dyDescent="0.25">
      <c r="Y33096" s="501"/>
    </row>
    <row r="33097" spans="25:25" hidden="1" x14ac:dyDescent="0.25">
      <c r="Y33097" s="501"/>
    </row>
    <row r="33098" spans="25:25" hidden="1" x14ac:dyDescent="0.25">
      <c r="Y33098" s="501"/>
    </row>
    <row r="33099" spans="25:25" hidden="1" x14ac:dyDescent="0.25">
      <c r="Y33099" s="501"/>
    </row>
    <row r="33100" spans="25:25" hidden="1" x14ac:dyDescent="0.25">
      <c r="Y33100" s="501"/>
    </row>
    <row r="33101" spans="25:25" hidden="1" x14ac:dyDescent="0.25">
      <c r="Y33101" s="501"/>
    </row>
    <row r="33102" spans="25:25" hidden="1" x14ac:dyDescent="0.25">
      <c r="Y33102" s="501"/>
    </row>
    <row r="33103" spans="25:25" hidden="1" x14ac:dyDescent="0.25">
      <c r="Y33103" s="501"/>
    </row>
    <row r="33104" spans="25:25" hidden="1" x14ac:dyDescent="0.25">
      <c r="Y33104" s="501"/>
    </row>
    <row r="33105" spans="25:25" hidden="1" x14ac:dyDescent="0.25">
      <c r="Y33105" s="501"/>
    </row>
    <row r="33106" spans="25:25" hidden="1" x14ac:dyDescent="0.25">
      <c r="Y33106" s="501"/>
    </row>
    <row r="33107" spans="25:25" hidden="1" x14ac:dyDescent="0.25">
      <c r="Y33107" s="501"/>
    </row>
    <row r="33108" spans="25:25" hidden="1" x14ac:dyDescent="0.25">
      <c r="Y33108" s="501"/>
    </row>
    <row r="33109" spans="25:25" hidden="1" x14ac:dyDescent="0.25">
      <c r="Y33109" s="501"/>
    </row>
    <row r="33110" spans="25:25" hidden="1" x14ac:dyDescent="0.25">
      <c r="Y33110" s="501"/>
    </row>
    <row r="33111" spans="25:25" hidden="1" x14ac:dyDescent="0.25">
      <c r="Y33111" s="501"/>
    </row>
    <row r="33112" spans="25:25" hidden="1" x14ac:dyDescent="0.25">
      <c r="Y33112" s="501"/>
    </row>
    <row r="33113" spans="25:25" hidden="1" x14ac:dyDescent="0.25">
      <c r="Y33113" s="501"/>
    </row>
    <row r="33114" spans="25:25" hidden="1" x14ac:dyDescent="0.25">
      <c r="Y33114" s="501"/>
    </row>
    <row r="33115" spans="25:25" hidden="1" x14ac:dyDescent="0.25">
      <c r="Y33115" s="501"/>
    </row>
    <row r="33116" spans="25:25" hidden="1" x14ac:dyDescent="0.25">
      <c r="Y33116" s="501"/>
    </row>
    <row r="33117" spans="25:25" hidden="1" x14ac:dyDescent="0.25">
      <c r="Y33117" s="501"/>
    </row>
    <row r="33118" spans="25:25" hidden="1" x14ac:dyDescent="0.25">
      <c r="Y33118" s="501"/>
    </row>
    <row r="33119" spans="25:25" hidden="1" x14ac:dyDescent="0.25">
      <c r="Y33119" s="501"/>
    </row>
    <row r="33120" spans="25:25" hidden="1" x14ac:dyDescent="0.25">
      <c r="Y33120" s="501"/>
    </row>
    <row r="33121" spans="25:25" hidden="1" x14ac:dyDescent="0.25">
      <c r="Y33121" s="501"/>
    </row>
    <row r="33122" spans="25:25" hidden="1" x14ac:dyDescent="0.25">
      <c r="Y33122" s="501"/>
    </row>
    <row r="33123" spans="25:25" hidden="1" x14ac:dyDescent="0.25">
      <c r="Y33123" s="501"/>
    </row>
    <row r="33124" spans="25:25" hidden="1" x14ac:dyDescent="0.25">
      <c r="Y33124" s="501"/>
    </row>
    <row r="33125" spans="25:25" hidden="1" x14ac:dyDescent="0.25">
      <c r="Y33125" s="501"/>
    </row>
    <row r="33126" spans="25:25" hidden="1" x14ac:dyDescent="0.25">
      <c r="Y33126" s="501"/>
    </row>
    <row r="33127" spans="25:25" hidden="1" x14ac:dyDescent="0.25">
      <c r="Y33127" s="501"/>
    </row>
    <row r="33128" spans="25:25" hidden="1" x14ac:dyDescent="0.25">
      <c r="Y33128" s="501"/>
    </row>
    <row r="33129" spans="25:25" hidden="1" x14ac:dyDescent="0.25">
      <c r="Y33129" s="501"/>
    </row>
    <row r="33130" spans="25:25" hidden="1" x14ac:dyDescent="0.25">
      <c r="Y33130" s="501"/>
    </row>
    <row r="33131" spans="25:25" hidden="1" x14ac:dyDescent="0.25">
      <c r="Y33131" s="501"/>
    </row>
    <row r="33132" spans="25:25" hidden="1" x14ac:dyDescent="0.25">
      <c r="Y33132" s="501"/>
    </row>
    <row r="33133" spans="25:25" hidden="1" x14ac:dyDescent="0.25">
      <c r="Y33133" s="501"/>
    </row>
    <row r="33134" spans="25:25" hidden="1" x14ac:dyDescent="0.25">
      <c r="Y33134" s="501"/>
    </row>
    <row r="33135" spans="25:25" hidden="1" x14ac:dyDescent="0.25">
      <c r="Y33135" s="501"/>
    </row>
    <row r="33136" spans="25:25" hidden="1" x14ac:dyDescent="0.25">
      <c r="Y33136" s="501"/>
    </row>
    <row r="33137" spans="25:25" hidden="1" x14ac:dyDescent="0.25">
      <c r="Y33137" s="501"/>
    </row>
    <row r="33138" spans="25:25" hidden="1" x14ac:dyDescent="0.25">
      <c r="Y33138" s="501"/>
    </row>
    <row r="33139" spans="25:25" hidden="1" x14ac:dyDescent="0.25">
      <c r="Y33139" s="501"/>
    </row>
    <row r="33140" spans="25:25" hidden="1" x14ac:dyDescent="0.25">
      <c r="Y33140" s="501"/>
    </row>
    <row r="33141" spans="25:25" hidden="1" x14ac:dyDescent="0.25">
      <c r="Y33141" s="501"/>
    </row>
    <row r="33142" spans="25:25" hidden="1" x14ac:dyDescent="0.25">
      <c r="Y33142" s="501"/>
    </row>
    <row r="33143" spans="25:25" hidden="1" x14ac:dyDescent="0.25">
      <c r="Y33143" s="501"/>
    </row>
    <row r="33144" spans="25:25" hidden="1" x14ac:dyDescent="0.25">
      <c r="Y33144" s="501"/>
    </row>
    <row r="33145" spans="25:25" hidden="1" x14ac:dyDescent="0.25">
      <c r="Y33145" s="501"/>
    </row>
    <row r="33146" spans="25:25" hidden="1" x14ac:dyDescent="0.25">
      <c r="Y33146" s="501"/>
    </row>
    <row r="33147" spans="25:25" hidden="1" x14ac:dyDescent="0.25">
      <c r="Y33147" s="501"/>
    </row>
    <row r="33148" spans="25:25" hidden="1" x14ac:dyDescent="0.25">
      <c r="Y33148" s="501"/>
    </row>
    <row r="33149" spans="25:25" hidden="1" x14ac:dyDescent="0.25">
      <c r="Y33149" s="501"/>
    </row>
    <row r="33150" spans="25:25" hidden="1" x14ac:dyDescent="0.25">
      <c r="Y33150" s="501"/>
    </row>
    <row r="33151" spans="25:25" hidden="1" x14ac:dyDescent="0.25">
      <c r="Y33151" s="501"/>
    </row>
    <row r="33152" spans="25:25" hidden="1" x14ac:dyDescent="0.25">
      <c r="Y33152" s="501"/>
    </row>
    <row r="33153" spans="25:25" hidden="1" x14ac:dyDescent="0.25">
      <c r="Y33153" s="501"/>
    </row>
    <row r="33154" spans="25:25" hidden="1" x14ac:dyDescent="0.25">
      <c r="Y33154" s="501"/>
    </row>
    <row r="33155" spans="25:25" hidden="1" x14ac:dyDescent="0.25">
      <c r="Y33155" s="501"/>
    </row>
    <row r="33156" spans="25:25" hidden="1" x14ac:dyDescent="0.25">
      <c r="Y33156" s="501"/>
    </row>
    <row r="33157" spans="25:25" hidden="1" x14ac:dyDescent="0.25">
      <c r="Y33157" s="501"/>
    </row>
    <row r="33158" spans="25:25" hidden="1" x14ac:dyDescent="0.25">
      <c r="Y33158" s="501"/>
    </row>
    <row r="33159" spans="25:25" hidden="1" x14ac:dyDescent="0.25">
      <c r="Y33159" s="501"/>
    </row>
    <row r="33160" spans="25:25" hidden="1" x14ac:dyDescent="0.25">
      <c r="Y33160" s="501"/>
    </row>
    <row r="33161" spans="25:25" hidden="1" x14ac:dyDescent="0.25">
      <c r="Y33161" s="501"/>
    </row>
    <row r="33162" spans="25:25" hidden="1" x14ac:dyDescent="0.25">
      <c r="Y33162" s="501"/>
    </row>
    <row r="33163" spans="25:25" hidden="1" x14ac:dyDescent="0.25">
      <c r="Y33163" s="501"/>
    </row>
    <row r="33164" spans="25:25" hidden="1" x14ac:dyDescent="0.25">
      <c r="Y33164" s="501"/>
    </row>
    <row r="33165" spans="25:25" hidden="1" x14ac:dyDescent="0.25">
      <c r="Y33165" s="501"/>
    </row>
    <row r="33166" spans="25:25" hidden="1" x14ac:dyDescent="0.25">
      <c r="Y33166" s="501"/>
    </row>
    <row r="33167" spans="25:25" hidden="1" x14ac:dyDescent="0.25">
      <c r="Y33167" s="501"/>
    </row>
    <row r="33168" spans="25:25" hidden="1" x14ac:dyDescent="0.25">
      <c r="Y33168" s="501"/>
    </row>
    <row r="33169" spans="25:25" hidden="1" x14ac:dyDescent="0.25">
      <c r="Y33169" s="501"/>
    </row>
    <row r="33170" spans="25:25" hidden="1" x14ac:dyDescent="0.25">
      <c r="Y33170" s="501"/>
    </row>
    <row r="33171" spans="25:25" hidden="1" x14ac:dyDescent="0.25">
      <c r="Y33171" s="501"/>
    </row>
    <row r="33172" spans="25:25" hidden="1" x14ac:dyDescent="0.25">
      <c r="Y33172" s="501"/>
    </row>
    <row r="33173" spans="25:25" hidden="1" x14ac:dyDescent="0.25">
      <c r="Y33173" s="501"/>
    </row>
    <row r="33174" spans="25:25" hidden="1" x14ac:dyDescent="0.25">
      <c r="Y33174" s="501"/>
    </row>
    <row r="33175" spans="25:25" hidden="1" x14ac:dyDescent="0.25">
      <c r="Y33175" s="501"/>
    </row>
    <row r="33176" spans="25:25" hidden="1" x14ac:dyDescent="0.25">
      <c r="Y33176" s="501"/>
    </row>
    <row r="33177" spans="25:25" hidden="1" x14ac:dyDescent="0.25">
      <c r="Y33177" s="501"/>
    </row>
    <row r="33178" spans="25:25" hidden="1" x14ac:dyDescent="0.25">
      <c r="Y33178" s="501"/>
    </row>
    <row r="33179" spans="25:25" hidden="1" x14ac:dyDescent="0.25">
      <c r="Y33179" s="501"/>
    </row>
    <row r="33180" spans="25:25" hidden="1" x14ac:dyDescent="0.25">
      <c r="Y33180" s="501"/>
    </row>
    <row r="33181" spans="25:25" hidden="1" x14ac:dyDescent="0.25">
      <c r="Y33181" s="501"/>
    </row>
    <row r="33182" spans="25:25" hidden="1" x14ac:dyDescent="0.25">
      <c r="Y33182" s="501"/>
    </row>
    <row r="33183" spans="25:25" hidden="1" x14ac:dyDescent="0.25">
      <c r="Y33183" s="501"/>
    </row>
    <row r="33184" spans="25:25" hidden="1" x14ac:dyDescent="0.25">
      <c r="Y33184" s="501"/>
    </row>
    <row r="33185" spans="25:25" hidden="1" x14ac:dyDescent="0.25">
      <c r="Y33185" s="501"/>
    </row>
    <row r="33186" spans="25:25" hidden="1" x14ac:dyDescent="0.25">
      <c r="Y33186" s="501"/>
    </row>
    <row r="33187" spans="25:25" hidden="1" x14ac:dyDescent="0.25">
      <c r="Y33187" s="501"/>
    </row>
    <row r="33188" spans="25:25" hidden="1" x14ac:dyDescent="0.25">
      <c r="Y33188" s="501"/>
    </row>
    <row r="33189" spans="25:25" hidden="1" x14ac:dyDescent="0.25">
      <c r="Y33189" s="501"/>
    </row>
    <row r="33190" spans="25:25" hidden="1" x14ac:dyDescent="0.25">
      <c r="Y33190" s="501"/>
    </row>
    <row r="33191" spans="25:25" hidden="1" x14ac:dyDescent="0.25">
      <c r="Y33191" s="501"/>
    </row>
    <row r="33192" spans="25:25" hidden="1" x14ac:dyDescent="0.25">
      <c r="Y33192" s="501"/>
    </row>
    <row r="33193" spans="25:25" hidden="1" x14ac:dyDescent="0.25">
      <c r="Y33193" s="501"/>
    </row>
    <row r="33194" spans="25:25" hidden="1" x14ac:dyDescent="0.25">
      <c r="Y33194" s="501"/>
    </row>
    <row r="33195" spans="25:25" hidden="1" x14ac:dyDescent="0.25">
      <c r="Y33195" s="501"/>
    </row>
    <row r="33196" spans="25:25" hidden="1" x14ac:dyDescent="0.25">
      <c r="Y33196" s="501"/>
    </row>
    <row r="33197" spans="25:25" hidden="1" x14ac:dyDescent="0.25">
      <c r="Y33197" s="501"/>
    </row>
    <row r="33198" spans="25:25" hidden="1" x14ac:dyDescent="0.25">
      <c r="Y33198" s="501"/>
    </row>
    <row r="33199" spans="25:25" hidden="1" x14ac:dyDescent="0.25">
      <c r="Y33199" s="501"/>
    </row>
    <row r="33200" spans="25:25" hidden="1" x14ac:dyDescent="0.25">
      <c r="Y33200" s="501"/>
    </row>
    <row r="33201" spans="25:25" hidden="1" x14ac:dyDescent="0.25">
      <c r="Y33201" s="501"/>
    </row>
    <row r="33202" spans="25:25" hidden="1" x14ac:dyDescent="0.25">
      <c r="Y33202" s="501"/>
    </row>
    <row r="33203" spans="25:25" hidden="1" x14ac:dyDescent="0.25">
      <c r="Y33203" s="501"/>
    </row>
    <row r="33204" spans="25:25" hidden="1" x14ac:dyDescent="0.25">
      <c r="Y33204" s="501"/>
    </row>
    <row r="33205" spans="25:25" hidden="1" x14ac:dyDescent="0.25">
      <c r="Y33205" s="501"/>
    </row>
    <row r="33206" spans="25:25" hidden="1" x14ac:dyDescent="0.25">
      <c r="Y33206" s="501"/>
    </row>
    <row r="33207" spans="25:25" hidden="1" x14ac:dyDescent="0.25">
      <c r="Y33207" s="501"/>
    </row>
    <row r="33208" spans="25:25" hidden="1" x14ac:dyDescent="0.25">
      <c r="Y33208" s="501"/>
    </row>
    <row r="33209" spans="25:25" hidden="1" x14ac:dyDescent="0.25">
      <c r="Y33209" s="501"/>
    </row>
    <row r="33210" spans="25:25" hidden="1" x14ac:dyDescent="0.25">
      <c r="Y33210" s="501"/>
    </row>
    <row r="33211" spans="25:25" hidden="1" x14ac:dyDescent="0.25">
      <c r="Y33211" s="501"/>
    </row>
    <row r="33212" spans="25:25" hidden="1" x14ac:dyDescent="0.25">
      <c r="Y33212" s="501"/>
    </row>
    <row r="33213" spans="25:25" hidden="1" x14ac:dyDescent="0.25">
      <c r="Y33213" s="501"/>
    </row>
    <row r="33214" spans="25:25" hidden="1" x14ac:dyDescent="0.25">
      <c r="Y33214" s="501"/>
    </row>
    <row r="33215" spans="25:25" hidden="1" x14ac:dyDescent="0.25">
      <c r="Y33215" s="501"/>
    </row>
    <row r="33216" spans="25:25" hidden="1" x14ac:dyDescent="0.25">
      <c r="Y33216" s="501"/>
    </row>
    <row r="33217" spans="25:25" hidden="1" x14ac:dyDescent="0.25">
      <c r="Y33217" s="501"/>
    </row>
    <row r="33218" spans="25:25" hidden="1" x14ac:dyDescent="0.25">
      <c r="Y33218" s="501"/>
    </row>
    <row r="33219" spans="25:25" hidden="1" x14ac:dyDescent="0.25">
      <c r="Y33219" s="501"/>
    </row>
    <row r="33220" spans="25:25" hidden="1" x14ac:dyDescent="0.25">
      <c r="Y33220" s="501"/>
    </row>
    <row r="33221" spans="25:25" hidden="1" x14ac:dyDescent="0.25">
      <c r="Y33221" s="501"/>
    </row>
    <row r="33222" spans="25:25" hidden="1" x14ac:dyDescent="0.25">
      <c r="Y33222" s="501"/>
    </row>
    <row r="33223" spans="25:25" hidden="1" x14ac:dyDescent="0.25">
      <c r="Y33223" s="501"/>
    </row>
    <row r="33224" spans="25:25" hidden="1" x14ac:dyDescent="0.25">
      <c r="Y33224" s="501"/>
    </row>
    <row r="33225" spans="25:25" hidden="1" x14ac:dyDescent="0.25">
      <c r="Y33225" s="501"/>
    </row>
    <row r="33226" spans="25:25" hidden="1" x14ac:dyDescent="0.25">
      <c r="Y33226" s="501"/>
    </row>
    <row r="33227" spans="25:25" hidden="1" x14ac:dyDescent="0.25">
      <c r="Y33227" s="501"/>
    </row>
    <row r="33228" spans="25:25" hidden="1" x14ac:dyDescent="0.25">
      <c r="Y33228" s="501"/>
    </row>
    <row r="33229" spans="25:25" hidden="1" x14ac:dyDescent="0.25">
      <c r="Y33229" s="501"/>
    </row>
    <row r="33230" spans="25:25" hidden="1" x14ac:dyDescent="0.25">
      <c r="Y33230" s="501"/>
    </row>
    <row r="33231" spans="25:25" hidden="1" x14ac:dyDescent="0.25">
      <c r="Y33231" s="501"/>
    </row>
    <row r="33232" spans="25:25" hidden="1" x14ac:dyDescent="0.25">
      <c r="Y33232" s="501"/>
    </row>
    <row r="33233" spans="25:25" hidden="1" x14ac:dyDescent="0.25">
      <c r="Y33233" s="501"/>
    </row>
    <row r="33234" spans="25:25" hidden="1" x14ac:dyDescent="0.25">
      <c r="Y33234" s="501"/>
    </row>
    <row r="33235" spans="25:25" hidden="1" x14ac:dyDescent="0.25">
      <c r="Y33235" s="501"/>
    </row>
    <row r="33236" spans="25:25" hidden="1" x14ac:dyDescent="0.25">
      <c r="Y33236" s="501"/>
    </row>
    <row r="33237" spans="25:25" hidden="1" x14ac:dyDescent="0.25">
      <c r="Y33237" s="501"/>
    </row>
    <row r="33238" spans="25:25" hidden="1" x14ac:dyDescent="0.25">
      <c r="Y33238" s="501"/>
    </row>
    <row r="33239" spans="25:25" hidden="1" x14ac:dyDescent="0.25">
      <c r="Y33239" s="501"/>
    </row>
    <row r="33240" spans="25:25" hidden="1" x14ac:dyDescent="0.25">
      <c r="Y33240" s="501"/>
    </row>
    <row r="33241" spans="25:25" hidden="1" x14ac:dyDescent="0.25">
      <c r="Y33241" s="501"/>
    </row>
    <row r="33242" spans="25:25" hidden="1" x14ac:dyDescent="0.25">
      <c r="Y33242" s="501"/>
    </row>
    <row r="33243" spans="25:25" hidden="1" x14ac:dyDescent="0.25">
      <c r="Y33243" s="501"/>
    </row>
    <row r="33244" spans="25:25" hidden="1" x14ac:dyDescent="0.25">
      <c r="Y33244" s="501"/>
    </row>
    <row r="33245" spans="25:25" hidden="1" x14ac:dyDescent="0.25">
      <c r="Y33245" s="501"/>
    </row>
    <row r="33246" spans="25:25" hidden="1" x14ac:dyDescent="0.25">
      <c r="Y33246" s="501"/>
    </row>
    <row r="33247" spans="25:25" hidden="1" x14ac:dyDescent="0.25">
      <c r="Y33247" s="501"/>
    </row>
    <row r="33248" spans="25:25" hidden="1" x14ac:dyDescent="0.25">
      <c r="Y33248" s="501"/>
    </row>
    <row r="33249" spans="25:25" hidden="1" x14ac:dyDescent="0.25">
      <c r="Y33249" s="501"/>
    </row>
    <row r="33250" spans="25:25" hidden="1" x14ac:dyDescent="0.25">
      <c r="Y33250" s="501"/>
    </row>
    <row r="33251" spans="25:25" hidden="1" x14ac:dyDescent="0.25">
      <c r="Y33251" s="501"/>
    </row>
    <row r="33252" spans="25:25" hidden="1" x14ac:dyDescent="0.25">
      <c r="Y33252" s="501"/>
    </row>
    <row r="33253" spans="25:25" hidden="1" x14ac:dyDescent="0.25">
      <c r="Y33253" s="501"/>
    </row>
    <row r="33254" spans="25:25" hidden="1" x14ac:dyDescent="0.25">
      <c r="Y33254" s="501"/>
    </row>
    <row r="33255" spans="25:25" hidden="1" x14ac:dyDescent="0.25">
      <c r="Y33255" s="501"/>
    </row>
    <row r="33256" spans="25:25" hidden="1" x14ac:dyDescent="0.25">
      <c r="Y33256" s="501"/>
    </row>
    <row r="33257" spans="25:25" hidden="1" x14ac:dyDescent="0.25">
      <c r="Y33257" s="501"/>
    </row>
    <row r="33258" spans="25:25" hidden="1" x14ac:dyDescent="0.25">
      <c r="Y33258" s="501"/>
    </row>
    <row r="33259" spans="25:25" hidden="1" x14ac:dyDescent="0.25">
      <c r="Y33259" s="501"/>
    </row>
    <row r="33260" spans="25:25" hidden="1" x14ac:dyDescent="0.25">
      <c r="Y33260" s="501"/>
    </row>
    <row r="33261" spans="25:25" hidden="1" x14ac:dyDescent="0.25">
      <c r="Y33261" s="501"/>
    </row>
    <row r="33262" spans="25:25" hidden="1" x14ac:dyDescent="0.25">
      <c r="Y33262" s="501"/>
    </row>
    <row r="33263" spans="25:25" hidden="1" x14ac:dyDescent="0.25">
      <c r="Y33263" s="501"/>
    </row>
    <row r="33264" spans="25:25" hidden="1" x14ac:dyDescent="0.25">
      <c r="Y33264" s="501"/>
    </row>
    <row r="33265" spans="25:25" hidden="1" x14ac:dyDescent="0.25">
      <c r="Y33265" s="501"/>
    </row>
    <row r="33266" spans="25:25" hidden="1" x14ac:dyDescent="0.25">
      <c r="Y33266" s="501"/>
    </row>
    <row r="33267" spans="25:25" hidden="1" x14ac:dyDescent="0.25">
      <c r="Y33267" s="501"/>
    </row>
    <row r="33268" spans="25:25" hidden="1" x14ac:dyDescent="0.25">
      <c r="Y33268" s="501"/>
    </row>
    <row r="33269" spans="25:25" hidden="1" x14ac:dyDescent="0.25">
      <c r="Y33269" s="501"/>
    </row>
    <row r="33270" spans="25:25" hidden="1" x14ac:dyDescent="0.25">
      <c r="Y33270" s="501"/>
    </row>
    <row r="33271" spans="25:25" hidden="1" x14ac:dyDescent="0.25">
      <c r="Y33271" s="501"/>
    </row>
    <row r="33272" spans="25:25" hidden="1" x14ac:dyDescent="0.25">
      <c r="Y33272" s="501"/>
    </row>
    <row r="33273" spans="25:25" hidden="1" x14ac:dyDescent="0.25">
      <c r="Y33273" s="501"/>
    </row>
    <row r="33274" spans="25:25" hidden="1" x14ac:dyDescent="0.25">
      <c r="Y33274" s="501"/>
    </row>
    <row r="33275" spans="25:25" hidden="1" x14ac:dyDescent="0.25">
      <c r="Y33275" s="501"/>
    </row>
    <row r="33276" spans="25:25" hidden="1" x14ac:dyDescent="0.25">
      <c r="Y33276" s="501"/>
    </row>
    <row r="33277" spans="25:25" hidden="1" x14ac:dyDescent="0.25">
      <c r="Y33277" s="501"/>
    </row>
    <row r="33278" spans="25:25" hidden="1" x14ac:dyDescent="0.25">
      <c r="Y33278" s="501"/>
    </row>
    <row r="33279" spans="25:25" hidden="1" x14ac:dyDescent="0.25">
      <c r="Y33279" s="501"/>
    </row>
    <row r="33280" spans="25:25" hidden="1" x14ac:dyDescent="0.25">
      <c r="Y33280" s="501"/>
    </row>
    <row r="33281" spans="25:25" hidden="1" x14ac:dyDescent="0.25">
      <c r="Y33281" s="501"/>
    </row>
    <row r="33282" spans="25:25" hidden="1" x14ac:dyDescent="0.25">
      <c r="Y33282" s="501"/>
    </row>
    <row r="33283" spans="25:25" hidden="1" x14ac:dyDescent="0.25">
      <c r="Y33283" s="501"/>
    </row>
    <row r="33284" spans="25:25" hidden="1" x14ac:dyDescent="0.25">
      <c r="Y33284" s="501"/>
    </row>
    <row r="33285" spans="25:25" hidden="1" x14ac:dyDescent="0.25">
      <c r="Y33285" s="501"/>
    </row>
    <row r="33286" spans="25:25" hidden="1" x14ac:dyDescent="0.25">
      <c r="Y33286" s="501"/>
    </row>
    <row r="33287" spans="25:25" hidden="1" x14ac:dyDescent="0.25">
      <c r="Y33287" s="501"/>
    </row>
    <row r="33288" spans="25:25" hidden="1" x14ac:dyDescent="0.25">
      <c r="Y33288" s="501"/>
    </row>
    <row r="33289" spans="25:25" hidden="1" x14ac:dyDescent="0.25">
      <c r="Y33289" s="501"/>
    </row>
    <row r="33290" spans="25:25" hidden="1" x14ac:dyDescent="0.25">
      <c r="Y33290" s="501"/>
    </row>
    <row r="33291" spans="25:25" hidden="1" x14ac:dyDescent="0.25">
      <c r="Y33291" s="501"/>
    </row>
    <row r="33292" spans="25:25" hidden="1" x14ac:dyDescent="0.25">
      <c r="Y33292" s="501"/>
    </row>
    <row r="33293" spans="25:25" hidden="1" x14ac:dyDescent="0.25">
      <c r="Y33293" s="501"/>
    </row>
    <row r="33294" spans="25:25" hidden="1" x14ac:dyDescent="0.25">
      <c r="Y33294" s="501"/>
    </row>
    <row r="33295" spans="25:25" hidden="1" x14ac:dyDescent="0.25">
      <c r="Y33295" s="501"/>
    </row>
    <row r="33296" spans="25:25" hidden="1" x14ac:dyDescent="0.25">
      <c r="Y33296" s="501"/>
    </row>
    <row r="33297" spans="25:25" hidden="1" x14ac:dyDescent="0.25">
      <c r="Y33297" s="501"/>
    </row>
    <row r="33298" spans="25:25" hidden="1" x14ac:dyDescent="0.25">
      <c r="Y33298" s="501"/>
    </row>
    <row r="33299" spans="25:25" hidden="1" x14ac:dyDescent="0.25">
      <c r="Y33299" s="501"/>
    </row>
    <row r="33300" spans="25:25" hidden="1" x14ac:dyDescent="0.25">
      <c r="Y33300" s="501"/>
    </row>
    <row r="33301" spans="25:25" hidden="1" x14ac:dyDescent="0.25">
      <c r="Y33301" s="501"/>
    </row>
    <row r="33302" spans="25:25" hidden="1" x14ac:dyDescent="0.25">
      <c r="Y33302" s="501"/>
    </row>
    <row r="33303" spans="25:25" hidden="1" x14ac:dyDescent="0.25">
      <c r="Y33303" s="501"/>
    </row>
    <row r="33304" spans="25:25" hidden="1" x14ac:dyDescent="0.25">
      <c r="Y33304" s="501"/>
    </row>
    <row r="33305" spans="25:25" hidden="1" x14ac:dyDescent="0.25">
      <c r="Y33305" s="501"/>
    </row>
    <row r="33306" spans="25:25" hidden="1" x14ac:dyDescent="0.25">
      <c r="Y33306" s="501"/>
    </row>
    <row r="33307" spans="25:25" hidden="1" x14ac:dyDescent="0.25">
      <c r="Y33307" s="501"/>
    </row>
    <row r="33308" spans="25:25" hidden="1" x14ac:dyDescent="0.25">
      <c r="Y33308" s="501"/>
    </row>
    <row r="33309" spans="25:25" hidden="1" x14ac:dyDescent="0.25">
      <c r="Y33309" s="501"/>
    </row>
    <row r="33310" spans="25:25" hidden="1" x14ac:dyDescent="0.25">
      <c r="Y33310" s="501"/>
    </row>
    <row r="33311" spans="25:25" hidden="1" x14ac:dyDescent="0.25">
      <c r="Y33311" s="501"/>
    </row>
    <row r="33312" spans="25:25" hidden="1" x14ac:dyDescent="0.25">
      <c r="Y33312" s="501"/>
    </row>
    <row r="33313" spans="25:25" hidden="1" x14ac:dyDescent="0.25">
      <c r="Y33313" s="501"/>
    </row>
    <row r="33314" spans="25:25" hidden="1" x14ac:dyDescent="0.25">
      <c r="Y33314" s="501"/>
    </row>
    <row r="33315" spans="25:25" hidden="1" x14ac:dyDescent="0.25">
      <c r="Y33315" s="501"/>
    </row>
    <row r="33316" spans="25:25" hidden="1" x14ac:dyDescent="0.25">
      <c r="Y33316" s="501"/>
    </row>
    <row r="33317" spans="25:25" hidden="1" x14ac:dyDescent="0.25">
      <c r="Y33317" s="501"/>
    </row>
    <row r="33318" spans="25:25" hidden="1" x14ac:dyDescent="0.25">
      <c r="Y33318" s="501"/>
    </row>
    <row r="33319" spans="25:25" hidden="1" x14ac:dyDescent="0.25">
      <c r="Y33319" s="501"/>
    </row>
    <row r="33320" spans="25:25" hidden="1" x14ac:dyDescent="0.25">
      <c r="Y33320" s="501"/>
    </row>
    <row r="33321" spans="25:25" hidden="1" x14ac:dyDescent="0.25">
      <c r="Y33321" s="501"/>
    </row>
    <row r="33322" spans="25:25" hidden="1" x14ac:dyDescent="0.25">
      <c r="Y33322" s="501"/>
    </row>
    <row r="33323" spans="25:25" hidden="1" x14ac:dyDescent="0.25">
      <c r="Y33323" s="501"/>
    </row>
    <row r="33324" spans="25:25" hidden="1" x14ac:dyDescent="0.25">
      <c r="Y33324" s="501"/>
    </row>
    <row r="33325" spans="25:25" hidden="1" x14ac:dyDescent="0.25">
      <c r="Y33325" s="501"/>
    </row>
    <row r="33326" spans="25:25" hidden="1" x14ac:dyDescent="0.25">
      <c r="Y33326" s="501"/>
    </row>
    <row r="33327" spans="25:25" hidden="1" x14ac:dyDescent="0.25">
      <c r="Y33327" s="501"/>
    </row>
    <row r="33328" spans="25:25" hidden="1" x14ac:dyDescent="0.25">
      <c r="Y33328" s="501"/>
    </row>
    <row r="33329" spans="25:25" hidden="1" x14ac:dyDescent="0.25">
      <c r="Y33329" s="501"/>
    </row>
    <row r="33330" spans="25:25" hidden="1" x14ac:dyDescent="0.25">
      <c r="Y33330" s="501"/>
    </row>
    <row r="33331" spans="25:25" hidden="1" x14ac:dyDescent="0.25">
      <c r="Y33331" s="501"/>
    </row>
    <row r="33332" spans="25:25" hidden="1" x14ac:dyDescent="0.25">
      <c r="Y33332" s="501"/>
    </row>
    <row r="33333" spans="25:25" hidden="1" x14ac:dyDescent="0.25">
      <c r="Y33333" s="501"/>
    </row>
    <row r="33334" spans="25:25" hidden="1" x14ac:dyDescent="0.25">
      <c r="Y33334" s="501"/>
    </row>
    <row r="33335" spans="25:25" hidden="1" x14ac:dyDescent="0.25">
      <c r="Y33335" s="501"/>
    </row>
    <row r="33336" spans="25:25" hidden="1" x14ac:dyDescent="0.25">
      <c r="Y33336" s="501"/>
    </row>
    <row r="33337" spans="25:25" hidden="1" x14ac:dyDescent="0.25">
      <c r="Y33337" s="501"/>
    </row>
    <row r="33338" spans="25:25" hidden="1" x14ac:dyDescent="0.25">
      <c r="Y33338" s="501"/>
    </row>
    <row r="33339" spans="25:25" hidden="1" x14ac:dyDescent="0.25">
      <c r="Y33339" s="501"/>
    </row>
    <row r="33340" spans="25:25" hidden="1" x14ac:dyDescent="0.25">
      <c r="Y33340" s="501"/>
    </row>
    <row r="33341" spans="25:25" hidden="1" x14ac:dyDescent="0.25">
      <c r="Y33341" s="501"/>
    </row>
    <row r="33342" spans="25:25" hidden="1" x14ac:dyDescent="0.25">
      <c r="Y33342" s="501"/>
    </row>
    <row r="33343" spans="25:25" hidden="1" x14ac:dyDescent="0.25">
      <c r="Y33343" s="501"/>
    </row>
    <row r="33344" spans="25:25" hidden="1" x14ac:dyDescent="0.25">
      <c r="Y33344" s="501"/>
    </row>
    <row r="33345" spans="25:25" hidden="1" x14ac:dyDescent="0.25">
      <c r="Y33345" s="501"/>
    </row>
    <row r="33346" spans="25:25" hidden="1" x14ac:dyDescent="0.25">
      <c r="Y33346" s="501"/>
    </row>
    <row r="33347" spans="25:25" hidden="1" x14ac:dyDescent="0.25">
      <c r="Y33347" s="501"/>
    </row>
    <row r="33348" spans="25:25" hidden="1" x14ac:dyDescent="0.25">
      <c r="Y33348" s="501"/>
    </row>
    <row r="33349" spans="25:25" hidden="1" x14ac:dyDescent="0.25">
      <c r="Y33349" s="501"/>
    </row>
    <row r="33350" spans="25:25" hidden="1" x14ac:dyDescent="0.25">
      <c r="Y33350" s="501"/>
    </row>
    <row r="33351" spans="25:25" hidden="1" x14ac:dyDescent="0.25">
      <c r="Y33351" s="501"/>
    </row>
    <row r="33352" spans="25:25" hidden="1" x14ac:dyDescent="0.25">
      <c r="Y33352" s="501"/>
    </row>
    <row r="33353" spans="25:25" hidden="1" x14ac:dyDescent="0.25">
      <c r="Y33353" s="501"/>
    </row>
    <row r="33354" spans="25:25" hidden="1" x14ac:dyDescent="0.25">
      <c r="Y33354" s="501"/>
    </row>
    <row r="33355" spans="25:25" hidden="1" x14ac:dyDescent="0.25">
      <c r="Y33355" s="501"/>
    </row>
    <row r="33356" spans="25:25" hidden="1" x14ac:dyDescent="0.25">
      <c r="Y33356" s="501"/>
    </row>
    <row r="33357" spans="25:25" hidden="1" x14ac:dyDescent="0.25">
      <c r="Y33357" s="501"/>
    </row>
    <row r="33358" spans="25:25" hidden="1" x14ac:dyDescent="0.25">
      <c r="Y33358" s="501"/>
    </row>
    <row r="33359" spans="25:25" hidden="1" x14ac:dyDescent="0.25">
      <c r="Y33359" s="501"/>
    </row>
    <row r="33360" spans="25:25" hidden="1" x14ac:dyDescent="0.25">
      <c r="Y33360" s="501"/>
    </row>
    <row r="33361" spans="25:25" hidden="1" x14ac:dyDescent="0.25">
      <c r="Y33361" s="501"/>
    </row>
    <row r="33362" spans="25:25" hidden="1" x14ac:dyDescent="0.25">
      <c r="Y33362" s="501"/>
    </row>
    <row r="33363" spans="25:25" hidden="1" x14ac:dyDescent="0.25">
      <c r="Y33363" s="501"/>
    </row>
    <row r="33364" spans="25:25" hidden="1" x14ac:dyDescent="0.25">
      <c r="Y33364" s="501"/>
    </row>
    <row r="33365" spans="25:25" hidden="1" x14ac:dyDescent="0.25">
      <c r="Y33365" s="501"/>
    </row>
    <row r="33366" spans="25:25" hidden="1" x14ac:dyDescent="0.25">
      <c r="Y33366" s="501"/>
    </row>
    <row r="33367" spans="25:25" hidden="1" x14ac:dyDescent="0.25">
      <c r="Y33367" s="501"/>
    </row>
    <row r="33368" spans="25:25" hidden="1" x14ac:dyDescent="0.25">
      <c r="Y33368" s="501"/>
    </row>
    <row r="33369" spans="25:25" hidden="1" x14ac:dyDescent="0.25">
      <c r="Y33369" s="501"/>
    </row>
    <row r="33370" spans="25:25" hidden="1" x14ac:dyDescent="0.25">
      <c r="Y33370" s="501"/>
    </row>
    <row r="33371" spans="25:25" hidden="1" x14ac:dyDescent="0.25">
      <c r="Y33371" s="501"/>
    </row>
    <row r="33372" spans="25:25" hidden="1" x14ac:dyDescent="0.25">
      <c r="Y33372" s="501"/>
    </row>
    <row r="33373" spans="25:25" hidden="1" x14ac:dyDescent="0.25">
      <c r="Y33373" s="501"/>
    </row>
    <row r="33374" spans="25:25" hidden="1" x14ac:dyDescent="0.25">
      <c r="Y33374" s="501"/>
    </row>
    <row r="33375" spans="25:25" hidden="1" x14ac:dyDescent="0.25">
      <c r="Y33375" s="501"/>
    </row>
    <row r="33376" spans="25:25" hidden="1" x14ac:dyDescent="0.25">
      <c r="Y33376" s="501"/>
    </row>
    <row r="33377" spans="25:25" hidden="1" x14ac:dyDescent="0.25">
      <c r="Y33377" s="501"/>
    </row>
    <row r="33378" spans="25:25" hidden="1" x14ac:dyDescent="0.25">
      <c r="Y33378" s="501"/>
    </row>
    <row r="33379" spans="25:25" hidden="1" x14ac:dyDescent="0.25">
      <c r="Y33379" s="501"/>
    </row>
    <row r="33380" spans="25:25" hidden="1" x14ac:dyDescent="0.25">
      <c r="Y33380" s="501"/>
    </row>
    <row r="33381" spans="25:25" hidden="1" x14ac:dyDescent="0.25">
      <c r="Y33381" s="501"/>
    </row>
    <row r="33382" spans="25:25" hidden="1" x14ac:dyDescent="0.25">
      <c r="Y33382" s="501"/>
    </row>
    <row r="33383" spans="25:25" hidden="1" x14ac:dyDescent="0.25">
      <c r="Y33383" s="501"/>
    </row>
    <row r="33384" spans="25:25" hidden="1" x14ac:dyDescent="0.25">
      <c r="Y33384" s="501"/>
    </row>
    <row r="33385" spans="25:25" hidden="1" x14ac:dyDescent="0.25">
      <c r="Y33385" s="501"/>
    </row>
    <row r="33386" spans="25:25" hidden="1" x14ac:dyDescent="0.25">
      <c r="Y33386" s="501"/>
    </row>
    <row r="33387" spans="25:25" hidden="1" x14ac:dyDescent="0.25">
      <c r="Y33387" s="501"/>
    </row>
    <row r="33388" spans="25:25" hidden="1" x14ac:dyDescent="0.25">
      <c r="Y33388" s="501"/>
    </row>
    <row r="33389" spans="25:25" hidden="1" x14ac:dyDescent="0.25">
      <c r="Y33389" s="501"/>
    </row>
    <row r="33390" spans="25:25" hidden="1" x14ac:dyDescent="0.25">
      <c r="Y33390" s="501"/>
    </row>
    <row r="33391" spans="25:25" hidden="1" x14ac:dyDescent="0.25">
      <c r="Y33391" s="501"/>
    </row>
    <row r="33392" spans="25:25" hidden="1" x14ac:dyDescent="0.25">
      <c r="Y33392" s="501"/>
    </row>
    <row r="33393" spans="25:25" hidden="1" x14ac:dyDescent="0.25">
      <c r="Y33393" s="501"/>
    </row>
    <row r="33394" spans="25:25" hidden="1" x14ac:dyDescent="0.25">
      <c r="Y33394" s="501"/>
    </row>
    <row r="33395" spans="25:25" hidden="1" x14ac:dyDescent="0.25">
      <c r="Y33395" s="501"/>
    </row>
    <row r="33396" spans="25:25" hidden="1" x14ac:dyDescent="0.25">
      <c r="Y33396" s="501"/>
    </row>
    <row r="33397" spans="25:25" hidden="1" x14ac:dyDescent="0.25">
      <c r="Y33397" s="501"/>
    </row>
    <row r="33398" spans="25:25" hidden="1" x14ac:dyDescent="0.25">
      <c r="Y33398" s="501"/>
    </row>
    <row r="33399" spans="25:25" hidden="1" x14ac:dyDescent="0.25">
      <c r="Y33399" s="501"/>
    </row>
    <row r="33400" spans="25:25" hidden="1" x14ac:dyDescent="0.25">
      <c r="Y33400" s="501"/>
    </row>
    <row r="33401" spans="25:25" hidden="1" x14ac:dyDescent="0.25">
      <c r="Y33401" s="501"/>
    </row>
    <row r="33402" spans="25:25" hidden="1" x14ac:dyDescent="0.25">
      <c r="Y33402" s="501"/>
    </row>
    <row r="33403" spans="25:25" hidden="1" x14ac:dyDescent="0.25">
      <c r="Y33403" s="501"/>
    </row>
    <row r="33404" spans="25:25" hidden="1" x14ac:dyDescent="0.25">
      <c r="Y33404" s="501"/>
    </row>
    <row r="33405" spans="25:25" hidden="1" x14ac:dyDescent="0.25">
      <c r="Y33405" s="501"/>
    </row>
    <row r="33406" spans="25:25" hidden="1" x14ac:dyDescent="0.25">
      <c r="Y33406" s="501"/>
    </row>
    <row r="33407" spans="25:25" hidden="1" x14ac:dyDescent="0.25">
      <c r="Y33407" s="501"/>
    </row>
    <row r="33408" spans="25:25" hidden="1" x14ac:dyDescent="0.25">
      <c r="Y33408" s="501"/>
    </row>
    <row r="33409" spans="25:25" hidden="1" x14ac:dyDescent="0.25">
      <c r="Y33409" s="501"/>
    </row>
    <row r="33410" spans="25:25" hidden="1" x14ac:dyDescent="0.25">
      <c r="Y33410" s="501"/>
    </row>
    <row r="33411" spans="25:25" hidden="1" x14ac:dyDescent="0.25">
      <c r="Y33411" s="501"/>
    </row>
    <row r="33412" spans="25:25" hidden="1" x14ac:dyDescent="0.25">
      <c r="Y33412" s="501"/>
    </row>
    <row r="33413" spans="25:25" hidden="1" x14ac:dyDescent="0.25">
      <c r="Y33413" s="501"/>
    </row>
    <row r="33414" spans="25:25" hidden="1" x14ac:dyDescent="0.25">
      <c r="Y33414" s="501"/>
    </row>
    <row r="33415" spans="25:25" hidden="1" x14ac:dyDescent="0.25">
      <c r="Y33415" s="501"/>
    </row>
    <row r="33416" spans="25:25" hidden="1" x14ac:dyDescent="0.25">
      <c r="Y33416" s="501"/>
    </row>
    <row r="33417" spans="25:25" hidden="1" x14ac:dyDescent="0.25">
      <c r="Y33417" s="501"/>
    </row>
    <row r="33418" spans="25:25" hidden="1" x14ac:dyDescent="0.25">
      <c r="Y33418" s="501"/>
    </row>
    <row r="33419" spans="25:25" hidden="1" x14ac:dyDescent="0.25">
      <c r="Y33419" s="501"/>
    </row>
    <row r="33420" spans="25:25" hidden="1" x14ac:dyDescent="0.25">
      <c r="Y33420" s="501"/>
    </row>
    <row r="33421" spans="25:25" hidden="1" x14ac:dyDescent="0.25">
      <c r="Y33421" s="501"/>
    </row>
    <row r="33422" spans="25:25" hidden="1" x14ac:dyDescent="0.25">
      <c r="Y33422" s="501"/>
    </row>
    <row r="33423" spans="25:25" hidden="1" x14ac:dyDescent="0.25">
      <c r="Y33423" s="501"/>
    </row>
    <row r="33424" spans="25:25" hidden="1" x14ac:dyDescent="0.25">
      <c r="Y33424" s="501"/>
    </row>
    <row r="33425" spans="25:25" hidden="1" x14ac:dyDescent="0.25">
      <c r="Y33425" s="501"/>
    </row>
    <row r="33426" spans="25:25" hidden="1" x14ac:dyDescent="0.25">
      <c r="Y33426" s="501"/>
    </row>
    <row r="33427" spans="25:25" hidden="1" x14ac:dyDescent="0.25">
      <c r="Y33427" s="501"/>
    </row>
    <row r="33428" spans="25:25" hidden="1" x14ac:dyDescent="0.25">
      <c r="Y33428" s="501"/>
    </row>
    <row r="33429" spans="25:25" hidden="1" x14ac:dyDescent="0.25">
      <c r="Y33429" s="501"/>
    </row>
    <row r="33430" spans="25:25" hidden="1" x14ac:dyDescent="0.25">
      <c r="Y33430" s="501"/>
    </row>
    <row r="33431" spans="25:25" hidden="1" x14ac:dyDescent="0.25">
      <c r="Y33431" s="501"/>
    </row>
    <row r="33432" spans="25:25" hidden="1" x14ac:dyDescent="0.25">
      <c r="Y33432" s="501"/>
    </row>
    <row r="33433" spans="25:25" hidden="1" x14ac:dyDescent="0.25">
      <c r="Y33433" s="501"/>
    </row>
    <row r="33434" spans="25:25" hidden="1" x14ac:dyDescent="0.25">
      <c r="Y33434" s="501"/>
    </row>
    <row r="33435" spans="25:25" hidden="1" x14ac:dyDescent="0.25">
      <c r="Y33435" s="501"/>
    </row>
    <row r="33436" spans="25:25" hidden="1" x14ac:dyDescent="0.25">
      <c r="Y33436" s="501"/>
    </row>
    <row r="33437" spans="25:25" hidden="1" x14ac:dyDescent="0.25">
      <c r="Y33437" s="501"/>
    </row>
    <row r="33438" spans="25:25" hidden="1" x14ac:dyDescent="0.25">
      <c r="Y33438" s="501"/>
    </row>
    <row r="33439" spans="25:25" hidden="1" x14ac:dyDescent="0.25">
      <c r="Y33439" s="501"/>
    </row>
    <row r="33440" spans="25:25" hidden="1" x14ac:dyDescent="0.25">
      <c r="Y33440" s="501"/>
    </row>
    <row r="33441" spans="25:25" hidden="1" x14ac:dyDescent="0.25">
      <c r="Y33441" s="501"/>
    </row>
    <row r="33442" spans="25:25" hidden="1" x14ac:dyDescent="0.25">
      <c r="Y33442" s="501"/>
    </row>
    <row r="33443" spans="25:25" hidden="1" x14ac:dyDescent="0.25">
      <c r="Y33443" s="501"/>
    </row>
    <row r="33444" spans="25:25" hidden="1" x14ac:dyDescent="0.25">
      <c r="Y33444" s="501"/>
    </row>
    <row r="33445" spans="25:25" hidden="1" x14ac:dyDescent="0.25">
      <c r="Y33445" s="501"/>
    </row>
    <row r="33446" spans="25:25" hidden="1" x14ac:dyDescent="0.25">
      <c r="Y33446" s="501"/>
    </row>
    <row r="33447" spans="25:25" hidden="1" x14ac:dyDescent="0.25">
      <c r="Y33447" s="501"/>
    </row>
    <row r="33448" spans="25:25" hidden="1" x14ac:dyDescent="0.25">
      <c r="Y33448" s="501"/>
    </row>
    <row r="33449" spans="25:25" hidden="1" x14ac:dyDescent="0.25">
      <c r="Y33449" s="501"/>
    </row>
    <row r="33450" spans="25:25" hidden="1" x14ac:dyDescent="0.25">
      <c r="Y33450" s="501"/>
    </row>
    <row r="33451" spans="25:25" hidden="1" x14ac:dyDescent="0.25">
      <c r="Y33451" s="501"/>
    </row>
    <row r="33452" spans="25:25" hidden="1" x14ac:dyDescent="0.25">
      <c r="Y33452" s="501"/>
    </row>
    <row r="33453" spans="25:25" hidden="1" x14ac:dyDescent="0.25">
      <c r="Y33453" s="501"/>
    </row>
    <row r="33454" spans="25:25" hidden="1" x14ac:dyDescent="0.25">
      <c r="Y33454" s="501"/>
    </row>
    <row r="33455" spans="25:25" hidden="1" x14ac:dyDescent="0.25">
      <c r="Y33455" s="501"/>
    </row>
    <row r="33456" spans="25:25" hidden="1" x14ac:dyDescent="0.25">
      <c r="Y33456" s="501"/>
    </row>
    <row r="33457" spans="25:25" hidden="1" x14ac:dyDescent="0.25">
      <c r="Y33457" s="501"/>
    </row>
    <row r="33458" spans="25:25" hidden="1" x14ac:dyDescent="0.25">
      <c r="Y33458" s="501"/>
    </row>
    <row r="33459" spans="25:25" hidden="1" x14ac:dyDescent="0.25">
      <c r="Y33459" s="501"/>
    </row>
    <row r="33460" spans="25:25" hidden="1" x14ac:dyDescent="0.25">
      <c r="Y33460" s="501"/>
    </row>
    <row r="33461" spans="25:25" hidden="1" x14ac:dyDescent="0.25">
      <c r="Y33461" s="501"/>
    </row>
    <row r="33462" spans="25:25" hidden="1" x14ac:dyDescent="0.25">
      <c r="Y33462" s="501"/>
    </row>
    <row r="33463" spans="25:25" hidden="1" x14ac:dyDescent="0.25">
      <c r="Y33463" s="501"/>
    </row>
    <row r="33464" spans="25:25" hidden="1" x14ac:dyDescent="0.25">
      <c r="Y33464" s="501"/>
    </row>
    <row r="33465" spans="25:25" hidden="1" x14ac:dyDescent="0.25">
      <c r="Y33465" s="501"/>
    </row>
    <row r="33466" spans="25:25" hidden="1" x14ac:dyDescent="0.25">
      <c r="Y33466" s="501"/>
    </row>
    <row r="33467" spans="25:25" hidden="1" x14ac:dyDescent="0.25">
      <c r="Y33467" s="501"/>
    </row>
    <row r="33468" spans="25:25" hidden="1" x14ac:dyDescent="0.25">
      <c r="Y33468" s="501"/>
    </row>
    <row r="33469" spans="25:25" hidden="1" x14ac:dyDescent="0.25">
      <c r="Y33469" s="501"/>
    </row>
    <row r="33470" spans="25:25" hidden="1" x14ac:dyDescent="0.25">
      <c r="Y33470" s="501"/>
    </row>
    <row r="33471" spans="25:25" hidden="1" x14ac:dyDescent="0.25">
      <c r="Y33471" s="501"/>
    </row>
    <row r="33472" spans="25:25" hidden="1" x14ac:dyDescent="0.25">
      <c r="Y33472" s="501"/>
    </row>
    <row r="33473" spans="25:25" hidden="1" x14ac:dyDescent="0.25">
      <c r="Y33473" s="501"/>
    </row>
    <row r="33474" spans="25:25" hidden="1" x14ac:dyDescent="0.25">
      <c r="Y33474" s="501"/>
    </row>
    <row r="33475" spans="25:25" hidden="1" x14ac:dyDescent="0.25">
      <c r="Y33475" s="501"/>
    </row>
    <row r="33476" spans="25:25" hidden="1" x14ac:dyDescent="0.25">
      <c r="Y33476" s="501"/>
    </row>
    <row r="33477" spans="25:25" hidden="1" x14ac:dyDescent="0.25">
      <c r="Y33477" s="501"/>
    </row>
    <row r="33478" spans="25:25" hidden="1" x14ac:dyDescent="0.25">
      <c r="Y33478" s="501"/>
    </row>
    <row r="33479" spans="25:25" hidden="1" x14ac:dyDescent="0.25">
      <c r="Y33479" s="501"/>
    </row>
    <row r="33480" spans="25:25" hidden="1" x14ac:dyDescent="0.25">
      <c r="Y33480" s="501"/>
    </row>
    <row r="33481" spans="25:25" hidden="1" x14ac:dyDescent="0.25">
      <c r="Y33481" s="501"/>
    </row>
    <row r="33482" spans="25:25" hidden="1" x14ac:dyDescent="0.25">
      <c r="Y33482" s="501"/>
    </row>
    <row r="33483" spans="25:25" hidden="1" x14ac:dyDescent="0.25">
      <c r="Y33483" s="501"/>
    </row>
    <row r="33484" spans="25:25" hidden="1" x14ac:dyDescent="0.25">
      <c r="Y33484" s="501"/>
    </row>
    <row r="33485" spans="25:25" hidden="1" x14ac:dyDescent="0.25">
      <c r="Y33485" s="501"/>
    </row>
    <row r="33486" spans="25:25" hidden="1" x14ac:dyDescent="0.25">
      <c r="Y33486" s="501"/>
    </row>
    <row r="33487" spans="25:25" hidden="1" x14ac:dyDescent="0.25">
      <c r="Y33487" s="501"/>
    </row>
    <row r="33488" spans="25:25" hidden="1" x14ac:dyDescent="0.25">
      <c r="Y33488" s="501"/>
    </row>
    <row r="33489" spans="25:25" hidden="1" x14ac:dyDescent="0.25">
      <c r="Y33489" s="501"/>
    </row>
    <row r="33490" spans="25:25" hidden="1" x14ac:dyDescent="0.25">
      <c r="Y33490" s="501"/>
    </row>
    <row r="33491" spans="25:25" hidden="1" x14ac:dyDescent="0.25">
      <c r="Y33491" s="501"/>
    </row>
    <row r="33492" spans="25:25" hidden="1" x14ac:dyDescent="0.25">
      <c r="Y33492" s="501"/>
    </row>
    <row r="33493" spans="25:25" hidden="1" x14ac:dyDescent="0.25">
      <c r="Y33493" s="501"/>
    </row>
    <row r="33494" spans="25:25" hidden="1" x14ac:dyDescent="0.25">
      <c r="Y33494" s="501"/>
    </row>
    <row r="33495" spans="25:25" hidden="1" x14ac:dyDescent="0.25">
      <c r="Y33495" s="501"/>
    </row>
    <row r="33496" spans="25:25" hidden="1" x14ac:dyDescent="0.25">
      <c r="Y33496" s="501"/>
    </row>
    <row r="33497" spans="25:25" hidden="1" x14ac:dyDescent="0.25">
      <c r="Y33497" s="501"/>
    </row>
    <row r="33498" spans="25:25" hidden="1" x14ac:dyDescent="0.25">
      <c r="Y33498" s="501"/>
    </row>
    <row r="33499" spans="25:25" hidden="1" x14ac:dyDescent="0.25">
      <c r="Y33499" s="501"/>
    </row>
    <row r="33500" spans="25:25" hidden="1" x14ac:dyDescent="0.25">
      <c r="Y33500" s="501"/>
    </row>
    <row r="33501" spans="25:25" hidden="1" x14ac:dyDescent="0.25">
      <c r="Y33501" s="501"/>
    </row>
    <row r="33502" spans="25:25" hidden="1" x14ac:dyDescent="0.25">
      <c r="Y33502" s="501"/>
    </row>
    <row r="33503" spans="25:25" hidden="1" x14ac:dyDescent="0.25">
      <c r="Y33503" s="501"/>
    </row>
    <row r="33504" spans="25:25" hidden="1" x14ac:dyDescent="0.25">
      <c r="Y33504" s="501"/>
    </row>
    <row r="33505" spans="25:25" hidden="1" x14ac:dyDescent="0.25">
      <c r="Y33505" s="501"/>
    </row>
    <row r="33506" spans="25:25" hidden="1" x14ac:dyDescent="0.25">
      <c r="Y33506" s="501"/>
    </row>
    <row r="33507" spans="25:25" hidden="1" x14ac:dyDescent="0.25">
      <c r="Y33507" s="501"/>
    </row>
    <row r="33508" spans="25:25" hidden="1" x14ac:dyDescent="0.25">
      <c r="Y33508" s="501"/>
    </row>
    <row r="33509" spans="25:25" hidden="1" x14ac:dyDescent="0.25">
      <c r="Y33509" s="501"/>
    </row>
    <row r="33510" spans="25:25" hidden="1" x14ac:dyDescent="0.25">
      <c r="Y33510" s="501"/>
    </row>
    <row r="33511" spans="25:25" hidden="1" x14ac:dyDescent="0.25">
      <c r="Y33511" s="501"/>
    </row>
    <row r="33512" spans="25:25" hidden="1" x14ac:dyDescent="0.25">
      <c r="Y33512" s="501"/>
    </row>
    <row r="33513" spans="25:25" hidden="1" x14ac:dyDescent="0.25">
      <c r="Y33513" s="501"/>
    </row>
    <row r="33514" spans="25:25" hidden="1" x14ac:dyDescent="0.25">
      <c r="Y33514" s="501"/>
    </row>
    <row r="33515" spans="25:25" hidden="1" x14ac:dyDescent="0.25">
      <c r="Y33515" s="501"/>
    </row>
    <row r="33516" spans="25:25" hidden="1" x14ac:dyDescent="0.25">
      <c r="Y33516" s="501"/>
    </row>
    <row r="33517" spans="25:25" hidden="1" x14ac:dyDescent="0.25">
      <c r="Y33517" s="501"/>
    </row>
    <row r="33518" spans="25:25" hidden="1" x14ac:dyDescent="0.25">
      <c r="Y33518" s="501"/>
    </row>
    <row r="33519" spans="25:25" hidden="1" x14ac:dyDescent="0.25">
      <c r="Y33519" s="501"/>
    </row>
    <row r="33520" spans="25:25" hidden="1" x14ac:dyDescent="0.25">
      <c r="Y33520" s="501"/>
    </row>
    <row r="33521" spans="25:25" hidden="1" x14ac:dyDescent="0.25">
      <c r="Y33521" s="501"/>
    </row>
    <row r="33522" spans="25:25" hidden="1" x14ac:dyDescent="0.25">
      <c r="Y33522" s="501"/>
    </row>
    <row r="33523" spans="25:25" hidden="1" x14ac:dyDescent="0.25">
      <c r="Y33523" s="501"/>
    </row>
    <row r="33524" spans="25:25" hidden="1" x14ac:dyDescent="0.25">
      <c r="Y33524" s="501"/>
    </row>
    <row r="33525" spans="25:25" hidden="1" x14ac:dyDescent="0.25">
      <c r="Y33525" s="501"/>
    </row>
    <row r="33526" spans="25:25" hidden="1" x14ac:dyDescent="0.25">
      <c r="Y33526" s="501"/>
    </row>
    <row r="33527" spans="25:25" hidden="1" x14ac:dyDescent="0.25">
      <c r="Y33527" s="501"/>
    </row>
    <row r="33528" spans="25:25" hidden="1" x14ac:dyDescent="0.25">
      <c r="Y33528" s="501"/>
    </row>
    <row r="33529" spans="25:25" hidden="1" x14ac:dyDescent="0.25">
      <c r="Y33529" s="501"/>
    </row>
    <row r="33530" spans="25:25" hidden="1" x14ac:dyDescent="0.25">
      <c r="Y33530" s="501"/>
    </row>
    <row r="33531" spans="25:25" hidden="1" x14ac:dyDescent="0.25">
      <c r="Y33531" s="501"/>
    </row>
    <row r="33532" spans="25:25" hidden="1" x14ac:dyDescent="0.25">
      <c r="Y33532" s="501"/>
    </row>
    <row r="33533" spans="25:25" hidden="1" x14ac:dyDescent="0.25">
      <c r="Y33533" s="501"/>
    </row>
    <row r="33534" spans="25:25" hidden="1" x14ac:dyDescent="0.25">
      <c r="Y33534" s="501"/>
    </row>
    <row r="33535" spans="25:25" hidden="1" x14ac:dyDescent="0.25">
      <c r="Y33535" s="501"/>
    </row>
    <row r="33536" spans="25:25" hidden="1" x14ac:dyDescent="0.25">
      <c r="Y33536" s="501"/>
    </row>
    <row r="33537" spans="25:25" hidden="1" x14ac:dyDescent="0.25">
      <c r="Y33537" s="501"/>
    </row>
    <row r="33538" spans="25:25" hidden="1" x14ac:dyDescent="0.25">
      <c r="Y33538" s="501"/>
    </row>
    <row r="33539" spans="25:25" hidden="1" x14ac:dyDescent="0.25">
      <c r="Y33539" s="501"/>
    </row>
    <row r="33540" spans="25:25" hidden="1" x14ac:dyDescent="0.25">
      <c r="Y33540" s="501"/>
    </row>
    <row r="33541" spans="25:25" hidden="1" x14ac:dyDescent="0.25">
      <c r="Y33541" s="501"/>
    </row>
    <row r="33542" spans="25:25" hidden="1" x14ac:dyDescent="0.25">
      <c r="Y33542" s="501"/>
    </row>
    <row r="33543" spans="25:25" hidden="1" x14ac:dyDescent="0.25">
      <c r="Y33543" s="501"/>
    </row>
    <row r="33544" spans="25:25" hidden="1" x14ac:dyDescent="0.25">
      <c r="Y33544" s="501"/>
    </row>
    <row r="33545" spans="25:25" hidden="1" x14ac:dyDescent="0.25">
      <c r="Y33545" s="501"/>
    </row>
    <row r="33546" spans="25:25" hidden="1" x14ac:dyDescent="0.25">
      <c r="Y33546" s="501"/>
    </row>
    <row r="33547" spans="25:25" hidden="1" x14ac:dyDescent="0.25">
      <c r="Y33547" s="501"/>
    </row>
    <row r="33548" spans="25:25" hidden="1" x14ac:dyDescent="0.25">
      <c r="Y33548" s="501"/>
    </row>
    <row r="33549" spans="25:25" hidden="1" x14ac:dyDescent="0.25">
      <c r="Y33549" s="501"/>
    </row>
    <row r="33550" spans="25:25" hidden="1" x14ac:dyDescent="0.25">
      <c r="Y33550" s="501"/>
    </row>
    <row r="33551" spans="25:25" hidden="1" x14ac:dyDescent="0.25">
      <c r="Y33551" s="501"/>
    </row>
    <row r="33552" spans="25:25" hidden="1" x14ac:dyDescent="0.25">
      <c r="Y33552" s="501"/>
    </row>
    <row r="33553" spans="25:25" hidden="1" x14ac:dyDescent="0.25">
      <c r="Y33553" s="501"/>
    </row>
    <row r="33554" spans="25:25" hidden="1" x14ac:dyDescent="0.25">
      <c r="Y33554" s="501"/>
    </row>
    <row r="33555" spans="25:25" hidden="1" x14ac:dyDescent="0.25">
      <c r="Y33555" s="501"/>
    </row>
    <row r="33556" spans="25:25" hidden="1" x14ac:dyDescent="0.25">
      <c r="Y33556" s="501"/>
    </row>
    <row r="33557" spans="25:25" hidden="1" x14ac:dyDescent="0.25">
      <c r="Y33557" s="501"/>
    </row>
    <row r="33558" spans="25:25" hidden="1" x14ac:dyDescent="0.25">
      <c r="Y33558" s="501"/>
    </row>
    <row r="33559" spans="25:25" hidden="1" x14ac:dyDescent="0.25">
      <c r="Y33559" s="501"/>
    </row>
    <row r="33560" spans="25:25" hidden="1" x14ac:dyDescent="0.25">
      <c r="Y33560" s="501"/>
    </row>
    <row r="33561" spans="25:25" hidden="1" x14ac:dyDescent="0.25">
      <c r="Y33561" s="501"/>
    </row>
    <row r="33562" spans="25:25" hidden="1" x14ac:dyDescent="0.25">
      <c r="Y33562" s="501"/>
    </row>
    <row r="33563" spans="25:25" hidden="1" x14ac:dyDescent="0.25">
      <c r="Y33563" s="501"/>
    </row>
    <row r="33564" spans="25:25" hidden="1" x14ac:dyDescent="0.25">
      <c r="Y33564" s="501"/>
    </row>
    <row r="33565" spans="25:25" hidden="1" x14ac:dyDescent="0.25">
      <c r="Y33565" s="501"/>
    </row>
    <row r="33566" spans="25:25" hidden="1" x14ac:dyDescent="0.25">
      <c r="Y33566" s="501"/>
    </row>
    <row r="33567" spans="25:25" hidden="1" x14ac:dyDescent="0.25">
      <c r="Y33567" s="501"/>
    </row>
    <row r="33568" spans="25:25" hidden="1" x14ac:dyDescent="0.25">
      <c r="Y33568" s="501"/>
    </row>
    <row r="33569" spans="25:25" hidden="1" x14ac:dyDescent="0.25">
      <c r="Y33569" s="501"/>
    </row>
    <row r="33570" spans="25:25" hidden="1" x14ac:dyDescent="0.25">
      <c r="Y33570" s="501"/>
    </row>
    <row r="33571" spans="25:25" hidden="1" x14ac:dyDescent="0.25">
      <c r="Y33571" s="501"/>
    </row>
    <row r="33572" spans="25:25" hidden="1" x14ac:dyDescent="0.25">
      <c r="Y33572" s="501"/>
    </row>
    <row r="33573" spans="25:25" hidden="1" x14ac:dyDescent="0.25">
      <c r="Y33573" s="501"/>
    </row>
    <row r="33574" spans="25:25" hidden="1" x14ac:dyDescent="0.25">
      <c r="Y33574" s="501"/>
    </row>
    <row r="33575" spans="25:25" hidden="1" x14ac:dyDescent="0.25">
      <c r="Y33575" s="501"/>
    </row>
    <row r="33576" spans="25:25" hidden="1" x14ac:dyDescent="0.25">
      <c r="Y33576" s="501"/>
    </row>
    <row r="33577" spans="25:25" hidden="1" x14ac:dyDescent="0.25">
      <c r="Y33577" s="501"/>
    </row>
    <row r="33578" spans="25:25" hidden="1" x14ac:dyDescent="0.25">
      <c r="Y33578" s="501"/>
    </row>
    <row r="33579" spans="25:25" hidden="1" x14ac:dyDescent="0.25">
      <c r="Y33579" s="501"/>
    </row>
    <row r="33580" spans="25:25" hidden="1" x14ac:dyDescent="0.25">
      <c r="Y33580" s="501"/>
    </row>
    <row r="33581" spans="25:25" hidden="1" x14ac:dyDescent="0.25">
      <c r="Y33581" s="501"/>
    </row>
    <row r="33582" spans="25:25" hidden="1" x14ac:dyDescent="0.25">
      <c r="Y33582" s="501"/>
    </row>
    <row r="33583" spans="25:25" hidden="1" x14ac:dyDescent="0.25">
      <c r="Y33583" s="501"/>
    </row>
    <row r="33584" spans="25:25" hidden="1" x14ac:dyDescent="0.25">
      <c r="Y33584" s="501"/>
    </row>
    <row r="33585" spans="25:25" hidden="1" x14ac:dyDescent="0.25">
      <c r="Y33585" s="501"/>
    </row>
    <row r="33586" spans="25:25" hidden="1" x14ac:dyDescent="0.25">
      <c r="Y33586" s="501"/>
    </row>
    <row r="33587" spans="25:25" hidden="1" x14ac:dyDescent="0.25">
      <c r="Y33587" s="501"/>
    </row>
    <row r="33588" spans="25:25" hidden="1" x14ac:dyDescent="0.25">
      <c r="Y33588" s="501"/>
    </row>
    <row r="33589" spans="25:25" hidden="1" x14ac:dyDescent="0.25">
      <c r="Y33589" s="501"/>
    </row>
    <row r="33590" spans="25:25" hidden="1" x14ac:dyDescent="0.25">
      <c r="Y33590" s="501"/>
    </row>
    <row r="33591" spans="25:25" hidden="1" x14ac:dyDescent="0.25">
      <c r="Y33591" s="501"/>
    </row>
    <row r="33592" spans="25:25" hidden="1" x14ac:dyDescent="0.25">
      <c r="Y33592" s="501"/>
    </row>
    <row r="33593" spans="25:25" hidden="1" x14ac:dyDescent="0.25">
      <c r="Y33593" s="501"/>
    </row>
    <row r="33594" spans="25:25" hidden="1" x14ac:dyDescent="0.25">
      <c r="Y33594" s="501"/>
    </row>
    <row r="33595" spans="25:25" hidden="1" x14ac:dyDescent="0.25">
      <c r="Y33595" s="501"/>
    </row>
    <row r="33596" spans="25:25" hidden="1" x14ac:dyDescent="0.25">
      <c r="Y33596" s="501"/>
    </row>
    <row r="33597" spans="25:25" hidden="1" x14ac:dyDescent="0.25">
      <c r="Y33597" s="501"/>
    </row>
    <row r="33598" spans="25:25" hidden="1" x14ac:dyDescent="0.25">
      <c r="Y33598" s="501"/>
    </row>
    <row r="33599" spans="25:25" hidden="1" x14ac:dyDescent="0.25">
      <c r="Y33599" s="501"/>
    </row>
    <row r="33600" spans="25:25" hidden="1" x14ac:dyDescent="0.25">
      <c r="Y33600" s="501"/>
    </row>
    <row r="33601" spans="25:25" hidden="1" x14ac:dyDescent="0.25">
      <c r="Y33601" s="501"/>
    </row>
    <row r="33602" spans="25:25" hidden="1" x14ac:dyDescent="0.25">
      <c r="Y33602" s="501"/>
    </row>
    <row r="33603" spans="25:25" hidden="1" x14ac:dyDescent="0.25">
      <c r="Y33603" s="501"/>
    </row>
    <row r="33604" spans="25:25" hidden="1" x14ac:dyDescent="0.25">
      <c r="Y33604" s="501"/>
    </row>
    <row r="33605" spans="25:25" hidden="1" x14ac:dyDescent="0.25">
      <c r="Y33605" s="501"/>
    </row>
    <row r="33606" spans="25:25" hidden="1" x14ac:dyDescent="0.25">
      <c r="Y33606" s="501"/>
    </row>
    <row r="33607" spans="25:25" hidden="1" x14ac:dyDescent="0.25">
      <c r="Y33607" s="501"/>
    </row>
    <row r="33608" spans="25:25" hidden="1" x14ac:dyDescent="0.25">
      <c r="Y33608" s="501"/>
    </row>
    <row r="33609" spans="25:25" hidden="1" x14ac:dyDescent="0.25">
      <c r="Y33609" s="501"/>
    </row>
    <row r="33610" spans="25:25" hidden="1" x14ac:dyDescent="0.25">
      <c r="Y33610" s="501"/>
    </row>
    <row r="33611" spans="25:25" hidden="1" x14ac:dyDescent="0.25">
      <c r="Y33611" s="501"/>
    </row>
    <row r="33612" spans="25:25" hidden="1" x14ac:dyDescent="0.25">
      <c r="Y33612" s="501"/>
    </row>
    <row r="33613" spans="25:25" hidden="1" x14ac:dyDescent="0.25">
      <c r="Y33613" s="501"/>
    </row>
    <row r="33614" spans="25:25" hidden="1" x14ac:dyDescent="0.25">
      <c r="Y33614" s="501"/>
    </row>
    <row r="33615" spans="25:25" hidden="1" x14ac:dyDescent="0.25">
      <c r="Y33615" s="501"/>
    </row>
    <row r="33616" spans="25:25" hidden="1" x14ac:dyDescent="0.25">
      <c r="Y33616" s="501"/>
    </row>
    <row r="33617" spans="25:25" hidden="1" x14ac:dyDescent="0.25">
      <c r="Y33617" s="501"/>
    </row>
    <row r="33618" spans="25:25" hidden="1" x14ac:dyDescent="0.25">
      <c r="Y33618" s="501"/>
    </row>
    <row r="33619" spans="25:25" hidden="1" x14ac:dyDescent="0.25">
      <c r="Y33619" s="501"/>
    </row>
    <row r="33620" spans="25:25" hidden="1" x14ac:dyDescent="0.25">
      <c r="Y33620" s="501"/>
    </row>
    <row r="33621" spans="25:25" hidden="1" x14ac:dyDescent="0.25">
      <c r="Y33621" s="501"/>
    </row>
    <row r="33622" spans="25:25" hidden="1" x14ac:dyDescent="0.25">
      <c r="Y33622" s="501"/>
    </row>
    <row r="33623" spans="25:25" hidden="1" x14ac:dyDescent="0.25">
      <c r="Y33623" s="501"/>
    </row>
    <row r="33624" spans="25:25" hidden="1" x14ac:dyDescent="0.25">
      <c r="Y33624" s="501"/>
    </row>
    <row r="33625" spans="25:25" hidden="1" x14ac:dyDescent="0.25">
      <c r="Y33625" s="501"/>
    </row>
    <row r="33626" spans="25:25" hidden="1" x14ac:dyDescent="0.25">
      <c r="Y33626" s="501"/>
    </row>
    <row r="33627" spans="25:25" hidden="1" x14ac:dyDescent="0.25">
      <c r="Y33627" s="501"/>
    </row>
    <row r="33628" spans="25:25" hidden="1" x14ac:dyDescent="0.25">
      <c r="Y33628" s="501"/>
    </row>
    <row r="33629" spans="25:25" hidden="1" x14ac:dyDescent="0.25">
      <c r="Y33629" s="501"/>
    </row>
    <row r="33630" spans="25:25" hidden="1" x14ac:dyDescent="0.25">
      <c r="Y33630" s="501"/>
    </row>
    <row r="33631" spans="25:25" hidden="1" x14ac:dyDescent="0.25">
      <c r="Y33631" s="501"/>
    </row>
    <row r="33632" spans="25:25" hidden="1" x14ac:dyDescent="0.25">
      <c r="Y33632" s="501"/>
    </row>
    <row r="33633" spans="25:25" hidden="1" x14ac:dyDescent="0.25">
      <c r="Y33633" s="501"/>
    </row>
    <row r="33634" spans="25:25" hidden="1" x14ac:dyDescent="0.25">
      <c r="Y33634" s="501"/>
    </row>
    <row r="33635" spans="25:25" hidden="1" x14ac:dyDescent="0.25">
      <c r="Y33635" s="501"/>
    </row>
    <row r="33636" spans="25:25" hidden="1" x14ac:dyDescent="0.25">
      <c r="Y33636" s="501"/>
    </row>
    <row r="33637" spans="25:25" hidden="1" x14ac:dyDescent="0.25">
      <c r="Y33637" s="501"/>
    </row>
    <row r="33638" spans="25:25" hidden="1" x14ac:dyDescent="0.25">
      <c r="Y33638" s="501"/>
    </row>
    <row r="33639" spans="25:25" hidden="1" x14ac:dyDescent="0.25">
      <c r="Y33639" s="501"/>
    </row>
    <row r="33640" spans="25:25" hidden="1" x14ac:dyDescent="0.25">
      <c r="Y33640" s="501"/>
    </row>
    <row r="33641" spans="25:25" hidden="1" x14ac:dyDescent="0.25">
      <c r="Y33641" s="501"/>
    </row>
    <row r="33642" spans="25:25" hidden="1" x14ac:dyDescent="0.25">
      <c r="Y33642" s="501"/>
    </row>
    <row r="33643" spans="25:25" hidden="1" x14ac:dyDescent="0.25">
      <c r="Y33643" s="501"/>
    </row>
    <row r="33644" spans="25:25" hidden="1" x14ac:dyDescent="0.25">
      <c r="Y33644" s="501"/>
    </row>
    <row r="33645" spans="25:25" hidden="1" x14ac:dyDescent="0.25">
      <c r="Y33645" s="501"/>
    </row>
    <row r="33646" spans="25:25" hidden="1" x14ac:dyDescent="0.25">
      <c r="Y33646" s="501"/>
    </row>
    <row r="33647" spans="25:25" hidden="1" x14ac:dyDescent="0.25">
      <c r="Y33647" s="501"/>
    </row>
    <row r="33648" spans="25:25" hidden="1" x14ac:dyDescent="0.25">
      <c r="Y33648" s="501"/>
    </row>
    <row r="33649" spans="25:25" hidden="1" x14ac:dyDescent="0.25">
      <c r="Y33649" s="501"/>
    </row>
    <row r="33650" spans="25:25" hidden="1" x14ac:dyDescent="0.25">
      <c r="Y33650" s="501"/>
    </row>
    <row r="33651" spans="25:25" hidden="1" x14ac:dyDescent="0.25">
      <c r="Y33651" s="501"/>
    </row>
    <row r="33652" spans="25:25" hidden="1" x14ac:dyDescent="0.25">
      <c r="Y33652" s="501"/>
    </row>
    <row r="33653" spans="25:25" hidden="1" x14ac:dyDescent="0.25">
      <c r="Y33653" s="501"/>
    </row>
    <row r="33654" spans="25:25" hidden="1" x14ac:dyDescent="0.25">
      <c r="Y33654" s="501"/>
    </row>
    <row r="33655" spans="25:25" hidden="1" x14ac:dyDescent="0.25">
      <c r="Y33655" s="501"/>
    </row>
    <row r="33656" spans="25:25" hidden="1" x14ac:dyDescent="0.25">
      <c r="Y33656" s="501"/>
    </row>
    <row r="33657" spans="25:25" hidden="1" x14ac:dyDescent="0.25">
      <c r="Y33657" s="501"/>
    </row>
    <row r="33658" spans="25:25" hidden="1" x14ac:dyDescent="0.25">
      <c r="Y33658" s="501"/>
    </row>
    <row r="33659" spans="25:25" hidden="1" x14ac:dyDescent="0.25">
      <c r="Y33659" s="501"/>
    </row>
    <row r="33660" spans="25:25" hidden="1" x14ac:dyDescent="0.25">
      <c r="Y33660" s="501"/>
    </row>
    <row r="33661" spans="25:25" hidden="1" x14ac:dyDescent="0.25">
      <c r="Y33661" s="501"/>
    </row>
    <row r="33662" spans="25:25" hidden="1" x14ac:dyDescent="0.25">
      <c r="Y33662" s="501"/>
    </row>
    <row r="33663" spans="25:25" hidden="1" x14ac:dyDescent="0.25">
      <c r="Y33663" s="501"/>
    </row>
    <row r="33664" spans="25:25" hidden="1" x14ac:dyDescent="0.25">
      <c r="Y33664" s="501"/>
    </row>
    <row r="33665" spans="25:25" hidden="1" x14ac:dyDescent="0.25">
      <c r="Y33665" s="501"/>
    </row>
    <row r="33666" spans="25:25" hidden="1" x14ac:dyDescent="0.25">
      <c r="Y33666" s="501"/>
    </row>
    <row r="33667" spans="25:25" hidden="1" x14ac:dyDescent="0.25">
      <c r="Y33667" s="501"/>
    </row>
    <row r="33668" spans="25:25" hidden="1" x14ac:dyDescent="0.25">
      <c r="Y33668" s="501"/>
    </row>
    <row r="33669" spans="25:25" hidden="1" x14ac:dyDescent="0.25">
      <c r="Y33669" s="501"/>
    </row>
    <row r="33670" spans="25:25" hidden="1" x14ac:dyDescent="0.25">
      <c r="Y33670" s="501"/>
    </row>
    <row r="33671" spans="25:25" hidden="1" x14ac:dyDescent="0.25">
      <c r="Y33671" s="501"/>
    </row>
    <row r="33672" spans="25:25" hidden="1" x14ac:dyDescent="0.25">
      <c r="Y33672" s="501"/>
    </row>
    <row r="33673" spans="25:25" hidden="1" x14ac:dyDescent="0.25">
      <c r="Y33673" s="501"/>
    </row>
    <row r="33674" spans="25:25" hidden="1" x14ac:dyDescent="0.25">
      <c r="Y33674" s="501"/>
    </row>
    <row r="33675" spans="25:25" hidden="1" x14ac:dyDescent="0.25">
      <c r="Y33675" s="501"/>
    </row>
    <row r="33676" spans="25:25" hidden="1" x14ac:dyDescent="0.25">
      <c r="Y33676" s="501"/>
    </row>
    <row r="33677" spans="25:25" hidden="1" x14ac:dyDescent="0.25">
      <c r="Y33677" s="501"/>
    </row>
    <row r="33678" spans="25:25" hidden="1" x14ac:dyDescent="0.25">
      <c r="Y33678" s="501"/>
    </row>
    <row r="33679" spans="25:25" hidden="1" x14ac:dyDescent="0.25">
      <c r="Y33679" s="501"/>
    </row>
    <row r="33680" spans="25:25" hidden="1" x14ac:dyDescent="0.25">
      <c r="Y33680" s="501"/>
    </row>
    <row r="33681" spans="25:25" hidden="1" x14ac:dyDescent="0.25">
      <c r="Y33681" s="501"/>
    </row>
    <row r="33682" spans="25:25" hidden="1" x14ac:dyDescent="0.25">
      <c r="Y33682" s="501"/>
    </row>
    <row r="33683" spans="25:25" hidden="1" x14ac:dyDescent="0.25">
      <c r="Y33683" s="501"/>
    </row>
    <row r="33684" spans="25:25" hidden="1" x14ac:dyDescent="0.25">
      <c r="Y33684" s="501"/>
    </row>
    <row r="33685" spans="25:25" hidden="1" x14ac:dyDescent="0.25">
      <c r="Y33685" s="501"/>
    </row>
    <row r="33686" spans="25:25" hidden="1" x14ac:dyDescent="0.25">
      <c r="Y33686" s="501"/>
    </row>
    <row r="33687" spans="25:25" hidden="1" x14ac:dyDescent="0.25">
      <c r="Y33687" s="501"/>
    </row>
    <row r="33688" spans="25:25" hidden="1" x14ac:dyDescent="0.25">
      <c r="Y33688" s="501"/>
    </row>
    <row r="33689" spans="25:25" hidden="1" x14ac:dyDescent="0.25">
      <c r="Y33689" s="501"/>
    </row>
    <row r="33690" spans="25:25" hidden="1" x14ac:dyDescent="0.25">
      <c r="Y33690" s="501"/>
    </row>
    <row r="33691" spans="25:25" hidden="1" x14ac:dyDescent="0.25">
      <c r="Y33691" s="501"/>
    </row>
    <row r="33692" spans="25:25" hidden="1" x14ac:dyDescent="0.25">
      <c r="Y33692" s="501"/>
    </row>
    <row r="33693" spans="25:25" hidden="1" x14ac:dyDescent="0.25">
      <c r="Y33693" s="501"/>
    </row>
    <row r="33694" spans="25:25" hidden="1" x14ac:dyDescent="0.25">
      <c r="Y33694" s="501"/>
    </row>
    <row r="33695" spans="25:25" hidden="1" x14ac:dyDescent="0.25">
      <c r="Y33695" s="501"/>
    </row>
    <row r="33696" spans="25:25" hidden="1" x14ac:dyDescent="0.25">
      <c r="Y33696" s="501"/>
    </row>
    <row r="33697" spans="25:25" hidden="1" x14ac:dyDescent="0.25">
      <c r="Y33697" s="501"/>
    </row>
    <row r="33698" spans="25:25" hidden="1" x14ac:dyDescent="0.25">
      <c r="Y33698" s="501"/>
    </row>
    <row r="33699" spans="25:25" hidden="1" x14ac:dyDescent="0.25">
      <c r="Y33699" s="501"/>
    </row>
    <row r="33700" spans="25:25" hidden="1" x14ac:dyDescent="0.25">
      <c r="Y33700" s="501"/>
    </row>
    <row r="33701" spans="25:25" hidden="1" x14ac:dyDescent="0.25">
      <c r="Y33701" s="501"/>
    </row>
    <row r="33702" spans="25:25" hidden="1" x14ac:dyDescent="0.25">
      <c r="Y33702" s="501"/>
    </row>
    <row r="33703" spans="25:25" hidden="1" x14ac:dyDescent="0.25">
      <c r="Y33703" s="501"/>
    </row>
    <row r="33704" spans="25:25" hidden="1" x14ac:dyDescent="0.25">
      <c r="Y33704" s="501"/>
    </row>
    <row r="33705" spans="25:25" hidden="1" x14ac:dyDescent="0.25">
      <c r="Y33705" s="501"/>
    </row>
    <row r="33706" spans="25:25" hidden="1" x14ac:dyDescent="0.25">
      <c r="Y33706" s="501"/>
    </row>
    <row r="33707" spans="25:25" hidden="1" x14ac:dyDescent="0.25">
      <c r="Y33707" s="501"/>
    </row>
    <row r="33708" spans="25:25" hidden="1" x14ac:dyDescent="0.25">
      <c r="Y33708" s="501"/>
    </row>
    <row r="33709" spans="25:25" hidden="1" x14ac:dyDescent="0.25">
      <c r="Y33709" s="501"/>
    </row>
    <row r="33710" spans="25:25" hidden="1" x14ac:dyDescent="0.25">
      <c r="Y33710" s="501"/>
    </row>
    <row r="33711" spans="25:25" hidden="1" x14ac:dyDescent="0.25">
      <c r="Y33711" s="501"/>
    </row>
    <row r="33712" spans="25:25" hidden="1" x14ac:dyDescent="0.25">
      <c r="Y33712" s="501"/>
    </row>
    <row r="33713" spans="25:25" hidden="1" x14ac:dyDescent="0.25">
      <c r="Y33713" s="501"/>
    </row>
    <row r="33714" spans="25:25" hidden="1" x14ac:dyDescent="0.25">
      <c r="Y33714" s="501"/>
    </row>
    <row r="33715" spans="25:25" hidden="1" x14ac:dyDescent="0.25">
      <c r="Y33715" s="501"/>
    </row>
    <row r="33716" spans="25:25" hidden="1" x14ac:dyDescent="0.25">
      <c r="Y33716" s="501"/>
    </row>
    <row r="33717" spans="25:25" hidden="1" x14ac:dyDescent="0.25">
      <c r="Y33717" s="501"/>
    </row>
    <row r="33718" spans="25:25" hidden="1" x14ac:dyDescent="0.25">
      <c r="Y33718" s="501"/>
    </row>
    <row r="33719" spans="25:25" hidden="1" x14ac:dyDescent="0.25">
      <c r="Y33719" s="501"/>
    </row>
    <row r="33720" spans="25:25" hidden="1" x14ac:dyDescent="0.25">
      <c r="Y33720" s="501"/>
    </row>
    <row r="33721" spans="25:25" hidden="1" x14ac:dyDescent="0.25">
      <c r="Y33721" s="501"/>
    </row>
    <row r="33722" spans="25:25" hidden="1" x14ac:dyDescent="0.25">
      <c r="Y33722" s="501"/>
    </row>
    <row r="33723" spans="25:25" hidden="1" x14ac:dyDescent="0.25">
      <c r="Y33723" s="501"/>
    </row>
    <row r="33724" spans="25:25" hidden="1" x14ac:dyDescent="0.25">
      <c r="Y33724" s="501"/>
    </row>
    <row r="33725" spans="25:25" hidden="1" x14ac:dyDescent="0.25">
      <c r="Y33725" s="501"/>
    </row>
    <row r="33726" spans="25:25" hidden="1" x14ac:dyDescent="0.25">
      <c r="Y33726" s="501"/>
    </row>
    <row r="33727" spans="25:25" hidden="1" x14ac:dyDescent="0.25">
      <c r="Y33727" s="501"/>
    </row>
    <row r="33728" spans="25:25" hidden="1" x14ac:dyDescent="0.25">
      <c r="Y33728" s="501"/>
    </row>
    <row r="33729" spans="25:25" hidden="1" x14ac:dyDescent="0.25">
      <c r="Y33729" s="501"/>
    </row>
    <row r="33730" spans="25:25" hidden="1" x14ac:dyDescent="0.25">
      <c r="Y33730" s="501"/>
    </row>
    <row r="33731" spans="25:25" hidden="1" x14ac:dyDescent="0.25">
      <c r="Y33731" s="501"/>
    </row>
    <row r="33732" spans="25:25" hidden="1" x14ac:dyDescent="0.25">
      <c r="Y33732" s="501"/>
    </row>
    <row r="33733" spans="25:25" hidden="1" x14ac:dyDescent="0.25">
      <c r="Y33733" s="501"/>
    </row>
    <row r="33734" spans="25:25" hidden="1" x14ac:dyDescent="0.25">
      <c r="Y33734" s="501"/>
    </row>
    <row r="33735" spans="25:25" hidden="1" x14ac:dyDescent="0.25">
      <c r="Y33735" s="501"/>
    </row>
    <row r="33736" spans="25:25" hidden="1" x14ac:dyDescent="0.25">
      <c r="Y33736" s="501"/>
    </row>
    <row r="33737" spans="25:25" hidden="1" x14ac:dyDescent="0.25">
      <c r="Y33737" s="501"/>
    </row>
    <row r="33738" spans="25:25" hidden="1" x14ac:dyDescent="0.25">
      <c r="Y33738" s="501"/>
    </row>
    <row r="33739" spans="25:25" hidden="1" x14ac:dyDescent="0.25">
      <c r="Y33739" s="501"/>
    </row>
    <row r="33740" spans="25:25" hidden="1" x14ac:dyDescent="0.25">
      <c r="Y33740" s="501"/>
    </row>
    <row r="33741" spans="25:25" hidden="1" x14ac:dyDescent="0.25">
      <c r="Y33741" s="501"/>
    </row>
    <row r="33742" spans="25:25" hidden="1" x14ac:dyDescent="0.25">
      <c r="Y33742" s="501"/>
    </row>
    <row r="33743" spans="25:25" hidden="1" x14ac:dyDescent="0.25">
      <c r="Y33743" s="501"/>
    </row>
    <row r="33744" spans="25:25" hidden="1" x14ac:dyDescent="0.25">
      <c r="Y33744" s="501"/>
    </row>
    <row r="33745" spans="25:25" hidden="1" x14ac:dyDescent="0.25">
      <c r="Y33745" s="501"/>
    </row>
    <row r="33746" spans="25:25" hidden="1" x14ac:dyDescent="0.25">
      <c r="Y33746" s="501"/>
    </row>
    <row r="33747" spans="25:25" hidden="1" x14ac:dyDescent="0.25">
      <c r="Y33747" s="501"/>
    </row>
    <row r="33748" spans="25:25" hidden="1" x14ac:dyDescent="0.25">
      <c r="Y33748" s="501"/>
    </row>
    <row r="33749" spans="25:25" hidden="1" x14ac:dyDescent="0.25">
      <c r="Y33749" s="501"/>
    </row>
    <row r="33750" spans="25:25" hidden="1" x14ac:dyDescent="0.25">
      <c r="Y33750" s="501"/>
    </row>
    <row r="33751" spans="25:25" hidden="1" x14ac:dyDescent="0.25">
      <c r="Y33751" s="501"/>
    </row>
    <row r="33752" spans="25:25" hidden="1" x14ac:dyDescent="0.25">
      <c r="Y33752" s="501"/>
    </row>
    <row r="33753" spans="25:25" hidden="1" x14ac:dyDescent="0.25">
      <c r="Y33753" s="501"/>
    </row>
    <row r="33754" spans="25:25" hidden="1" x14ac:dyDescent="0.25">
      <c r="Y33754" s="501"/>
    </row>
    <row r="33755" spans="25:25" hidden="1" x14ac:dyDescent="0.25">
      <c r="Y33755" s="501"/>
    </row>
    <row r="33756" spans="25:25" hidden="1" x14ac:dyDescent="0.25">
      <c r="Y33756" s="501"/>
    </row>
    <row r="33757" spans="25:25" hidden="1" x14ac:dyDescent="0.25">
      <c r="Y33757" s="501"/>
    </row>
    <row r="33758" spans="25:25" hidden="1" x14ac:dyDescent="0.25">
      <c r="Y33758" s="501"/>
    </row>
    <row r="33759" spans="25:25" hidden="1" x14ac:dyDescent="0.25">
      <c r="Y33759" s="501"/>
    </row>
    <row r="33760" spans="25:25" hidden="1" x14ac:dyDescent="0.25">
      <c r="Y33760" s="501"/>
    </row>
    <row r="33761" spans="25:25" hidden="1" x14ac:dyDescent="0.25">
      <c r="Y33761" s="501"/>
    </row>
    <row r="33762" spans="25:25" hidden="1" x14ac:dyDescent="0.25">
      <c r="Y33762" s="501"/>
    </row>
    <row r="33763" spans="25:25" hidden="1" x14ac:dyDescent="0.25">
      <c r="Y33763" s="501"/>
    </row>
    <row r="33764" spans="25:25" hidden="1" x14ac:dyDescent="0.25">
      <c r="Y33764" s="501"/>
    </row>
    <row r="33765" spans="25:25" hidden="1" x14ac:dyDescent="0.25">
      <c r="Y33765" s="501"/>
    </row>
    <row r="33766" spans="25:25" hidden="1" x14ac:dyDescent="0.25">
      <c r="Y33766" s="501"/>
    </row>
    <row r="33767" spans="25:25" hidden="1" x14ac:dyDescent="0.25">
      <c r="Y33767" s="501"/>
    </row>
    <row r="33768" spans="25:25" hidden="1" x14ac:dyDescent="0.25">
      <c r="Y33768" s="501"/>
    </row>
    <row r="33769" spans="25:25" hidden="1" x14ac:dyDescent="0.25">
      <c r="Y33769" s="501"/>
    </row>
    <row r="33770" spans="25:25" hidden="1" x14ac:dyDescent="0.25">
      <c r="Y33770" s="501"/>
    </row>
    <row r="33771" spans="25:25" hidden="1" x14ac:dyDescent="0.25">
      <c r="Y33771" s="501"/>
    </row>
    <row r="33772" spans="25:25" hidden="1" x14ac:dyDescent="0.25">
      <c r="Y33772" s="501"/>
    </row>
    <row r="33773" spans="25:25" hidden="1" x14ac:dyDescent="0.25">
      <c r="Y33773" s="501"/>
    </row>
    <row r="33774" spans="25:25" hidden="1" x14ac:dyDescent="0.25">
      <c r="Y33774" s="501"/>
    </row>
    <row r="33775" spans="25:25" hidden="1" x14ac:dyDescent="0.25">
      <c r="Y33775" s="501"/>
    </row>
    <row r="33776" spans="25:25" hidden="1" x14ac:dyDescent="0.25">
      <c r="Y33776" s="501"/>
    </row>
    <row r="33777" spans="25:25" hidden="1" x14ac:dyDescent="0.25">
      <c r="Y33777" s="501"/>
    </row>
    <row r="33778" spans="25:25" hidden="1" x14ac:dyDescent="0.25">
      <c r="Y33778" s="501"/>
    </row>
    <row r="33779" spans="25:25" hidden="1" x14ac:dyDescent="0.25">
      <c r="Y33779" s="501"/>
    </row>
    <row r="33780" spans="25:25" hidden="1" x14ac:dyDescent="0.25">
      <c r="Y33780" s="501"/>
    </row>
    <row r="33781" spans="25:25" hidden="1" x14ac:dyDescent="0.25">
      <c r="Y33781" s="501"/>
    </row>
    <row r="33782" spans="25:25" hidden="1" x14ac:dyDescent="0.25">
      <c r="Y33782" s="501"/>
    </row>
    <row r="33783" spans="25:25" hidden="1" x14ac:dyDescent="0.25">
      <c r="Y33783" s="501"/>
    </row>
    <row r="33784" spans="25:25" hidden="1" x14ac:dyDescent="0.25">
      <c r="Y33784" s="501"/>
    </row>
    <row r="33785" spans="25:25" hidden="1" x14ac:dyDescent="0.25">
      <c r="Y33785" s="501"/>
    </row>
    <row r="33786" spans="25:25" hidden="1" x14ac:dyDescent="0.25">
      <c r="Y33786" s="501"/>
    </row>
    <row r="33787" spans="25:25" hidden="1" x14ac:dyDescent="0.25">
      <c r="Y33787" s="501"/>
    </row>
    <row r="33788" spans="25:25" hidden="1" x14ac:dyDescent="0.25">
      <c r="Y33788" s="501"/>
    </row>
    <row r="33789" spans="25:25" hidden="1" x14ac:dyDescent="0.25">
      <c r="Y33789" s="501"/>
    </row>
    <row r="33790" spans="25:25" hidden="1" x14ac:dyDescent="0.25">
      <c r="Y33790" s="501"/>
    </row>
    <row r="33791" spans="25:25" hidden="1" x14ac:dyDescent="0.25">
      <c r="Y33791" s="501"/>
    </row>
    <row r="33792" spans="25:25" hidden="1" x14ac:dyDescent="0.25">
      <c r="Y33792" s="501"/>
    </row>
    <row r="33793" spans="25:25" hidden="1" x14ac:dyDescent="0.25">
      <c r="Y33793" s="501"/>
    </row>
    <row r="33794" spans="25:25" hidden="1" x14ac:dyDescent="0.25">
      <c r="Y33794" s="501"/>
    </row>
    <row r="33795" spans="25:25" hidden="1" x14ac:dyDescent="0.25">
      <c r="Y33795" s="501"/>
    </row>
    <row r="33796" spans="25:25" hidden="1" x14ac:dyDescent="0.25">
      <c r="Y33796" s="501"/>
    </row>
    <row r="33797" spans="25:25" hidden="1" x14ac:dyDescent="0.25">
      <c r="Y33797" s="501"/>
    </row>
    <row r="33798" spans="25:25" hidden="1" x14ac:dyDescent="0.25">
      <c r="Y33798" s="501"/>
    </row>
    <row r="33799" spans="25:25" hidden="1" x14ac:dyDescent="0.25">
      <c r="Y33799" s="501"/>
    </row>
    <row r="33800" spans="25:25" hidden="1" x14ac:dyDescent="0.25">
      <c r="Y33800" s="501"/>
    </row>
    <row r="33801" spans="25:25" hidden="1" x14ac:dyDescent="0.25">
      <c r="Y33801" s="501"/>
    </row>
    <row r="33802" spans="25:25" hidden="1" x14ac:dyDescent="0.25">
      <c r="Y33802" s="501"/>
    </row>
    <row r="33803" spans="25:25" hidden="1" x14ac:dyDescent="0.25">
      <c r="Y33803" s="501"/>
    </row>
    <row r="33804" spans="25:25" hidden="1" x14ac:dyDescent="0.25">
      <c r="Y33804" s="501"/>
    </row>
    <row r="33805" spans="25:25" hidden="1" x14ac:dyDescent="0.25">
      <c r="Y33805" s="501"/>
    </row>
    <row r="33806" spans="25:25" hidden="1" x14ac:dyDescent="0.25">
      <c r="Y33806" s="501"/>
    </row>
    <row r="33807" spans="25:25" hidden="1" x14ac:dyDescent="0.25">
      <c r="Y33807" s="501"/>
    </row>
    <row r="33808" spans="25:25" hidden="1" x14ac:dyDescent="0.25">
      <c r="Y33808" s="501"/>
    </row>
    <row r="33809" spans="25:25" hidden="1" x14ac:dyDescent="0.25">
      <c r="Y33809" s="501"/>
    </row>
    <row r="33810" spans="25:25" hidden="1" x14ac:dyDescent="0.25">
      <c r="Y33810" s="501"/>
    </row>
    <row r="33811" spans="25:25" hidden="1" x14ac:dyDescent="0.25">
      <c r="Y33811" s="501"/>
    </row>
    <row r="33812" spans="25:25" hidden="1" x14ac:dyDescent="0.25">
      <c r="Y33812" s="501"/>
    </row>
    <row r="33813" spans="25:25" hidden="1" x14ac:dyDescent="0.25">
      <c r="Y33813" s="501"/>
    </row>
    <row r="33814" spans="25:25" hidden="1" x14ac:dyDescent="0.25">
      <c r="Y33814" s="501"/>
    </row>
    <row r="33815" spans="25:25" hidden="1" x14ac:dyDescent="0.25">
      <c r="Y33815" s="501"/>
    </row>
    <row r="33816" spans="25:25" hidden="1" x14ac:dyDescent="0.25">
      <c r="Y33816" s="501"/>
    </row>
    <row r="33817" spans="25:25" hidden="1" x14ac:dyDescent="0.25">
      <c r="Y33817" s="501"/>
    </row>
    <row r="33818" spans="25:25" hidden="1" x14ac:dyDescent="0.25">
      <c r="Y33818" s="501"/>
    </row>
    <row r="33819" spans="25:25" hidden="1" x14ac:dyDescent="0.25">
      <c r="Y33819" s="501"/>
    </row>
    <row r="33820" spans="25:25" hidden="1" x14ac:dyDescent="0.25">
      <c r="Y33820" s="501"/>
    </row>
    <row r="33821" spans="25:25" hidden="1" x14ac:dyDescent="0.25">
      <c r="Y33821" s="501"/>
    </row>
    <row r="33822" spans="25:25" hidden="1" x14ac:dyDescent="0.25">
      <c r="Y33822" s="501"/>
    </row>
    <row r="33823" spans="25:25" hidden="1" x14ac:dyDescent="0.25">
      <c r="Y33823" s="501"/>
    </row>
    <row r="33824" spans="25:25" hidden="1" x14ac:dyDescent="0.25">
      <c r="Y33824" s="501"/>
    </row>
    <row r="33825" spans="25:25" hidden="1" x14ac:dyDescent="0.25">
      <c r="Y33825" s="501"/>
    </row>
    <row r="33826" spans="25:25" hidden="1" x14ac:dyDescent="0.25">
      <c r="Y33826" s="501"/>
    </row>
    <row r="33827" spans="25:25" hidden="1" x14ac:dyDescent="0.25">
      <c r="Y33827" s="501"/>
    </row>
    <row r="33828" spans="25:25" hidden="1" x14ac:dyDescent="0.25">
      <c r="Y33828" s="501"/>
    </row>
    <row r="33829" spans="25:25" hidden="1" x14ac:dyDescent="0.25">
      <c r="Y33829" s="501"/>
    </row>
    <row r="33830" spans="25:25" hidden="1" x14ac:dyDescent="0.25">
      <c r="Y33830" s="501"/>
    </row>
    <row r="33831" spans="25:25" hidden="1" x14ac:dyDescent="0.25">
      <c r="Y33831" s="501"/>
    </row>
    <row r="33832" spans="25:25" hidden="1" x14ac:dyDescent="0.25">
      <c r="Y33832" s="501"/>
    </row>
    <row r="33833" spans="25:25" hidden="1" x14ac:dyDescent="0.25">
      <c r="Y33833" s="501"/>
    </row>
    <row r="33834" spans="25:25" hidden="1" x14ac:dyDescent="0.25">
      <c r="Y33834" s="501"/>
    </row>
    <row r="33835" spans="25:25" hidden="1" x14ac:dyDescent="0.25">
      <c r="Y33835" s="501"/>
    </row>
    <row r="33836" spans="25:25" hidden="1" x14ac:dyDescent="0.25">
      <c r="Y33836" s="501"/>
    </row>
    <row r="33837" spans="25:25" hidden="1" x14ac:dyDescent="0.25">
      <c r="Y33837" s="501"/>
    </row>
    <row r="33838" spans="25:25" hidden="1" x14ac:dyDescent="0.25">
      <c r="Y33838" s="501"/>
    </row>
    <row r="33839" spans="25:25" hidden="1" x14ac:dyDescent="0.25">
      <c r="Y33839" s="501"/>
    </row>
    <row r="33840" spans="25:25" hidden="1" x14ac:dyDescent="0.25">
      <c r="Y33840" s="501"/>
    </row>
    <row r="33841" spans="25:25" hidden="1" x14ac:dyDescent="0.25">
      <c r="Y33841" s="501"/>
    </row>
    <row r="33842" spans="25:25" hidden="1" x14ac:dyDescent="0.25">
      <c r="Y33842" s="501"/>
    </row>
    <row r="33843" spans="25:25" hidden="1" x14ac:dyDescent="0.25">
      <c r="Y33843" s="501"/>
    </row>
    <row r="33844" spans="25:25" hidden="1" x14ac:dyDescent="0.25">
      <c r="Y33844" s="501"/>
    </row>
    <row r="33845" spans="25:25" hidden="1" x14ac:dyDescent="0.25">
      <c r="Y33845" s="501"/>
    </row>
    <row r="33846" spans="25:25" hidden="1" x14ac:dyDescent="0.25">
      <c r="Y33846" s="501"/>
    </row>
    <row r="33847" spans="25:25" hidden="1" x14ac:dyDescent="0.25">
      <c r="Y33847" s="501"/>
    </row>
    <row r="33848" spans="25:25" hidden="1" x14ac:dyDescent="0.25">
      <c r="Y33848" s="501"/>
    </row>
    <row r="33849" spans="25:25" hidden="1" x14ac:dyDescent="0.25">
      <c r="Y33849" s="501"/>
    </row>
    <row r="33850" spans="25:25" hidden="1" x14ac:dyDescent="0.25">
      <c r="Y33850" s="501"/>
    </row>
    <row r="33851" spans="25:25" hidden="1" x14ac:dyDescent="0.25">
      <c r="Y33851" s="501"/>
    </row>
    <row r="33852" spans="25:25" hidden="1" x14ac:dyDescent="0.25">
      <c r="Y33852" s="501"/>
    </row>
    <row r="33853" spans="25:25" hidden="1" x14ac:dyDescent="0.25">
      <c r="Y33853" s="501"/>
    </row>
    <row r="33854" spans="25:25" hidden="1" x14ac:dyDescent="0.25">
      <c r="Y33854" s="501"/>
    </row>
    <row r="33855" spans="25:25" hidden="1" x14ac:dyDescent="0.25">
      <c r="Y33855" s="501"/>
    </row>
    <row r="33856" spans="25:25" hidden="1" x14ac:dyDescent="0.25">
      <c r="Y33856" s="501"/>
    </row>
    <row r="33857" spans="25:25" hidden="1" x14ac:dyDescent="0.25">
      <c r="Y33857" s="501"/>
    </row>
    <row r="33858" spans="25:25" hidden="1" x14ac:dyDescent="0.25">
      <c r="Y33858" s="501"/>
    </row>
    <row r="33859" spans="25:25" hidden="1" x14ac:dyDescent="0.25">
      <c r="Y33859" s="501"/>
    </row>
    <row r="33860" spans="25:25" hidden="1" x14ac:dyDescent="0.25">
      <c r="Y33860" s="501"/>
    </row>
    <row r="33861" spans="25:25" hidden="1" x14ac:dyDescent="0.25">
      <c r="Y33861" s="501"/>
    </row>
    <row r="33862" spans="25:25" hidden="1" x14ac:dyDescent="0.25">
      <c r="Y33862" s="501"/>
    </row>
    <row r="33863" spans="25:25" hidden="1" x14ac:dyDescent="0.25">
      <c r="Y33863" s="501"/>
    </row>
    <row r="33864" spans="25:25" hidden="1" x14ac:dyDescent="0.25">
      <c r="Y33864" s="501"/>
    </row>
    <row r="33865" spans="25:25" hidden="1" x14ac:dyDescent="0.25">
      <c r="Y33865" s="501"/>
    </row>
    <row r="33866" spans="25:25" hidden="1" x14ac:dyDescent="0.25">
      <c r="Y33866" s="501"/>
    </row>
    <row r="33867" spans="25:25" hidden="1" x14ac:dyDescent="0.25">
      <c r="Y33867" s="501"/>
    </row>
    <row r="33868" spans="25:25" hidden="1" x14ac:dyDescent="0.25">
      <c r="Y33868" s="501"/>
    </row>
    <row r="33869" spans="25:25" hidden="1" x14ac:dyDescent="0.25">
      <c r="Y33869" s="501"/>
    </row>
    <row r="33870" spans="25:25" hidden="1" x14ac:dyDescent="0.25">
      <c r="Y33870" s="501"/>
    </row>
    <row r="33871" spans="25:25" hidden="1" x14ac:dyDescent="0.25">
      <c r="Y33871" s="501"/>
    </row>
    <row r="33872" spans="25:25" hidden="1" x14ac:dyDescent="0.25">
      <c r="Y33872" s="501"/>
    </row>
    <row r="33873" spans="25:25" hidden="1" x14ac:dyDescent="0.25">
      <c r="Y33873" s="501"/>
    </row>
    <row r="33874" spans="25:25" hidden="1" x14ac:dyDescent="0.25">
      <c r="Y33874" s="501"/>
    </row>
    <row r="33875" spans="25:25" hidden="1" x14ac:dyDescent="0.25">
      <c r="Y33875" s="501"/>
    </row>
    <row r="33876" spans="25:25" hidden="1" x14ac:dyDescent="0.25">
      <c r="Y33876" s="501"/>
    </row>
    <row r="33877" spans="25:25" hidden="1" x14ac:dyDescent="0.25">
      <c r="Y33877" s="501"/>
    </row>
    <row r="33878" spans="25:25" hidden="1" x14ac:dyDescent="0.25">
      <c r="Y33878" s="501"/>
    </row>
    <row r="33879" spans="25:25" hidden="1" x14ac:dyDescent="0.25">
      <c r="Y33879" s="501"/>
    </row>
    <row r="33880" spans="25:25" hidden="1" x14ac:dyDescent="0.25">
      <c r="Y33880" s="501"/>
    </row>
    <row r="33881" spans="25:25" hidden="1" x14ac:dyDescent="0.25">
      <c r="Y33881" s="501"/>
    </row>
    <row r="33882" spans="25:25" hidden="1" x14ac:dyDescent="0.25">
      <c r="Y33882" s="501"/>
    </row>
    <row r="33883" spans="25:25" hidden="1" x14ac:dyDescent="0.25">
      <c r="Y33883" s="501"/>
    </row>
    <row r="33884" spans="25:25" hidden="1" x14ac:dyDescent="0.25">
      <c r="Y33884" s="501"/>
    </row>
    <row r="33885" spans="25:25" hidden="1" x14ac:dyDescent="0.25">
      <c r="Y33885" s="501"/>
    </row>
    <row r="33886" spans="25:25" hidden="1" x14ac:dyDescent="0.25">
      <c r="Y33886" s="501"/>
    </row>
    <row r="33887" spans="25:25" hidden="1" x14ac:dyDescent="0.25">
      <c r="Y33887" s="501"/>
    </row>
    <row r="33888" spans="25:25" hidden="1" x14ac:dyDescent="0.25">
      <c r="Y33888" s="501"/>
    </row>
    <row r="33889" spans="25:25" hidden="1" x14ac:dyDescent="0.25">
      <c r="Y33889" s="501"/>
    </row>
    <row r="33890" spans="25:25" hidden="1" x14ac:dyDescent="0.25">
      <c r="Y33890" s="501"/>
    </row>
    <row r="33891" spans="25:25" hidden="1" x14ac:dyDescent="0.25">
      <c r="Y33891" s="501"/>
    </row>
    <row r="33892" spans="25:25" hidden="1" x14ac:dyDescent="0.25">
      <c r="Y33892" s="501"/>
    </row>
    <row r="33893" spans="25:25" hidden="1" x14ac:dyDescent="0.25">
      <c r="Y33893" s="501"/>
    </row>
    <row r="33894" spans="25:25" hidden="1" x14ac:dyDescent="0.25">
      <c r="Y33894" s="501"/>
    </row>
    <row r="33895" spans="25:25" hidden="1" x14ac:dyDescent="0.25">
      <c r="Y33895" s="501"/>
    </row>
    <row r="33896" spans="25:25" hidden="1" x14ac:dyDescent="0.25">
      <c r="Y33896" s="501"/>
    </row>
    <row r="33897" spans="25:25" hidden="1" x14ac:dyDescent="0.25">
      <c r="Y33897" s="501"/>
    </row>
    <row r="33898" spans="25:25" hidden="1" x14ac:dyDescent="0.25">
      <c r="Y33898" s="501"/>
    </row>
    <row r="33899" spans="25:25" hidden="1" x14ac:dyDescent="0.25">
      <c r="Y33899" s="501"/>
    </row>
    <row r="33900" spans="25:25" hidden="1" x14ac:dyDescent="0.25">
      <c r="Y33900" s="501"/>
    </row>
    <row r="33901" spans="25:25" hidden="1" x14ac:dyDescent="0.25">
      <c r="Y33901" s="501"/>
    </row>
    <row r="33902" spans="25:25" hidden="1" x14ac:dyDescent="0.25">
      <c r="Y33902" s="501"/>
    </row>
    <row r="33903" spans="25:25" hidden="1" x14ac:dyDescent="0.25">
      <c r="Y33903" s="501"/>
    </row>
    <row r="33904" spans="25:25" hidden="1" x14ac:dyDescent="0.25">
      <c r="Y33904" s="501"/>
    </row>
    <row r="33905" spans="25:25" hidden="1" x14ac:dyDescent="0.25">
      <c r="Y33905" s="501"/>
    </row>
    <row r="33906" spans="25:25" hidden="1" x14ac:dyDescent="0.25">
      <c r="Y33906" s="501"/>
    </row>
    <row r="33907" spans="25:25" hidden="1" x14ac:dyDescent="0.25">
      <c r="Y33907" s="501"/>
    </row>
    <row r="33908" spans="25:25" hidden="1" x14ac:dyDescent="0.25">
      <c r="Y33908" s="501"/>
    </row>
    <row r="33909" spans="25:25" hidden="1" x14ac:dyDescent="0.25">
      <c r="Y33909" s="501"/>
    </row>
    <row r="33910" spans="25:25" hidden="1" x14ac:dyDescent="0.25">
      <c r="Y33910" s="501"/>
    </row>
    <row r="33911" spans="25:25" hidden="1" x14ac:dyDescent="0.25">
      <c r="Y33911" s="501"/>
    </row>
    <row r="33912" spans="25:25" hidden="1" x14ac:dyDescent="0.25">
      <c r="Y33912" s="501"/>
    </row>
    <row r="33913" spans="25:25" hidden="1" x14ac:dyDescent="0.25">
      <c r="Y33913" s="501"/>
    </row>
    <row r="33914" spans="25:25" hidden="1" x14ac:dyDescent="0.25">
      <c r="Y33914" s="501"/>
    </row>
    <row r="33915" spans="25:25" hidden="1" x14ac:dyDescent="0.25">
      <c r="Y33915" s="501"/>
    </row>
    <row r="33916" spans="25:25" hidden="1" x14ac:dyDescent="0.25">
      <c r="Y33916" s="501"/>
    </row>
    <row r="33917" spans="25:25" hidden="1" x14ac:dyDescent="0.25">
      <c r="Y33917" s="501"/>
    </row>
    <row r="33918" spans="25:25" hidden="1" x14ac:dyDescent="0.25">
      <c r="Y33918" s="501"/>
    </row>
    <row r="33919" spans="25:25" hidden="1" x14ac:dyDescent="0.25">
      <c r="Y33919" s="501"/>
    </row>
    <row r="33920" spans="25:25" hidden="1" x14ac:dyDescent="0.25">
      <c r="Y33920" s="501"/>
    </row>
    <row r="33921" spans="25:25" hidden="1" x14ac:dyDescent="0.25">
      <c r="Y33921" s="501"/>
    </row>
    <row r="33922" spans="25:25" hidden="1" x14ac:dyDescent="0.25">
      <c r="Y33922" s="501"/>
    </row>
    <row r="33923" spans="25:25" hidden="1" x14ac:dyDescent="0.25">
      <c r="Y33923" s="501"/>
    </row>
    <row r="33924" spans="25:25" hidden="1" x14ac:dyDescent="0.25">
      <c r="Y33924" s="501"/>
    </row>
    <row r="33925" spans="25:25" hidden="1" x14ac:dyDescent="0.25">
      <c r="Y33925" s="501"/>
    </row>
    <row r="33926" spans="25:25" hidden="1" x14ac:dyDescent="0.25">
      <c r="Y33926" s="501"/>
    </row>
    <row r="33927" spans="25:25" hidden="1" x14ac:dyDescent="0.25">
      <c r="Y33927" s="501"/>
    </row>
    <row r="33928" spans="25:25" hidden="1" x14ac:dyDescent="0.25">
      <c r="Y33928" s="501"/>
    </row>
    <row r="33929" spans="25:25" hidden="1" x14ac:dyDescent="0.25">
      <c r="Y33929" s="501"/>
    </row>
    <row r="33930" spans="25:25" hidden="1" x14ac:dyDescent="0.25">
      <c r="Y33930" s="501"/>
    </row>
    <row r="33931" spans="25:25" hidden="1" x14ac:dyDescent="0.25">
      <c r="Y33931" s="501"/>
    </row>
    <row r="33932" spans="25:25" hidden="1" x14ac:dyDescent="0.25">
      <c r="Y33932" s="501"/>
    </row>
    <row r="33933" spans="25:25" hidden="1" x14ac:dyDescent="0.25">
      <c r="Y33933" s="501"/>
    </row>
    <row r="33934" spans="25:25" hidden="1" x14ac:dyDescent="0.25">
      <c r="Y33934" s="501"/>
    </row>
    <row r="33935" spans="25:25" hidden="1" x14ac:dyDescent="0.25">
      <c r="Y33935" s="501"/>
    </row>
    <row r="33936" spans="25:25" hidden="1" x14ac:dyDescent="0.25">
      <c r="Y33936" s="501"/>
    </row>
    <row r="33937" spans="25:25" hidden="1" x14ac:dyDescent="0.25">
      <c r="Y33937" s="501"/>
    </row>
    <row r="33938" spans="25:25" hidden="1" x14ac:dyDescent="0.25">
      <c r="Y33938" s="501"/>
    </row>
    <row r="33939" spans="25:25" hidden="1" x14ac:dyDescent="0.25">
      <c r="Y33939" s="501"/>
    </row>
    <row r="33940" spans="25:25" hidden="1" x14ac:dyDescent="0.25">
      <c r="Y33940" s="501"/>
    </row>
    <row r="33941" spans="25:25" hidden="1" x14ac:dyDescent="0.25">
      <c r="Y33941" s="501"/>
    </row>
    <row r="33942" spans="25:25" hidden="1" x14ac:dyDescent="0.25">
      <c r="Y33942" s="501"/>
    </row>
    <row r="33943" spans="25:25" hidden="1" x14ac:dyDescent="0.25">
      <c r="Y33943" s="501"/>
    </row>
    <row r="33944" spans="25:25" hidden="1" x14ac:dyDescent="0.25">
      <c r="Y33944" s="501"/>
    </row>
    <row r="33945" spans="25:25" hidden="1" x14ac:dyDescent="0.25">
      <c r="Y33945" s="501"/>
    </row>
    <row r="33946" spans="25:25" hidden="1" x14ac:dyDescent="0.25">
      <c r="Y33946" s="501"/>
    </row>
    <row r="33947" spans="25:25" hidden="1" x14ac:dyDescent="0.25">
      <c r="Y33947" s="501"/>
    </row>
    <row r="33948" spans="25:25" hidden="1" x14ac:dyDescent="0.25">
      <c r="Y33948" s="501"/>
    </row>
    <row r="33949" spans="25:25" hidden="1" x14ac:dyDescent="0.25">
      <c r="Y33949" s="501"/>
    </row>
    <row r="33950" spans="25:25" hidden="1" x14ac:dyDescent="0.25">
      <c r="Y33950" s="501"/>
    </row>
    <row r="33951" spans="25:25" hidden="1" x14ac:dyDescent="0.25">
      <c r="Y33951" s="501"/>
    </row>
    <row r="33952" spans="25:25" hidden="1" x14ac:dyDescent="0.25">
      <c r="Y33952" s="501"/>
    </row>
    <row r="33953" spans="25:25" hidden="1" x14ac:dyDescent="0.25">
      <c r="Y33953" s="501"/>
    </row>
    <row r="33954" spans="25:25" hidden="1" x14ac:dyDescent="0.25">
      <c r="Y33954" s="501"/>
    </row>
    <row r="33955" spans="25:25" hidden="1" x14ac:dyDescent="0.25">
      <c r="Y33955" s="501"/>
    </row>
    <row r="33956" spans="25:25" hidden="1" x14ac:dyDescent="0.25">
      <c r="Y33956" s="501"/>
    </row>
    <row r="33957" spans="25:25" hidden="1" x14ac:dyDescent="0.25">
      <c r="Y33957" s="501"/>
    </row>
    <row r="33958" spans="25:25" hidden="1" x14ac:dyDescent="0.25">
      <c r="Y33958" s="501"/>
    </row>
    <row r="33959" spans="25:25" hidden="1" x14ac:dyDescent="0.25">
      <c r="Y33959" s="501"/>
    </row>
    <row r="33960" spans="25:25" hidden="1" x14ac:dyDescent="0.25">
      <c r="Y33960" s="501"/>
    </row>
    <row r="33961" spans="25:25" hidden="1" x14ac:dyDescent="0.25">
      <c r="Y33961" s="501"/>
    </row>
    <row r="33962" spans="25:25" hidden="1" x14ac:dyDescent="0.25">
      <c r="Y33962" s="501"/>
    </row>
    <row r="33963" spans="25:25" hidden="1" x14ac:dyDescent="0.25">
      <c r="Y33963" s="501"/>
    </row>
    <row r="33964" spans="25:25" hidden="1" x14ac:dyDescent="0.25">
      <c r="Y33964" s="501"/>
    </row>
    <row r="33965" spans="25:25" hidden="1" x14ac:dyDescent="0.25">
      <c r="Y33965" s="501"/>
    </row>
    <row r="33966" spans="25:25" hidden="1" x14ac:dyDescent="0.25">
      <c r="Y33966" s="501"/>
    </row>
    <row r="33967" spans="25:25" hidden="1" x14ac:dyDescent="0.25">
      <c r="Y33967" s="501"/>
    </row>
    <row r="33968" spans="25:25" hidden="1" x14ac:dyDescent="0.25">
      <c r="Y33968" s="501"/>
    </row>
    <row r="33969" spans="25:25" hidden="1" x14ac:dyDescent="0.25">
      <c r="Y33969" s="501"/>
    </row>
    <row r="33970" spans="25:25" hidden="1" x14ac:dyDescent="0.25">
      <c r="Y33970" s="501"/>
    </row>
    <row r="33971" spans="25:25" hidden="1" x14ac:dyDescent="0.25">
      <c r="Y33971" s="501"/>
    </row>
    <row r="33972" spans="25:25" hidden="1" x14ac:dyDescent="0.25">
      <c r="Y33972" s="501"/>
    </row>
    <row r="33973" spans="25:25" hidden="1" x14ac:dyDescent="0.25">
      <c r="Y33973" s="501"/>
    </row>
    <row r="33974" spans="25:25" hidden="1" x14ac:dyDescent="0.25">
      <c r="Y33974" s="501"/>
    </row>
    <row r="33975" spans="25:25" hidden="1" x14ac:dyDescent="0.25">
      <c r="Y33975" s="501"/>
    </row>
    <row r="33976" spans="25:25" hidden="1" x14ac:dyDescent="0.25">
      <c r="Y33976" s="501"/>
    </row>
    <row r="33977" spans="25:25" hidden="1" x14ac:dyDescent="0.25">
      <c r="Y33977" s="501"/>
    </row>
    <row r="33978" spans="25:25" hidden="1" x14ac:dyDescent="0.25">
      <c r="Y33978" s="501"/>
    </row>
    <row r="33979" spans="25:25" hidden="1" x14ac:dyDescent="0.25">
      <c r="Y33979" s="501"/>
    </row>
    <row r="33980" spans="25:25" hidden="1" x14ac:dyDescent="0.25">
      <c r="Y33980" s="501"/>
    </row>
    <row r="33981" spans="25:25" hidden="1" x14ac:dyDescent="0.25">
      <c r="Y33981" s="501"/>
    </row>
    <row r="33982" spans="25:25" hidden="1" x14ac:dyDescent="0.25">
      <c r="Y33982" s="501"/>
    </row>
    <row r="33983" spans="25:25" hidden="1" x14ac:dyDescent="0.25">
      <c r="Y33983" s="501"/>
    </row>
    <row r="33984" spans="25:25" hidden="1" x14ac:dyDescent="0.25">
      <c r="Y33984" s="501"/>
    </row>
    <row r="33985" spans="25:25" hidden="1" x14ac:dyDescent="0.25">
      <c r="Y33985" s="501"/>
    </row>
    <row r="33986" spans="25:25" hidden="1" x14ac:dyDescent="0.25">
      <c r="Y33986" s="501"/>
    </row>
    <row r="33987" spans="25:25" hidden="1" x14ac:dyDescent="0.25">
      <c r="Y33987" s="501"/>
    </row>
    <row r="33988" spans="25:25" hidden="1" x14ac:dyDescent="0.25">
      <c r="Y33988" s="501"/>
    </row>
    <row r="33989" spans="25:25" hidden="1" x14ac:dyDescent="0.25">
      <c r="Y33989" s="501"/>
    </row>
    <row r="33990" spans="25:25" hidden="1" x14ac:dyDescent="0.25">
      <c r="Y33990" s="501"/>
    </row>
    <row r="33991" spans="25:25" hidden="1" x14ac:dyDescent="0.25">
      <c r="Y33991" s="501"/>
    </row>
    <row r="33992" spans="25:25" hidden="1" x14ac:dyDescent="0.25">
      <c r="Y33992" s="501"/>
    </row>
    <row r="33993" spans="25:25" hidden="1" x14ac:dyDescent="0.25">
      <c r="Y33993" s="501"/>
    </row>
    <row r="33994" spans="25:25" hidden="1" x14ac:dyDescent="0.25">
      <c r="Y33994" s="501"/>
    </row>
    <row r="33995" spans="25:25" hidden="1" x14ac:dyDescent="0.25">
      <c r="Y33995" s="501"/>
    </row>
    <row r="33996" spans="25:25" hidden="1" x14ac:dyDescent="0.25">
      <c r="Y33996" s="501"/>
    </row>
    <row r="33997" spans="25:25" hidden="1" x14ac:dyDescent="0.25">
      <c r="Y33997" s="501"/>
    </row>
    <row r="33998" spans="25:25" hidden="1" x14ac:dyDescent="0.25">
      <c r="Y33998" s="501"/>
    </row>
    <row r="33999" spans="25:25" hidden="1" x14ac:dyDescent="0.25">
      <c r="Y33999" s="501"/>
    </row>
    <row r="34000" spans="25:25" hidden="1" x14ac:dyDescent="0.25">
      <c r="Y34000" s="501"/>
    </row>
    <row r="34001" spans="25:25" hidden="1" x14ac:dyDescent="0.25">
      <c r="Y34001" s="501"/>
    </row>
    <row r="34002" spans="25:25" hidden="1" x14ac:dyDescent="0.25">
      <c r="Y34002" s="501"/>
    </row>
    <row r="34003" spans="25:25" hidden="1" x14ac:dyDescent="0.25">
      <c r="Y34003" s="501"/>
    </row>
    <row r="34004" spans="25:25" hidden="1" x14ac:dyDescent="0.25">
      <c r="Y34004" s="501"/>
    </row>
    <row r="34005" spans="25:25" hidden="1" x14ac:dyDescent="0.25">
      <c r="Y34005" s="501"/>
    </row>
    <row r="34006" spans="25:25" hidden="1" x14ac:dyDescent="0.25">
      <c r="Y34006" s="501"/>
    </row>
    <row r="34007" spans="25:25" hidden="1" x14ac:dyDescent="0.25">
      <c r="Y34007" s="501"/>
    </row>
    <row r="34008" spans="25:25" hidden="1" x14ac:dyDescent="0.25">
      <c r="Y34008" s="501"/>
    </row>
    <row r="34009" spans="25:25" hidden="1" x14ac:dyDescent="0.25">
      <c r="Y34009" s="501"/>
    </row>
    <row r="34010" spans="25:25" hidden="1" x14ac:dyDescent="0.25">
      <c r="Y34010" s="501"/>
    </row>
    <row r="34011" spans="25:25" hidden="1" x14ac:dyDescent="0.25">
      <c r="Y34011" s="501"/>
    </row>
    <row r="34012" spans="25:25" hidden="1" x14ac:dyDescent="0.25">
      <c r="Y34012" s="501"/>
    </row>
    <row r="34013" spans="25:25" hidden="1" x14ac:dyDescent="0.25">
      <c r="Y34013" s="501"/>
    </row>
    <row r="34014" spans="25:25" hidden="1" x14ac:dyDescent="0.25">
      <c r="Y34014" s="501"/>
    </row>
    <row r="34015" spans="25:25" hidden="1" x14ac:dyDescent="0.25">
      <c r="Y34015" s="501"/>
    </row>
    <row r="34016" spans="25:25" hidden="1" x14ac:dyDescent="0.25">
      <c r="Y34016" s="501"/>
    </row>
    <row r="34017" spans="25:25" hidden="1" x14ac:dyDescent="0.25">
      <c r="Y34017" s="501"/>
    </row>
    <row r="34018" spans="25:25" hidden="1" x14ac:dyDescent="0.25">
      <c r="Y34018" s="501"/>
    </row>
    <row r="34019" spans="25:25" hidden="1" x14ac:dyDescent="0.25">
      <c r="Y34019" s="501"/>
    </row>
    <row r="34020" spans="25:25" hidden="1" x14ac:dyDescent="0.25">
      <c r="Y34020" s="501"/>
    </row>
    <row r="34021" spans="25:25" hidden="1" x14ac:dyDescent="0.25">
      <c r="Y34021" s="501"/>
    </row>
    <row r="34022" spans="25:25" hidden="1" x14ac:dyDescent="0.25">
      <c r="Y34022" s="501"/>
    </row>
    <row r="34023" spans="25:25" hidden="1" x14ac:dyDescent="0.25">
      <c r="Y34023" s="501"/>
    </row>
    <row r="34024" spans="25:25" hidden="1" x14ac:dyDescent="0.25">
      <c r="Y34024" s="501"/>
    </row>
    <row r="34025" spans="25:25" hidden="1" x14ac:dyDescent="0.25">
      <c r="Y34025" s="501"/>
    </row>
    <row r="34026" spans="25:25" hidden="1" x14ac:dyDescent="0.25">
      <c r="Y34026" s="501"/>
    </row>
    <row r="34027" spans="25:25" hidden="1" x14ac:dyDescent="0.25">
      <c r="Y34027" s="501"/>
    </row>
    <row r="34028" spans="25:25" hidden="1" x14ac:dyDescent="0.25">
      <c r="Y34028" s="501"/>
    </row>
    <row r="34029" spans="25:25" hidden="1" x14ac:dyDescent="0.25">
      <c r="Y34029" s="501"/>
    </row>
    <row r="34030" spans="25:25" hidden="1" x14ac:dyDescent="0.25">
      <c r="Y34030" s="501"/>
    </row>
    <row r="34031" spans="25:25" hidden="1" x14ac:dyDescent="0.25">
      <c r="Y34031" s="501"/>
    </row>
    <row r="34032" spans="25:25" hidden="1" x14ac:dyDescent="0.25">
      <c r="Y34032" s="501"/>
    </row>
    <row r="34033" spans="25:25" hidden="1" x14ac:dyDescent="0.25">
      <c r="Y34033" s="501"/>
    </row>
    <row r="34034" spans="25:25" hidden="1" x14ac:dyDescent="0.25">
      <c r="Y34034" s="501"/>
    </row>
    <row r="34035" spans="25:25" hidden="1" x14ac:dyDescent="0.25">
      <c r="Y34035" s="501"/>
    </row>
    <row r="34036" spans="25:25" hidden="1" x14ac:dyDescent="0.25">
      <c r="Y34036" s="501"/>
    </row>
    <row r="34037" spans="25:25" hidden="1" x14ac:dyDescent="0.25">
      <c r="Y34037" s="501"/>
    </row>
    <row r="34038" spans="25:25" hidden="1" x14ac:dyDescent="0.25">
      <c r="Y34038" s="501"/>
    </row>
    <row r="34039" spans="25:25" hidden="1" x14ac:dyDescent="0.25">
      <c r="Y34039" s="501"/>
    </row>
    <row r="34040" spans="25:25" hidden="1" x14ac:dyDescent="0.25">
      <c r="Y34040" s="501"/>
    </row>
    <row r="34041" spans="25:25" hidden="1" x14ac:dyDescent="0.25">
      <c r="Y34041" s="501"/>
    </row>
    <row r="34042" spans="25:25" hidden="1" x14ac:dyDescent="0.25">
      <c r="Y34042" s="501"/>
    </row>
    <row r="34043" spans="25:25" hidden="1" x14ac:dyDescent="0.25">
      <c r="Y34043" s="501"/>
    </row>
    <row r="34044" spans="25:25" hidden="1" x14ac:dyDescent="0.25">
      <c r="Y34044" s="501"/>
    </row>
    <row r="34045" spans="25:25" hidden="1" x14ac:dyDescent="0.25">
      <c r="Y34045" s="501"/>
    </row>
    <row r="34046" spans="25:25" hidden="1" x14ac:dyDescent="0.25">
      <c r="Y34046" s="501"/>
    </row>
    <row r="34047" spans="25:25" hidden="1" x14ac:dyDescent="0.25">
      <c r="Y34047" s="501"/>
    </row>
    <row r="34048" spans="25:25" hidden="1" x14ac:dyDescent="0.25">
      <c r="Y34048" s="501"/>
    </row>
    <row r="34049" spans="25:25" hidden="1" x14ac:dyDescent="0.25">
      <c r="Y34049" s="501"/>
    </row>
    <row r="34050" spans="25:25" hidden="1" x14ac:dyDescent="0.25">
      <c r="Y34050" s="501"/>
    </row>
    <row r="34051" spans="25:25" hidden="1" x14ac:dyDescent="0.25">
      <c r="Y34051" s="501"/>
    </row>
    <row r="34052" spans="25:25" hidden="1" x14ac:dyDescent="0.25">
      <c r="Y34052" s="501"/>
    </row>
    <row r="34053" spans="25:25" hidden="1" x14ac:dyDescent="0.25">
      <c r="Y34053" s="501"/>
    </row>
    <row r="34054" spans="25:25" hidden="1" x14ac:dyDescent="0.25">
      <c r="Y34054" s="501"/>
    </row>
    <row r="34055" spans="25:25" hidden="1" x14ac:dyDescent="0.25">
      <c r="Y34055" s="501"/>
    </row>
    <row r="34056" spans="25:25" hidden="1" x14ac:dyDescent="0.25">
      <c r="Y34056" s="501"/>
    </row>
    <row r="34057" spans="25:25" hidden="1" x14ac:dyDescent="0.25">
      <c r="Y34057" s="501"/>
    </row>
    <row r="34058" spans="25:25" hidden="1" x14ac:dyDescent="0.25">
      <c r="Y34058" s="501"/>
    </row>
    <row r="34059" spans="25:25" hidden="1" x14ac:dyDescent="0.25">
      <c r="Y34059" s="501"/>
    </row>
    <row r="34060" spans="25:25" hidden="1" x14ac:dyDescent="0.25">
      <c r="Y34060" s="501"/>
    </row>
    <row r="34061" spans="25:25" hidden="1" x14ac:dyDescent="0.25">
      <c r="Y34061" s="501"/>
    </row>
    <row r="34062" spans="25:25" hidden="1" x14ac:dyDescent="0.25">
      <c r="Y34062" s="501"/>
    </row>
    <row r="34063" spans="25:25" hidden="1" x14ac:dyDescent="0.25">
      <c r="Y34063" s="501"/>
    </row>
    <row r="34064" spans="25:25" hidden="1" x14ac:dyDescent="0.25">
      <c r="Y34064" s="501"/>
    </row>
    <row r="34065" spans="25:25" hidden="1" x14ac:dyDescent="0.25">
      <c r="Y34065" s="501"/>
    </row>
    <row r="34066" spans="25:25" hidden="1" x14ac:dyDescent="0.25">
      <c r="Y34066" s="501"/>
    </row>
    <row r="34067" spans="25:25" hidden="1" x14ac:dyDescent="0.25">
      <c r="Y34067" s="501"/>
    </row>
    <row r="34068" spans="25:25" hidden="1" x14ac:dyDescent="0.25">
      <c r="Y34068" s="501"/>
    </row>
    <row r="34069" spans="25:25" hidden="1" x14ac:dyDescent="0.25">
      <c r="Y34069" s="501"/>
    </row>
    <row r="34070" spans="25:25" hidden="1" x14ac:dyDescent="0.25">
      <c r="Y34070" s="501"/>
    </row>
    <row r="34071" spans="25:25" hidden="1" x14ac:dyDescent="0.25">
      <c r="Y34071" s="501"/>
    </row>
    <row r="34072" spans="25:25" hidden="1" x14ac:dyDescent="0.25">
      <c r="Y34072" s="501"/>
    </row>
    <row r="34073" spans="25:25" hidden="1" x14ac:dyDescent="0.25">
      <c r="Y34073" s="501"/>
    </row>
    <row r="34074" spans="25:25" hidden="1" x14ac:dyDescent="0.25">
      <c r="Y34074" s="501"/>
    </row>
    <row r="34075" spans="25:25" hidden="1" x14ac:dyDescent="0.25">
      <c r="Y34075" s="501"/>
    </row>
    <row r="34076" spans="25:25" hidden="1" x14ac:dyDescent="0.25">
      <c r="Y34076" s="501"/>
    </row>
    <row r="34077" spans="25:25" hidden="1" x14ac:dyDescent="0.25">
      <c r="Y34077" s="501"/>
    </row>
    <row r="34078" spans="25:25" hidden="1" x14ac:dyDescent="0.25">
      <c r="Y34078" s="501"/>
    </row>
    <row r="34079" spans="25:25" hidden="1" x14ac:dyDescent="0.25">
      <c r="Y34079" s="501"/>
    </row>
    <row r="34080" spans="25:25" hidden="1" x14ac:dyDescent="0.25">
      <c r="Y34080" s="501"/>
    </row>
    <row r="34081" spans="25:25" hidden="1" x14ac:dyDescent="0.25">
      <c r="Y34081" s="501"/>
    </row>
    <row r="34082" spans="25:25" hidden="1" x14ac:dyDescent="0.25">
      <c r="Y34082" s="501"/>
    </row>
    <row r="34083" spans="25:25" hidden="1" x14ac:dyDescent="0.25">
      <c r="Y34083" s="501"/>
    </row>
    <row r="34084" spans="25:25" hidden="1" x14ac:dyDescent="0.25">
      <c r="Y34084" s="501"/>
    </row>
    <row r="34085" spans="25:25" hidden="1" x14ac:dyDescent="0.25">
      <c r="Y34085" s="501"/>
    </row>
    <row r="34086" spans="25:25" hidden="1" x14ac:dyDescent="0.25">
      <c r="Y34086" s="501"/>
    </row>
    <row r="34087" spans="25:25" hidden="1" x14ac:dyDescent="0.25">
      <c r="Y34087" s="501"/>
    </row>
    <row r="34088" spans="25:25" hidden="1" x14ac:dyDescent="0.25">
      <c r="Y34088" s="501"/>
    </row>
    <row r="34089" spans="25:25" hidden="1" x14ac:dyDescent="0.25">
      <c r="Y34089" s="501"/>
    </row>
    <row r="34090" spans="25:25" hidden="1" x14ac:dyDescent="0.25">
      <c r="Y34090" s="501"/>
    </row>
    <row r="34091" spans="25:25" hidden="1" x14ac:dyDescent="0.25">
      <c r="Y34091" s="501"/>
    </row>
    <row r="34092" spans="25:25" hidden="1" x14ac:dyDescent="0.25">
      <c r="Y34092" s="501"/>
    </row>
    <row r="34093" spans="25:25" hidden="1" x14ac:dyDescent="0.25">
      <c r="Y34093" s="501"/>
    </row>
    <row r="34094" spans="25:25" hidden="1" x14ac:dyDescent="0.25">
      <c r="Y34094" s="501"/>
    </row>
    <row r="34095" spans="25:25" hidden="1" x14ac:dyDescent="0.25">
      <c r="Y34095" s="501"/>
    </row>
    <row r="34096" spans="25:25" hidden="1" x14ac:dyDescent="0.25">
      <c r="Y34096" s="501"/>
    </row>
    <row r="34097" spans="25:25" hidden="1" x14ac:dyDescent="0.25">
      <c r="Y34097" s="501"/>
    </row>
    <row r="34098" spans="25:25" hidden="1" x14ac:dyDescent="0.25">
      <c r="Y34098" s="501"/>
    </row>
    <row r="34099" spans="25:25" hidden="1" x14ac:dyDescent="0.25">
      <c r="Y34099" s="501"/>
    </row>
    <row r="34100" spans="25:25" hidden="1" x14ac:dyDescent="0.25">
      <c r="Y34100" s="501"/>
    </row>
    <row r="34101" spans="25:25" hidden="1" x14ac:dyDescent="0.25">
      <c r="Y34101" s="501"/>
    </row>
    <row r="34102" spans="25:25" hidden="1" x14ac:dyDescent="0.25">
      <c r="Y34102" s="501"/>
    </row>
    <row r="34103" spans="25:25" hidden="1" x14ac:dyDescent="0.25">
      <c r="Y34103" s="501"/>
    </row>
    <row r="34104" spans="25:25" hidden="1" x14ac:dyDescent="0.25">
      <c r="Y34104" s="501"/>
    </row>
    <row r="34105" spans="25:25" hidden="1" x14ac:dyDescent="0.25">
      <c r="Y34105" s="501"/>
    </row>
    <row r="34106" spans="25:25" hidden="1" x14ac:dyDescent="0.25">
      <c r="Y34106" s="501"/>
    </row>
    <row r="34107" spans="25:25" hidden="1" x14ac:dyDescent="0.25">
      <c r="Y34107" s="501"/>
    </row>
    <row r="34108" spans="25:25" hidden="1" x14ac:dyDescent="0.25">
      <c r="Y34108" s="501"/>
    </row>
    <row r="34109" spans="25:25" hidden="1" x14ac:dyDescent="0.25">
      <c r="Y34109" s="501"/>
    </row>
    <row r="34110" spans="25:25" hidden="1" x14ac:dyDescent="0.25">
      <c r="Y34110" s="501"/>
    </row>
    <row r="34111" spans="25:25" hidden="1" x14ac:dyDescent="0.25">
      <c r="Y34111" s="501"/>
    </row>
    <row r="34112" spans="25:25" hidden="1" x14ac:dyDescent="0.25">
      <c r="Y34112" s="501"/>
    </row>
    <row r="34113" spans="25:25" hidden="1" x14ac:dyDescent="0.25">
      <c r="Y34113" s="501"/>
    </row>
    <row r="34114" spans="25:25" hidden="1" x14ac:dyDescent="0.25">
      <c r="Y34114" s="501"/>
    </row>
    <row r="34115" spans="25:25" hidden="1" x14ac:dyDescent="0.25">
      <c r="Y34115" s="501"/>
    </row>
    <row r="34116" spans="25:25" hidden="1" x14ac:dyDescent="0.25">
      <c r="Y34116" s="501"/>
    </row>
    <row r="34117" spans="25:25" hidden="1" x14ac:dyDescent="0.25">
      <c r="Y34117" s="501"/>
    </row>
    <row r="34118" spans="25:25" hidden="1" x14ac:dyDescent="0.25">
      <c r="Y34118" s="501"/>
    </row>
    <row r="34119" spans="25:25" hidden="1" x14ac:dyDescent="0.25">
      <c r="Y34119" s="501"/>
    </row>
    <row r="34120" spans="25:25" hidden="1" x14ac:dyDescent="0.25">
      <c r="Y34120" s="501"/>
    </row>
    <row r="34121" spans="25:25" hidden="1" x14ac:dyDescent="0.25">
      <c r="Y34121" s="501"/>
    </row>
    <row r="34122" spans="25:25" hidden="1" x14ac:dyDescent="0.25">
      <c r="Y34122" s="501"/>
    </row>
    <row r="34123" spans="25:25" hidden="1" x14ac:dyDescent="0.25">
      <c r="Y34123" s="501"/>
    </row>
    <row r="34124" spans="25:25" hidden="1" x14ac:dyDescent="0.25">
      <c r="Y34124" s="501"/>
    </row>
    <row r="34125" spans="25:25" hidden="1" x14ac:dyDescent="0.25">
      <c r="Y34125" s="501"/>
    </row>
    <row r="34126" spans="25:25" hidden="1" x14ac:dyDescent="0.25">
      <c r="Y34126" s="501"/>
    </row>
    <row r="34127" spans="25:25" hidden="1" x14ac:dyDescent="0.25">
      <c r="Y34127" s="501"/>
    </row>
    <row r="34128" spans="25:25" hidden="1" x14ac:dyDescent="0.25">
      <c r="Y34128" s="501"/>
    </row>
    <row r="34129" spans="25:25" hidden="1" x14ac:dyDescent="0.25">
      <c r="Y34129" s="501"/>
    </row>
    <row r="34130" spans="25:25" hidden="1" x14ac:dyDescent="0.25">
      <c r="Y34130" s="501"/>
    </row>
    <row r="34131" spans="25:25" hidden="1" x14ac:dyDescent="0.25">
      <c r="Y34131" s="501"/>
    </row>
    <row r="34132" spans="25:25" hidden="1" x14ac:dyDescent="0.25">
      <c r="Y34132" s="501"/>
    </row>
    <row r="34133" spans="25:25" hidden="1" x14ac:dyDescent="0.25">
      <c r="Y34133" s="501"/>
    </row>
    <row r="34134" spans="25:25" hidden="1" x14ac:dyDescent="0.25">
      <c r="Y34134" s="501"/>
    </row>
    <row r="34135" spans="25:25" hidden="1" x14ac:dyDescent="0.25">
      <c r="Y34135" s="501"/>
    </row>
    <row r="34136" spans="25:25" hidden="1" x14ac:dyDescent="0.25">
      <c r="Y34136" s="501"/>
    </row>
    <row r="34137" spans="25:25" hidden="1" x14ac:dyDescent="0.25">
      <c r="Y34137" s="501"/>
    </row>
    <row r="34138" spans="25:25" hidden="1" x14ac:dyDescent="0.25">
      <c r="Y34138" s="501"/>
    </row>
    <row r="34139" spans="25:25" hidden="1" x14ac:dyDescent="0.25">
      <c r="Y34139" s="501"/>
    </row>
    <row r="34140" spans="25:25" hidden="1" x14ac:dyDescent="0.25">
      <c r="Y34140" s="501"/>
    </row>
    <row r="34141" spans="25:25" hidden="1" x14ac:dyDescent="0.25">
      <c r="Y34141" s="501"/>
    </row>
    <row r="34142" spans="25:25" hidden="1" x14ac:dyDescent="0.25">
      <c r="Y34142" s="501"/>
    </row>
    <row r="34143" spans="25:25" hidden="1" x14ac:dyDescent="0.25">
      <c r="Y34143" s="501"/>
    </row>
    <row r="34144" spans="25:25" hidden="1" x14ac:dyDescent="0.25">
      <c r="Y34144" s="501"/>
    </row>
    <row r="34145" spans="25:25" hidden="1" x14ac:dyDescent="0.25">
      <c r="Y34145" s="501"/>
    </row>
    <row r="34146" spans="25:25" hidden="1" x14ac:dyDescent="0.25">
      <c r="Y34146" s="501"/>
    </row>
    <row r="34147" spans="25:25" hidden="1" x14ac:dyDescent="0.25">
      <c r="Y34147" s="501"/>
    </row>
    <row r="34148" spans="25:25" hidden="1" x14ac:dyDescent="0.25">
      <c r="Y34148" s="501"/>
    </row>
    <row r="34149" spans="25:25" hidden="1" x14ac:dyDescent="0.25">
      <c r="Y34149" s="501"/>
    </row>
    <row r="34150" spans="25:25" hidden="1" x14ac:dyDescent="0.25">
      <c r="Y34150" s="501"/>
    </row>
    <row r="34151" spans="25:25" hidden="1" x14ac:dyDescent="0.25">
      <c r="Y34151" s="501"/>
    </row>
    <row r="34152" spans="25:25" hidden="1" x14ac:dyDescent="0.25">
      <c r="Y34152" s="501"/>
    </row>
    <row r="34153" spans="25:25" hidden="1" x14ac:dyDescent="0.25">
      <c r="Y34153" s="501"/>
    </row>
    <row r="34154" spans="25:25" hidden="1" x14ac:dyDescent="0.25">
      <c r="Y34154" s="501"/>
    </row>
    <row r="34155" spans="25:25" hidden="1" x14ac:dyDescent="0.25">
      <c r="Y34155" s="501"/>
    </row>
    <row r="34156" spans="25:25" hidden="1" x14ac:dyDescent="0.25">
      <c r="Y34156" s="501"/>
    </row>
    <row r="34157" spans="25:25" hidden="1" x14ac:dyDescent="0.25">
      <c r="Y34157" s="501"/>
    </row>
    <row r="34158" spans="25:25" hidden="1" x14ac:dyDescent="0.25">
      <c r="Y34158" s="501"/>
    </row>
    <row r="34159" spans="25:25" hidden="1" x14ac:dyDescent="0.25">
      <c r="Y34159" s="501"/>
    </row>
    <row r="34160" spans="25:25" hidden="1" x14ac:dyDescent="0.25">
      <c r="Y34160" s="501"/>
    </row>
    <row r="34161" spans="25:25" hidden="1" x14ac:dyDescent="0.25">
      <c r="Y34161" s="501"/>
    </row>
    <row r="34162" spans="25:25" hidden="1" x14ac:dyDescent="0.25">
      <c r="Y34162" s="501"/>
    </row>
    <row r="34163" spans="25:25" hidden="1" x14ac:dyDescent="0.25">
      <c r="Y34163" s="501"/>
    </row>
    <row r="34164" spans="25:25" hidden="1" x14ac:dyDescent="0.25">
      <c r="Y34164" s="501"/>
    </row>
    <row r="34165" spans="25:25" hidden="1" x14ac:dyDescent="0.25">
      <c r="Y34165" s="501"/>
    </row>
    <row r="34166" spans="25:25" hidden="1" x14ac:dyDescent="0.25">
      <c r="Y34166" s="501"/>
    </row>
    <row r="34167" spans="25:25" hidden="1" x14ac:dyDescent="0.25">
      <c r="Y34167" s="501"/>
    </row>
    <row r="34168" spans="25:25" hidden="1" x14ac:dyDescent="0.25">
      <c r="Y34168" s="501"/>
    </row>
    <row r="34169" spans="25:25" hidden="1" x14ac:dyDescent="0.25">
      <c r="Y34169" s="501"/>
    </row>
    <row r="34170" spans="25:25" hidden="1" x14ac:dyDescent="0.25">
      <c r="Y34170" s="501"/>
    </row>
    <row r="34171" spans="25:25" hidden="1" x14ac:dyDescent="0.25">
      <c r="Y34171" s="501"/>
    </row>
    <row r="34172" spans="25:25" hidden="1" x14ac:dyDescent="0.25">
      <c r="Y34172" s="501"/>
    </row>
    <row r="34173" spans="25:25" hidden="1" x14ac:dyDescent="0.25">
      <c r="Y34173" s="501"/>
    </row>
    <row r="34174" spans="25:25" hidden="1" x14ac:dyDescent="0.25">
      <c r="Y34174" s="501"/>
    </row>
    <row r="34175" spans="25:25" hidden="1" x14ac:dyDescent="0.25">
      <c r="Y34175" s="501"/>
    </row>
    <row r="34176" spans="25:25" hidden="1" x14ac:dyDescent="0.25">
      <c r="Y34176" s="501"/>
    </row>
    <row r="34177" spans="25:25" hidden="1" x14ac:dyDescent="0.25">
      <c r="Y34177" s="501"/>
    </row>
    <row r="34178" spans="25:25" hidden="1" x14ac:dyDescent="0.25">
      <c r="Y34178" s="501"/>
    </row>
    <row r="34179" spans="25:25" hidden="1" x14ac:dyDescent="0.25">
      <c r="Y34179" s="501"/>
    </row>
    <row r="34180" spans="25:25" hidden="1" x14ac:dyDescent="0.25">
      <c r="Y34180" s="501"/>
    </row>
    <row r="34181" spans="25:25" hidden="1" x14ac:dyDescent="0.25">
      <c r="Y34181" s="501"/>
    </row>
    <row r="34182" spans="25:25" hidden="1" x14ac:dyDescent="0.25">
      <c r="Y34182" s="501"/>
    </row>
    <row r="34183" spans="25:25" hidden="1" x14ac:dyDescent="0.25">
      <c r="Y34183" s="501"/>
    </row>
    <row r="34184" spans="25:25" hidden="1" x14ac:dyDescent="0.25">
      <c r="Y34184" s="501"/>
    </row>
    <row r="34185" spans="25:25" hidden="1" x14ac:dyDescent="0.25">
      <c r="Y34185" s="501"/>
    </row>
    <row r="34186" spans="25:25" hidden="1" x14ac:dyDescent="0.25">
      <c r="Y34186" s="501"/>
    </row>
    <row r="34187" spans="25:25" hidden="1" x14ac:dyDescent="0.25">
      <c r="Y34187" s="501"/>
    </row>
    <row r="34188" spans="25:25" hidden="1" x14ac:dyDescent="0.25">
      <c r="Y34188" s="501"/>
    </row>
    <row r="34189" spans="25:25" hidden="1" x14ac:dyDescent="0.25">
      <c r="Y34189" s="501"/>
    </row>
    <row r="34190" spans="25:25" hidden="1" x14ac:dyDescent="0.25">
      <c r="Y34190" s="501"/>
    </row>
    <row r="34191" spans="25:25" hidden="1" x14ac:dyDescent="0.25">
      <c r="Y34191" s="501"/>
    </row>
    <row r="34192" spans="25:25" hidden="1" x14ac:dyDescent="0.25">
      <c r="Y34192" s="501"/>
    </row>
    <row r="34193" spans="25:25" hidden="1" x14ac:dyDescent="0.25">
      <c r="Y34193" s="501"/>
    </row>
    <row r="34194" spans="25:25" hidden="1" x14ac:dyDescent="0.25">
      <c r="Y34194" s="501"/>
    </row>
    <row r="34195" spans="25:25" hidden="1" x14ac:dyDescent="0.25">
      <c r="Y34195" s="501"/>
    </row>
    <row r="34196" spans="25:25" hidden="1" x14ac:dyDescent="0.25">
      <c r="Y34196" s="501"/>
    </row>
    <row r="34197" spans="25:25" hidden="1" x14ac:dyDescent="0.25">
      <c r="Y34197" s="501"/>
    </row>
    <row r="34198" spans="25:25" hidden="1" x14ac:dyDescent="0.25">
      <c r="Y34198" s="501"/>
    </row>
    <row r="34199" spans="25:25" hidden="1" x14ac:dyDescent="0.25">
      <c r="Y34199" s="501"/>
    </row>
    <row r="34200" spans="25:25" hidden="1" x14ac:dyDescent="0.25">
      <c r="Y34200" s="501"/>
    </row>
    <row r="34201" spans="25:25" hidden="1" x14ac:dyDescent="0.25">
      <c r="Y34201" s="501"/>
    </row>
    <row r="34202" spans="25:25" hidden="1" x14ac:dyDescent="0.25">
      <c r="Y34202" s="501"/>
    </row>
    <row r="34203" spans="25:25" hidden="1" x14ac:dyDescent="0.25">
      <c r="Y34203" s="501"/>
    </row>
    <row r="34204" spans="25:25" hidden="1" x14ac:dyDescent="0.25">
      <c r="Y34204" s="501"/>
    </row>
    <row r="34205" spans="25:25" hidden="1" x14ac:dyDescent="0.25">
      <c r="Y34205" s="501"/>
    </row>
    <row r="34206" spans="25:25" hidden="1" x14ac:dyDescent="0.25">
      <c r="Y34206" s="501"/>
    </row>
    <row r="34207" spans="25:25" hidden="1" x14ac:dyDescent="0.25">
      <c r="Y34207" s="501"/>
    </row>
    <row r="34208" spans="25:25" hidden="1" x14ac:dyDescent="0.25">
      <c r="Y34208" s="501"/>
    </row>
    <row r="34209" spans="25:25" hidden="1" x14ac:dyDescent="0.25">
      <c r="Y34209" s="501"/>
    </row>
    <row r="34210" spans="25:25" hidden="1" x14ac:dyDescent="0.25">
      <c r="Y34210" s="501"/>
    </row>
    <row r="34211" spans="25:25" hidden="1" x14ac:dyDescent="0.25">
      <c r="Y34211" s="501"/>
    </row>
    <row r="34212" spans="25:25" hidden="1" x14ac:dyDescent="0.25">
      <c r="Y34212" s="501"/>
    </row>
    <row r="34213" spans="25:25" hidden="1" x14ac:dyDescent="0.25">
      <c r="Y34213" s="501"/>
    </row>
    <row r="34214" spans="25:25" hidden="1" x14ac:dyDescent="0.25">
      <c r="Y34214" s="501"/>
    </row>
    <row r="34215" spans="25:25" hidden="1" x14ac:dyDescent="0.25">
      <c r="Y34215" s="501"/>
    </row>
    <row r="34216" spans="25:25" hidden="1" x14ac:dyDescent="0.25">
      <c r="Y34216" s="501"/>
    </row>
    <row r="34217" spans="25:25" hidden="1" x14ac:dyDescent="0.25">
      <c r="Y34217" s="501"/>
    </row>
    <row r="34218" spans="25:25" hidden="1" x14ac:dyDescent="0.25">
      <c r="Y34218" s="501"/>
    </row>
    <row r="34219" spans="25:25" hidden="1" x14ac:dyDescent="0.25">
      <c r="Y34219" s="501"/>
    </row>
    <row r="34220" spans="25:25" hidden="1" x14ac:dyDescent="0.25">
      <c r="Y34220" s="501"/>
    </row>
    <row r="34221" spans="25:25" hidden="1" x14ac:dyDescent="0.25">
      <c r="Y34221" s="501"/>
    </row>
    <row r="34222" spans="25:25" hidden="1" x14ac:dyDescent="0.25">
      <c r="Y34222" s="501"/>
    </row>
    <row r="34223" spans="25:25" hidden="1" x14ac:dyDescent="0.25">
      <c r="Y34223" s="501"/>
    </row>
    <row r="34224" spans="25:25" hidden="1" x14ac:dyDescent="0.25">
      <c r="Y34224" s="501"/>
    </row>
    <row r="34225" spans="25:25" hidden="1" x14ac:dyDescent="0.25">
      <c r="Y34225" s="501"/>
    </row>
    <row r="34226" spans="25:25" hidden="1" x14ac:dyDescent="0.25">
      <c r="Y34226" s="501"/>
    </row>
    <row r="34227" spans="25:25" hidden="1" x14ac:dyDescent="0.25">
      <c r="Y34227" s="501"/>
    </row>
    <row r="34228" spans="25:25" hidden="1" x14ac:dyDescent="0.25">
      <c r="Y34228" s="501"/>
    </row>
    <row r="34229" spans="25:25" hidden="1" x14ac:dyDescent="0.25">
      <c r="Y34229" s="501"/>
    </row>
    <row r="34230" spans="25:25" hidden="1" x14ac:dyDescent="0.25">
      <c r="Y34230" s="501"/>
    </row>
    <row r="34231" spans="25:25" hidden="1" x14ac:dyDescent="0.25">
      <c r="Y34231" s="501"/>
    </row>
    <row r="34232" spans="25:25" hidden="1" x14ac:dyDescent="0.25">
      <c r="Y34232" s="501"/>
    </row>
    <row r="34233" spans="25:25" hidden="1" x14ac:dyDescent="0.25">
      <c r="Y34233" s="501"/>
    </row>
    <row r="34234" spans="25:25" hidden="1" x14ac:dyDescent="0.25">
      <c r="Y34234" s="501"/>
    </row>
    <row r="34235" spans="25:25" hidden="1" x14ac:dyDescent="0.25">
      <c r="Y34235" s="501"/>
    </row>
    <row r="34236" spans="25:25" hidden="1" x14ac:dyDescent="0.25">
      <c r="Y34236" s="501"/>
    </row>
    <row r="34237" spans="25:25" hidden="1" x14ac:dyDescent="0.25">
      <c r="Y34237" s="501"/>
    </row>
    <row r="34238" spans="25:25" hidden="1" x14ac:dyDescent="0.25">
      <c r="Y34238" s="501"/>
    </row>
    <row r="34239" spans="25:25" hidden="1" x14ac:dyDescent="0.25">
      <c r="Y34239" s="501"/>
    </row>
    <row r="34240" spans="25:25" hidden="1" x14ac:dyDescent="0.25">
      <c r="Y34240" s="501"/>
    </row>
    <row r="34241" spans="25:25" hidden="1" x14ac:dyDescent="0.25">
      <c r="Y34241" s="501"/>
    </row>
    <row r="34242" spans="25:25" hidden="1" x14ac:dyDescent="0.25">
      <c r="Y34242" s="501"/>
    </row>
    <row r="34243" spans="25:25" hidden="1" x14ac:dyDescent="0.25">
      <c r="Y34243" s="501"/>
    </row>
    <row r="34244" spans="25:25" hidden="1" x14ac:dyDescent="0.25">
      <c r="Y34244" s="501"/>
    </row>
    <row r="34245" spans="25:25" hidden="1" x14ac:dyDescent="0.25">
      <c r="Y34245" s="501"/>
    </row>
    <row r="34246" spans="25:25" hidden="1" x14ac:dyDescent="0.25">
      <c r="Y34246" s="501"/>
    </row>
    <row r="34247" spans="25:25" hidden="1" x14ac:dyDescent="0.25">
      <c r="Y34247" s="501"/>
    </row>
    <row r="34248" spans="25:25" hidden="1" x14ac:dyDescent="0.25">
      <c r="Y34248" s="501"/>
    </row>
    <row r="34249" spans="25:25" hidden="1" x14ac:dyDescent="0.25">
      <c r="Y34249" s="501"/>
    </row>
    <row r="34250" spans="25:25" hidden="1" x14ac:dyDescent="0.25">
      <c r="Y34250" s="501"/>
    </row>
    <row r="34251" spans="25:25" hidden="1" x14ac:dyDescent="0.25">
      <c r="Y34251" s="501"/>
    </row>
    <row r="34252" spans="25:25" hidden="1" x14ac:dyDescent="0.25">
      <c r="Y34252" s="501"/>
    </row>
    <row r="34253" spans="25:25" hidden="1" x14ac:dyDescent="0.25">
      <c r="Y34253" s="501"/>
    </row>
    <row r="34254" spans="25:25" hidden="1" x14ac:dyDescent="0.25">
      <c r="Y34254" s="501"/>
    </row>
    <row r="34255" spans="25:25" hidden="1" x14ac:dyDescent="0.25">
      <c r="Y34255" s="501"/>
    </row>
    <row r="34256" spans="25:25" hidden="1" x14ac:dyDescent="0.25">
      <c r="Y34256" s="501"/>
    </row>
    <row r="34257" spans="25:25" hidden="1" x14ac:dyDescent="0.25">
      <c r="Y34257" s="501"/>
    </row>
    <row r="34258" spans="25:25" hidden="1" x14ac:dyDescent="0.25">
      <c r="Y34258" s="501"/>
    </row>
    <row r="34259" spans="25:25" hidden="1" x14ac:dyDescent="0.25">
      <c r="Y34259" s="501"/>
    </row>
    <row r="34260" spans="25:25" hidden="1" x14ac:dyDescent="0.25">
      <c r="Y34260" s="501"/>
    </row>
    <row r="34261" spans="25:25" hidden="1" x14ac:dyDescent="0.25">
      <c r="Y34261" s="501"/>
    </row>
    <row r="34262" spans="25:25" hidden="1" x14ac:dyDescent="0.25">
      <c r="Y34262" s="501"/>
    </row>
    <row r="34263" spans="25:25" hidden="1" x14ac:dyDescent="0.25">
      <c r="Y34263" s="501"/>
    </row>
    <row r="34264" spans="25:25" hidden="1" x14ac:dyDescent="0.25">
      <c r="Y34264" s="501"/>
    </row>
    <row r="34265" spans="25:25" hidden="1" x14ac:dyDescent="0.25">
      <c r="Y34265" s="501"/>
    </row>
    <row r="34266" spans="25:25" hidden="1" x14ac:dyDescent="0.25">
      <c r="Y34266" s="501"/>
    </row>
    <row r="34267" spans="25:25" hidden="1" x14ac:dyDescent="0.25">
      <c r="Y34267" s="501"/>
    </row>
    <row r="34268" spans="25:25" hidden="1" x14ac:dyDescent="0.25">
      <c r="Y34268" s="501"/>
    </row>
    <row r="34269" spans="25:25" hidden="1" x14ac:dyDescent="0.25">
      <c r="Y34269" s="501"/>
    </row>
    <row r="34270" spans="25:25" hidden="1" x14ac:dyDescent="0.25">
      <c r="Y34270" s="501"/>
    </row>
    <row r="34271" spans="25:25" hidden="1" x14ac:dyDescent="0.25">
      <c r="Y34271" s="501"/>
    </row>
    <row r="34272" spans="25:25" hidden="1" x14ac:dyDescent="0.25">
      <c r="Y34272" s="501"/>
    </row>
    <row r="34273" spans="25:25" hidden="1" x14ac:dyDescent="0.25">
      <c r="Y34273" s="501"/>
    </row>
    <row r="34274" spans="25:25" hidden="1" x14ac:dyDescent="0.25">
      <c r="Y34274" s="501"/>
    </row>
    <row r="34275" spans="25:25" hidden="1" x14ac:dyDescent="0.25">
      <c r="Y34275" s="501"/>
    </row>
    <row r="34276" spans="25:25" hidden="1" x14ac:dyDescent="0.25">
      <c r="Y34276" s="501"/>
    </row>
    <row r="34277" spans="25:25" hidden="1" x14ac:dyDescent="0.25">
      <c r="Y34277" s="501"/>
    </row>
    <row r="34278" spans="25:25" hidden="1" x14ac:dyDescent="0.25">
      <c r="Y34278" s="501"/>
    </row>
    <row r="34279" spans="25:25" hidden="1" x14ac:dyDescent="0.25">
      <c r="Y34279" s="501"/>
    </row>
    <row r="34280" spans="25:25" hidden="1" x14ac:dyDescent="0.25">
      <c r="Y34280" s="501"/>
    </row>
    <row r="34281" spans="25:25" hidden="1" x14ac:dyDescent="0.25">
      <c r="Y34281" s="501"/>
    </row>
    <row r="34282" spans="25:25" hidden="1" x14ac:dyDescent="0.25">
      <c r="Y34282" s="501"/>
    </row>
    <row r="34283" spans="25:25" hidden="1" x14ac:dyDescent="0.25">
      <c r="Y34283" s="501"/>
    </row>
    <row r="34284" spans="25:25" hidden="1" x14ac:dyDescent="0.25">
      <c r="Y34284" s="501"/>
    </row>
    <row r="34285" spans="25:25" hidden="1" x14ac:dyDescent="0.25">
      <c r="Y34285" s="501"/>
    </row>
    <row r="34286" spans="25:25" hidden="1" x14ac:dyDescent="0.25">
      <c r="Y34286" s="501"/>
    </row>
    <row r="34287" spans="25:25" hidden="1" x14ac:dyDescent="0.25">
      <c r="Y34287" s="501"/>
    </row>
    <row r="34288" spans="25:25" hidden="1" x14ac:dyDescent="0.25">
      <c r="Y34288" s="501"/>
    </row>
    <row r="34289" spans="25:25" hidden="1" x14ac:dyDescent="0.25">
      <c r="Y34289" s="501"/>
    </row>
    <row r="34290" spans="25:25" hidden="1" x14ac:dyDescent="0.25">
      <c r="Y34290" s="501"/>
    </row>
    <row r="34291" spans="25:25" hidden="1" x14ac:dyDescent="0.25">
      <c r="Y34291" s="501"/>
    </row>
    <row r="34292" spans="25:25" hidden="1" x14ac:dyDescent="0.25">
      <c r="Y34292" s="501"/>
    </row>
    <row r="34293" spans="25:25" hidden="1" x14ac:dyDescent="0.25">
      <c r="Y34293" s="501"/>
    </row>
    <row r="34294" spans="25:25" hidden="1" x14ac:dyDescent="0.25">
      <c r="Y34294" s="501"/>
    </row>
    <row r="34295" spans="25:25" hidden="1" x14ac:dyDescent="0.25">
      <c r="Y34295" s="501"/>
    </row>
    <row r="34296" spans="25:25" hidden="1" x14ac:dyDescent="0.25">
      <c r="Y34296" s="501"/>
    </row>
    <row r="34297" spans="25:25" hidden="1" x14ac:dyDescent="0.25">
      <c r="Y34297" s="501"/>
    </row>
    <row r="34298" spans="25:25" hidden="1" x14ac:dyDescent="0.25">
      <c r="Y34298" s="501"/>
    </row>
    <row r="34299" spans="25:25" hidden="1" x14ac:dyDescent="0.25">
      <c r="Y34299" s="501"/>
    </row>
    <row r="34300" spans="25:25" hidden="1" x14ac:dyDescent="0.25">
      <c r="Y34300" s="501"/>
    </row>
    <row r="34301" spans="25:25" hidden="1" x14ac:dyDescent="0.25">
      <c r="Y34301" s="501"/>
    </row>
    <row r="34302" spans="25:25" hidden="1" x14ac:dyDescent="0.25">
      <c r="Y34302" s="501"/>
    </row>
    <row r="34303" spans="25:25" hidden="1" x14ac:dyDescent="0.25">
      <c r="Y34303" s="501"/>
    </row>
    <row r="34304" spans="25:25" hidden="1" x14ac:dyDescent="0.25">
      <c r="Y34304" s="501"/>
    </row>
    <row r="34305" spans="25:25" hidden="1" x14ac:dyDescent="0.25">
      <c r="Y34305" s="501"/>
    </row>
    <row r="34306" spans="25:25" hidden="1" x14ac:dyDescent="0.25">
      <c r="Y34306" s="501"/>
    </row>
    <row r="34307" spans="25:25" hidden="1" x14ac:dyDescent="0.25">
      <c r="Y34307" s="501"/>
    </row>
    <row r="34308" spans="25:25" hidden="1" x14ac:dyDescent="0.25">
      <c r="Y34308" s="501"/>
    </row>
    <row r="34309" spans="25:25" hidden="1" x14ac:dyDescent="0.25">
      <c r="Y34309" s="501"/>
    </row>
    <row r="34310" spans="25:25" hidden="1" x14ac:dyDescent="0.25">
      <c r="Y34310" s="501"/>
    </row>
    <row r="34311" spans="25:25" hidden="1" x14ac:dyDescent="0.25">
      <c r="Y34311" s="501"/>
    </row>
    <row r="34312" spans="25:25" hidden="1" x14ac:dyDescent="0.25">
      <c r="Y34312" s="501"/>
    </row>
    <row r="34313" spans="25:25" hidden="1" x14ac:dyDescent="0.25">
      <c r="Y34313" s="501"/>
    </row>
    <row r="34314" spans="25:25" hidden="1" x14ac:dyDescent="0.25">
      <c r="Y34314" s="501"/>
    </row>
    <row r="34315" spans="25:25" hidden="1" x14ac:dyDescent="0.25">
      <c r="Y34315" s="501"/>
    </row>
    <row r="34316" spans="25:25" hidden="1" x14ac:dyDescent="0.25">
      <c r="Y34316" s="501"/>
    </row>
    <row r="34317" spans="25:25" hidden="1" x14ac:dyDescent="0.25">
      <c r="Y34317" s="501"/>
    </row>
    <row r="34318" spans="25:25" hidden="1" x14ac:dyDescent="0.25">
      <c r="Y34318" s="501"/>
    </row>
    <row r="34319" spans="25:25" hidden="1" x14ac:dyDescent="0.25">
      <c r="Y34319" s="501"/>
    </row>
    <row r="34320" spans="25:25" hidden="1" x14ac:dyDescent="0.25">
      <c r="Y34320" s="501"/>
    </row>
    <row r="34321" spans="25:25" hidden="1" x14ac:dyDescent="0.25">
      <c r="Y34321" s="501"/>
    </row>
    <row r="34322" spans="25:25" hidden="1" x14ac:dyDescent="0.25">
      <c r="Y34322" s="501"/>
    </row>
    <row r="34323" spans="25:25" hidden="1" x14ac:dyDescent="0.25">
      <c r="Y34323" s="501"/>
    </row>
    <row r="34324" spans="25:25" hidden="1" x14ac:dyDescent="0.25">
      <c r="Y34324" s="501"/>
    </row>
    <row r="34325" spans="25:25" hidden="1" x14ac:dyDescent="0.25">
      <c r="Y34325" s="501"/>
    </row>
    <row r="34326" spans="25:25" hidden="1" x14ac:dyDescent="0.25">
      <c r="Y34326" s="501"/>
    </row>
    <row r="34327" spans="25:25" hidden="1" x14ac:dyDescent="0.25">
      <c r="Y34327" s="501"/>
    </row>
    <row r="34328" spans="25:25" hidden="1" x14ac:dyDescent="0.25">
      <c r="Y34328" s="501"/>
    </row>
    <row r="34329" spans="25:25" hidden="1" x14ac:dyDescent="0.25">
      <c r="Y34329" s="501"/>
    </row>
    <row r="34330" spans="25:25" hidden="1" x14ac:dyDescent="0.25">
      <c r="Y34330" s="501"/>
    </row>
    <row r="34331" spans="25:25" hidden="1" x14ac:dyDescent="0.25">
      <c r="Y34331" s="501"/>
    </row>
    <row r="34332" spans="25:25" hidden="1" x14ac:dyDescent="0.25">
      <c r="Y34332" s="501"/>
    </row>
    <row r="34333" spans="25:25" hidden="1" x14ac:dyDescent="0.25">
      <c r="Y34333" s="501"/>
    </row>
    <row r="34334" spans="25:25" hidden="1" x14ac:dyDescent="0.25">
      <c r="Y34334" s="501"/>
    </row>
    <row r="34335" spans="25:25" hidden="1" x14ac:dyDescent="0.25">
      <c r="Y34335" s="501"/>
    </row>
    <row r="34336" spans="25:25" hidden="1" x14ac:dyDescent="0.25">
      <c r="Y34336" s="501"/>
    </row>
    <row r="34337" spans="25:25" hidden="1" x14ac:dyDescent="0.25">
      <c r="Y34337" s="501"/>
    </row>
    <row r="34338" spans="25:25" hidden="1" x14ac:dyDescent="0.25">
      <c r="Y34338" s="501"/>
    </row>
    <row r="34339" spans="25:25" hidden="1" x14ac:dyDescent="0.25">
      <c r="Y34339" s="501"/>
    </row>
    <row r="34340" spans="25:25" hidden="1" x14ac:dyDescent="0.25">
      <c r="Y34340" s="501"/>
    </row>
    <row r="34341" spans="25:25" hidden="1" x14ac:dyDescent="0.25">
      <c r="Y34341" s="501"/>
    </row>
    <row r="34342" spans="25:25" hidden="1" x14ac:dyDescent="0.25">
      <c r="Y34342" s="501"/>
    </row>
    <row r="34343" spans="25:25" hidden="1" x14ac:dyDescent="0.25">
      <c r="Y34343" s="501"/>
    </row>
    <row r="34344" spans="25:25" hidden="1" x14ac:dyDescent="0.25">
      <c r="Y34344" s="501"/>
    </row>
    <row r="34345" spans="25:25" hidden="1" x14ac:dyDescent="0.25">
      <c r="Y34345" s="501"/>
    </row>
    <row r="34346" spans="25:25" hidden="1" x14ac:dyDescent="0.25">
      <c r="Y34346" s="501"/>
    </row>
    <row r="34347" spans="25:25" hidden="1" x14ac:dyDescent="0.25">
      <c r="Y34347" s="501"/>
    </row>
    <row r="34348" spans="25:25" hidden="1" x14ac:dyDescent="0.25">
      <c r="Y34348" s="501"/>
    </row>
    <row r="34349" spans="25:25" hidden="1" x14ac:dyDescent="0.25">
      <c r="Y34349" s="501"/>
    </row>
    <row r="34350" spans="25:25" hidden="1" x14ac:dyDescent="0.25">
      <c r="Y34350" s="501"/>
    </row>
    <row r="34351" spans="25:25" hidden="1" x14ac:dyDescent="0.25">
      <c r="Y34351" s="501"/>
    </row>
    <row r="34352" spans="25:25" hidden="1" x14ac:dyDescent="0.25">
      <c r="Y34352" s="501"/>
    </row>
    <row r="34353" spans="25:25" hidden="1" x14ac:dyDescent="0.25">
      <c r="Y34353" s="501"/>
    </row>
    <row r="34354" spans="25:25" hidden="1" x14ac:dyDescent="0.25">
      <c r="Y34354" s="501"/>
    </row>
    <row r="34355" spans="25:25" hidden="1" x14ac:dyDescent="0.25">
      <c r="Y34355" s="501"/>
    </row>
    <row r="34356" spans="25:25" hidden="1" x14ac:dyDescent="0.25">
      <c r="Y34356" s="501"/>
    </row>
    <row r="34357" spans="25:25" hidden="1" x14ac:dyDescent="0.25">
      <c r="Y34357" s="501"/>
    </row>
    <row r="34358" spans="25:25" hidden="1" x14ac:dyDescent="0.25">
      <c r="Y34358" s="501"/>
    </row>
    <row r="34359" spans="25:25" hidden="1" x14ac:dyDescent="0.25">
      <c r="Y34359" s="501"/>
    </row>
    <row r="34360" spans="25:25" hidden="1" x14ac:dyDescent="0.25">
      <c r="Y34360" s="501"/>
    </row>
    <row r="34361" spans="25:25" hidden="1" x14ac:dyDescent="0.25">
      <c r="Y34361" s="501"/>
    </row>
    <row r="34362" spans="25:25" hidden="1" x14ac:dyDescent="0.25">
      <c r="Y34362" s="501"/>
    </row>
    <row r="34363" spans="25:25" hidden="1" x14ac:dyDescent="0.25">
      <c r="Y34363" s="501"/>
    </row>
    <row r="34364" spans="25:25" hidden="1" x14ac:dyDescent="0.25">
      <c r="Y34364" s="501"/>
    </row>
    <row r="34365" spans="25:25" hidden="1" x14ac:dyDescent="0.25">
      <c r="Y34365" s="501"/>
    </row>
    <row r="34366" spans="25:25" hidden="1" x14ac:dyDescent="0.25">
      <c r="Y34366" s="501"/>
    </row>
    <row r="34367" spans="25:25" hidden="1" x14ac:dyDescent="0.25">
      <c r="Y34367" s="501"/>
    </row>
    <row r="34368" spans="25:25" hidden="1" x14ac:dyDescent="0.25">
      <c r="Y34368" s="501"/>
    </row>
    <row r="34369" spans="25:25" hidden="1" x14ac:dyDescent="0.25">
      <c r="Y34369" s="501"/>
    </row>
    <row r="34370" spans="25:25" hidden="1" x14ac:dyDescent="0.25">
      <c r="Y34370" s="501"/>
    </row>
    <row r="34371" spans="25:25" hidden="1" x14ac:dyDescent="0.25">
      <c r="Y34371" s="501"/>
    </row>
    <row r="34372" spans="25:25" hidden="1" x14ac:dyDescent="0.25">
      <c r="Y34372" s="501"/>
    </row>
    <row r="34373" spans="25:25" hidden="1" x14ac:dyDescent="0.25">
      <c r="Y34373" s="501"/>
    </row>
    <row r="34374" spans="25:25" hidden="1" x14ac:dyDescent="0.25">
      <c r="Y34374" s="501"/>
    </row>
    <row r="34375" spans="25:25" hidden="1" x14ac:dyDescent="0.25">
      <c r="Y34375" s="501"/>
    </row>
    <row r="34376" spans="25:25" hidden="1" x14ac:dyDescent="0.25">
      <c r="Y34376" s="501"/>
    </row>
    <row r="34377" spans="25:25" hidden="1" x14ac:dyDescent="0.25">
      <c r="Y34377" s="501"/>
    </row>
    <row r="34378" spans="25:25" hidden="1" x14ac:dyDescent="0.25">
      <c r="Y34378" s="501"/>
    </row>
    <row r="34379" spans="25:25" hidden="1" x14ac:dyDescent="0.25">
      <c r="Y34379" s="501"/>
    </row>
    <row r="34380" spans="25:25" hidden="1" x14ac:dyDescent="0.25">
      <c r="Y34380" s="501"/>
    </row>
    <row r="34381" spans="25:25" hidden="1" x14ac:dyDescent="0.25">
      <c r="Y34381" s="501"/>
    </row>
    <row r="34382" spans="25:25" hidden="1" x14ac:dyDescent="0.25">
      <c r="Y34382" s="501"/>
    </row>
    <row r="34383" spans="25:25" hidden="1" x14ac:dyDescent="0.25">
      <c r="Y34383" s="501"/>
    </row>
    <row r="34384" spans="25:25" hidden="1" x14ac:dyDescent="0.25">
      <c r="Y34384" s="501"/>
    </row>
    <row r="34385" spans="25:25" hidden="1" x14ac:dyDescent="0.25">
      <c r="Y34385" s="501"/>
    </row>
    <row r="34386" spans="25:25" hidden="1" x14ac:dyDescent="0.25">
      <c r="Y34386" s="501"/>
    </row>
    <row r="34387" spans="25:25" hidden="1" x14ac:dyDescent="0.25">
      <c r="Y34387" s="501"/>
    </row>
    <row r="34388" spans="25:25" hidden="1" x14ac:dyDescent="0.25">
      <c r="Y34388" s="501"/>
    </row>
    <row r="34389" spans="25:25" hidden="1" x14ac:dyDescent="0.25">
      <c r="Y34389" s="501"/>
    </row>
    <row r="34390" spans="25:25" hidden="1" x14ac:dyDescent="0.25">
      <c r="Y34390" s="501"/>
    </row>
    <row r="34391" spans="25:25" hidden="1" x14ac:dyDescent="0.25">
      <c r="Y34391" s="501"/>
    </row>
    <row r="34392" spans="25:25" hidden="1" x14ac:dyDescent="0.25">
      <c r="Y34392" s="501"/>
    </row>
    <row r="34393" spans="25:25" hidden="1" x14ac:dyDescent="0.25">
      <c r="Y34393" s="501"/>
    </row>
    <row r="34394" spans="25:25" hidden="1" x14ac:dyDescent="0.25">
      <c r="Y34394" s="501"/>
    </row>
    <row r="34395" spans="25:25" hidden="1" x14ac:dyDescent="0.25">
      <c r="Y34395" s="501"/>
    </row>
    <row r="34396" spans="25:25" hidden="1" x14ac:dyDescent="0.25">
      <c r="Y34396" s="501"/>
    </row>
    <row r="34397" spans="25:25" hidden="1" x14ac:dyDescent="0.25">
      <c r="Y34397" s="501"/>
    </row>
    <row r="34398" spans="25:25" hidden="1" x14ac:dyDescent="0.25">
      <c r="Y34398" s="501"/>
    </row>
    <row r="34399" spans="25:25" hidden="1" x14ac:dyDescent="0.25">
      <c r="Y34399" s="501"/>
    </row>
    <row r="34400" spans="25:25" hidden="1" x14ac:dyDescent="0.25">
      <c r="Y34400" s="501"/>
    </row>
    <row r="34401" spans="25:25" hidden="1" x14ac:dyDescent="0.25">
      <c r="Y34401" s="501"/>
    </row>
    <row r="34402" spans="25:25" hidden="1" x14ac:dyDescent="0.25">
      <c r="Y34402" s="501"/>
    </row>
    <row r="34403" spans="25:25" hidden="1" x14ac:dyDescent="0.25">
      <c r="Y34403" s="501"/>
    </row>
    <row r="34404" spans="25:25" hidden="1" x14ac:dyDescent="0.25">
      <c r="Y34404" s="501"/>
    </row>
    <row r="34405" spans="25:25" hidden="1" x14ac:dyDescent="0.25">
      <c r="Y34405" s="501"/>
    </row>
    <row r="34406" spans="25:25" hidden="1" x14ac:dyDescent="0.25">
      <c r="Y34406" s="501"/>
    </row>
    <row r="34407" spans="25:25" hidden="1" x14ac:dyDescent="0.25">
      <c r="Y34407" s="501"/>
    </row>
    <row r="34408" spans="25:25" hidden="1" x14ac:dyDescent="0.25">
      <c r="Y34408" s="501"/>
    </row>
    <row r="34409" spans="25:25" hidden="1" x14ac:dyDescent="0.25">
      <c r="Y34409" s="501"/>
    </row>
    <row r="34410" spans="25:25" hidden="1" x14ac:dyDescent="0.25">
      <c r="Y34410" s="501"/>
    </row>
    <row r="34411" spans="25:25" hidden="1" x14ac:dyDescent="0.25">
      <c r="Y34411" s="501"/>
    </row>
    <row r="34412" spans="25:25" hidden="1" x14ac:dyDescent="0.25">
      <c r="Y34412" s="501"/>
    </row>
    <row r="34413" spans="25:25" hidden="1" x14ac:dyDescent="0.25">
      <c r="Y34413" s="501"/>
    </row>
    <row r="34414" spans="25:25" hidden="1" x14ac:dyDescent="0.25">
      <c r="Y34414" s="501"/>
    </row>
    <row r="34415" spans="25:25" hidden="1" x14ac:dyDescent="0.25">
      <c r="Y34415" s="501"/>
    </row>
    <row r="34416" spans="25:25" hidden="1" x14ac:dyDescent="0.25">
      <c r="Y34416" s="501"/>
    </row>
    <row r="34417" spans="25:25" hidden="1" x14ac:dyDescent="0.25">
      <c r="Y34417" s="501"/>
    </row>
    <row r="34418" spans="25:25" hidden="1" x14ac:dyDescent="0.25">
      <c r="Y34418" s="501"/>
    </row>
    <row r="34419" spans="25:25" hidden="1" x14ac:dyDescent="0.25">
      <c r="Y34419" s="501"/>
    </row>
    <row r="34420" spans="25:25" hidden="1" x14ac:dyDescent="0.25">
      <c r="Y34420" s="501"/>
    </row>
    <row r="34421" spans="25:25" hidden="1" x14ac:dyDescent="0.25">
      <c r="Y34421" s="501"/>
    </row>
    <row r="34422" spans="25:25" hidden="1" x14ac:dyDescent="0.25">
      <c r="Y34422" s="501"/>
    </row>
    <row r="34423" spans="25:25" hidden="1" x14ac:dyDescent="0.25">
      <c r="Y34423" s="501"/>
    </row>
    <row r="34424" spans="25:25" hidden="1" x14ac:dyDescent="0.25">
      <c r="Y34424" s="501"/>
    </row>
    <row r="34425" spans="25:25" hidden="1" x14ac:dyDescent="0.25">
      <c r="Y34425" s="501"/>
    </row>
    <row r="34426" spans="25:25" hidden="1" x14ac:dyDescent="0.25">
      <c r="Y34426" s="501"/>
    </row>
    <row r="34427" spans="25:25" hidden="1" x14ac:dyDescent="0.25">
      <c r="Y34427" s="501"/>
    </row>
    <row r="34428" spans="25:25" hidden="1" x14ac:dyDescent="0.25">
      <c r="Y34428" s="501"/>
    </row>
    <row r="34429" spans="25:25" hidden="1" x14ac:dyDescent="0.25">
      <c r="Y34429" s="501"/>
    </row>
    <row r="34430" spans="25:25" hidden="1" x14ac:dyDescent="0.25">
      <c r="Y34430" s="501"/>
    </row>
    <row r="34431" spans="25:25" hidden="1" x14ac:dyDescent="0.25">
      <c r="Y34431" s="501"/>
    </row>
    <row r="34432" spans="25:25" hidden="1" x14ac:dyDescent="0.25">
      <c r="Y34432" s="501"/>
    </row>
    <row r="34433" spans="25:25" hidden="1" x14ac:dyDescent="0.25">
      <c r="Y34433" s="501"/>
    </row>
    <row r="34434" spans="25:25" hidden="1" x14ac:dyDescent="0.25">
      <c r="Y34434" s="501"/>
    </row>
    <row r="34435" spans="25:25" hidden="1" x14ac:dyDescent="0.25">
      <c r="Y34435" s="501"/>
    </row>
    <row r="34436" spans="25:25" hidden="1" x14ac:dyDescent="0.25">
      <c r="Y34436" s="501"/>
    </row>
    <row r="34437" spans="25:25" hidden="1" x14ac:dyDescent="0.25">
      <c r="Y34437" s="501"/>
    </row>
    <row r="34438" spans="25:25" hidden="1" x14ac:dyDescent="0.25">
      <c r="Y34438" s="501"/>
    </row>
    <row r="34439" spans="25:25" hidden="1" x14ac:dyDescent="0.25">
      <c r="Y34439" s="501"/>
    </row>
    <row r="34440" spans="25:25" hidden="1" x14ac:dyDescent="0.25">
      <c r="Y34440" s="501"/>
    </row>
    <row r="34441" spans="25:25" hidden="1" x14ac:dyDescent="0.25">
      <c r="Y34441" s="501"/>
    </row>
    <row r="34442" spans="25:25" hidden="1" x14ac:dyDescent="0.25">
      <c r="Y34442" s="501"/>
    </row>
    <row r="34443" spans="25:25" hidden="1" x14ac:dyDescent="0.25">
      <c r="Y34443" s="501"/>
    </row>
    <row r="34444" spans="25:25" hidden="1" x14ac:dyDescent="0.25">
      <c r="Y34444" s="501"/>
    </row>
    <row r="34445" spans="25:25" hidden="1" x14ac:dyDescent="0.25">
      <c r="Y34445" s="501"/>
    </row>
    <row r="34446" spans="25:25" hidden="1" x14ac:dyDescent="0.25">
      <c r="Y34446" s="501"/>
    </row>
    <row r="34447" spans="25:25" hidden="1" x14ac:dyDescent="0.25">
      <c r="Y34447" s="501"/>
    </row>
    <row r="34448" spans="25:25" hidden="1" x14ac:dyDescent="0.25">
      <c r="Y34448" s="501"/>
    </row>
    <row r="34449" spans="25:25" hidden="1" x14ac:dyDescent="0.25">
      <c r="Y34449" s="501"/>
    </row>
    <row r="34450" spans="25:25" hidden="1" x14ac:dyDescent="0.25">
      <c r="Y34450" s="501"/>
    </row>
    <row r="34451" spans="25:25" hidden="1" x14ac:dyDescent="0.25">
      <c r="Y34451" s="501"/>
    </row>
    <row r="34452" spans="25:25" hidden="1" x14ac:dyDescent="0.25">
      <c r="Y34452" s="501"/>
    </row>
    <row r="34453" spans="25:25" hidden="1" x14ac:dyDescent="0.25">
      <c r="Y34453" s="501"/>
    </row>
    <row r="34454" spans="25:25" hidden="1" x14ac:dyDescent="0.25">
      <c r="Y34454" s="501"/>
    </row>
    <row r="34455" spans="25:25" hidden="1" x14ac:dyDescent="0.25">
      <c r="Y34455" s="501"/>
    </row>
    <row r="34456" spans="25:25" hidden="1" x14ac:dyDescent="0.25">
      <c r="Y34456" s="501"/>
    </row>
    <row r="34457" spans="25:25" hidden="1" x14ac:dyDescent="0.25">
      <c r="Y34457" s="501"/>
    </row>
    <row r="34458" spans="25:25" hidden="1" x14ac:dyDescent="0.25">
      <c r="Y34458" s="501"/>
    </row>
    <row r="34459" spans="25:25" hidden="1" x14ac:dyDescent="0.25">
      <c r="Y34459" s="501"/>
    </row>
    <row r="34460" spans="25:25" hidden="1" x14ac:dyDescent="0.25">
      <c r="Y34460" s="501"/>
    </row>
    <row r="34461" spans="25:25" hidden="1" x14ac:dyDescent="0.25">
      <c r="Y34461" s="501"/>
    </row>
    <row r="34462" spans="25:25" hidden="1" x14ac:dyDescent="0.25">
      <c r="Y34462" s="501"/>
    </row>
    <row r="34463" spans="25:25" hidden="1" x14ac:dyDescent="0.25">
      <c r="Y34463" s="501"/>
    </row>
    <row r="34464" spans="25:25" hidden="1" x14ac:dyDescent="0.25">
      <c r="Y34464" s="501"/>
    </row>
    <row r="34465" spans="25:25" hidden="1" x14ac:dyDescent="0.25">
      <c r="Y34465" s="501"/>
    </row>
    <row r="34466" spans="25:25" hidden="1" x14ac:dyDescent="0.25">
      <c r="Y34466" s="501"/>
    </row>
    <row r="34467" spans="25:25" hidden="1" x14ac:dyDescent="0.25">
      <c r="Y34467" s="501"/>
    </row>
    <row r="34468" spans="25:25" hidden="1" x14ac:dyDescent="0.25">
      <c r="Y34468" s="501"/>
    </row>
    <row r="34469" spans="25:25" hidden="1" x14ac:dyDescent="0.25">
      <c r="Y34469" s="501"/>
    </row>
    <row r="34470" spans="25:25" hidden="1" x14ac:dyDescent="0.25">
      <c r="Y34470" s="501"/>
    </row>
    <row r="34471" spans="25:25" hidden="1" x14ac:dyDescent="0.25">
      <c r="Y34471" s="501"/>
    </row>
    <row r="34472" spans="25:25" hidden="1" x14ac:dyDescent="0.25">
      <c r="Y34472" s="501"/>
    </row>
    <row r="34473" spans="25:25" hidden="1" x14ac:dyDescent="0.25">
      <c r="Y34473" s="501"/>
    </row>
    <row r="34474" spans="25:25" hidden="1" x14ac:dyDescent="0.25">
      <c r="Y34474" s="501"/>
    </row>
    <row r="34475" spans="25:25" hidden="1" x14ac:dyDescent="0.25">
      <c r="Y34475" s="501"/>
    </row>
    <row r="34476" spans="25:25" hidden="1" x14ac:dyDescent="0.25">
      <c r="Y34476" s="501"/>
    </row>
    <row r="34477" spans="25:25" hidden="1" x14ac:dyDescent="0.25">
      <c r="Y34477" s="501"/>
    </row>
    <row r="34478" spans="25:25" hidden="1" x14ac:dyDescent="0.25">
      <c r="Y34478" s="501"/>
    </row>
    <row r="34479" spans="25:25" hidden="1" x14ac:dyDescent="0.25">
      <c r="Y34479" s="501"/>
    </row>
    <row r="34480" spans="25:25" hidden="1" x14ac:dyDescent="0.25">
      <c r="Y34480" s="501"/>
    </row>
    <row r="34481" spans="25:25" hidden="1" x14ac:dyDescent="0.25">
      <c r="Y34481" s="501"/>
    </row>
    <row r="34482" spans="25:25" hidden="1" x14ac:dyDescent="0.25">
      <c r="Y34482" s="501"/>
    </row>
    <row r="34483" spans="25:25" hidden="1" x14ac:dyDescent="0.25">
      <c r="Y34483" s="501"/>
    </row>
    <row r="34484" spans="25:25" hidden="1" x14ac:dyDescent="0.25">
      <c r="Y34484" s="501"/>
    </row>
    <row r="34485" spans="25:25" hidden="1" x14ac:dyDescent="0.25">
      <c r="Y34485" s="501"/>
    </row>
    <row r="34486" spans="25:25" hidden="1" x14ac:dyDescent="0.25">
      <c r="Y34486" s="501"/>
    </row>
    <row r="34487" spans="25:25" hidden="1" x14ac:dyDescent="0.25">
      <c r="Y34487" s="501"/>
    </row>
    <row r="34488" spans="25:25" hidden="1" x14ac:dyDescent="0.25">
      <c r="Y34488" s="501"/>
    </row>
    <row r="34489" spans="25:25" hidden="1" x14ac:dyDescent="0.25">
      <c r="Y34489" s="501"/>
    </row>
    <row r="34490" spans="25:25" hidden="1" x14ac:dyDescent="0.25">
      <c r="Y34490" s="501"/>
    </row>
    <row r="34491" spans="25:25" hidden="1" x14ac:dyDescent="0.25">
      <c r="Y34491" s="501"/>
    </row>
    <row r="34492" spans="25:25" hidden="1" x14ac:dyDescent="0.25">
      <c r="Y34492" s="501"/>
    </row>
    <row r="34493" spans="25:25" hidden="1" x14ac:dyDescent="0.25">
      <c r="Y34493" s="501"/>
    </row>
    <row r="34494" spans="25:25" hidden="1" x14ac:dyDescent="0.25">
      <c r="Y34494" s="501"/>
    </row>
    <row r="34495" spans="25:25" hidden="1" x14ac:dyDescent="0.25">
      <c r="Y34495" s="501"/>
    </row>
    <row r="34496" spans="25:25" hidden="1" x14ac:dyDescent="0.25">
      <c r="Y34496" s="501"/>
    </row>
    <row r="34497" spans="25:25" hidden="1" x14ac:dyDescent="0.25">
      <c r="Y34497" s="501"/>
    </row>
    <row r="34498" spans="25:25" hidden="1" x14ac:dyDescent="0.25">
      <c r="Y34498" s="501"/>
    </row>
    <row r="34499" spans="25:25" hidden="1" x14ac:dyDescent="0.25">
      <c r="Y34499" s="501"/>
    </row>
    <row r="34500" spans="25:25" hidden="1" x14ac:dyDescent="0.25">
      <c r="Y34500" s="501"/>
    </row>
    <row r="34501" spans="25:25" hidden="1" x14ac:dyDescent="0.25">
      <c r="Y34501" s="501"/>
    </row>
    <row r="34502" spans="25:25" hidden="1" x14ac:dyDescent="0.25">
      <c r="Y34502" s="501"/>
    </row>
    <row r="34503" spans="25:25" hidden="1" x14ac:dyDescent="0.25">
      <c r="Y34503" s="501"/>
    </row>
    <row r="34504" spans="25:25" hidden="1" x14ac:dyDescent="0.25">
      <c r="Y34504" s="501"/>
    </row>
    <row r="34505" spans="25:25" hidden="1" x14ac:dyDescent="0.25">
      <c r="Y34505" s="501"/>
    </row>
    <row r="34506" spans="25:25" hidden="1" x14ac:dyDescent="0.25">
      <c r="Y34506" s="501"/>
    </row>
    <row r="34507" spans="25:25" hidden="1" x14ac:dyDescent="0.25">
      <c r="Y34507" s="501"/>
    </row>
    <row r="34508" spans="25:25" hidden="1" x14ac:dyDescent="0.25">
      <c r="Y34508" s="501"/>
    </row>
    <row r="34509" spans="25:25" hidden="1" x14ac:dyDescent="0.25">
      <c r="Y34509" s="501"/>
    </row>
    <row r="34510" spans="25:25" hidden="1" x14ac:dyDescent="0.25">
      <c r="Y34510" s="501"/>
    </row>
    <row r="34511" spans="25:25" hidden="1" x14ac:dyDescent="0.25">
      <c r="Y34511" s="501"/>
    </row>
    <row r="34512" spans="25:25" hidden="1" x14ac:dyDescent="0.25">
      <c r="Y34512" s="501"/>
    </row>
    <row r="34513" spans="25:25" hidden="1" x14ac:dyDescent="0.25">
      <c r="Y34513" s="501"/>
    </row>
    <row r="34514" spans="25:25" hidden="1" x14ac:dyDescent="0.25">
      <c r="Y34514" s="501"/>
    </row>
    <row r="34515" spans="25:25" hidden="1" x14ac:dyDescent="0.25">
      <c r="Y34515" s="501"/>
    </row>
    <row r="34516" spans="25:25" hidden="1" x14ac:dyDescent="0.25">
      <c r="Y34516" s="501"/>
    </row>
    <row r="34517" spans="25:25" hidden="1" x14ac:dyDescent="0.25">
      <c r="Y34517" s="501"/>
    </row>
    <row r="34518" spans="25:25" hidden="1" x14ac:dyDescent="0.25">
      <c r="Y34518" s="501"/>
    </row>
    <row r="34519" spans="25:25" hidden="1" x14ac:dyDescent="0.25">
      <c r="Y34519" s="501"/>
    </row>
    <row r="34520" spans="25:25" hidden="1" x14ac:dyDescent="0.25">
      <c r="Y34520" s="501"/>
    </row>
    <row r="34521" spans="25:25" hidden="1" x14ac:dyDescent="0.25">
      <c r="Y34521" s="501"/>
    </row>
    <row r="34522" spans="25:25" hidden="1" x14ac:dyDescent="0.25">
      <c r="Y34522" s="501"/>
    </row>
    <row r="34523" spans="25:25" hidden="1" x14ac:dyDescent="0.25">
      <c r="Y34523" s="501"/>
    </row>
    <row r="34524" spans="25:25" hidden="1" x14ac:dyDescent="0.25">
      <c r="Y34524" s="501"/>
    </row>
    <row r="34525" spans="25:25" hidden="1" x14ac:dyDescent="0.25">
      <c r="Y34525" s="501"/>
    </row>
    <row r="34526" spans="25:25" hidden="1" x14ac:dyDescent="0.25">
      <c r="Y34526" s="501"/>
    </row>
    <row r="34527" spans="25:25" hidden="1" x14ac:dyDescent="0.25">
      <c r="Y34527" s="501"/>
    </row>
    <row r="34528" spans="25:25" hidden="1" x14ac:dyDescent="0.25">
      <c r="Y34528" s="501"/>
    </row>
    <row r="34529" spans="25:25" hidden="1" x14ac:dyDescent="0.25">
      <c r="Y34529" s="501"/>
    </row>
    <row r="34530" spans="25:25" hidden="1" x14ac:dyDescent="0.25">
      <c r="Y34530" s="501"/>
    </row>
    <row r="34531" spans="25:25" hidden="1" x14ac:dyDescent="0.25">
      <c r="Y34531" s="501"/>
    </row>
    <row r="34532" spans="25:25" hidden="1" x14ac:dyDescent="0.25">
      <c r="Y34532" s="501"/>
    </row>
    <row r="34533" spans="25:25" hidden="1" x14ac:dyDescent="0.25">
      <c r="Y34533" s="501"/>
    </row>
    <row r="34534" spans="25:25" hidden="1" x14ac:dyDescent="0.25">
      <c r="Y34534" s="501"/>
    </row>
    <row r="34535" spans="25:25" hidden="1" x14ac:dyDescent="0.25">
      <c r="Y34535" s="501"/>
    </row>
    <row r="34536" spans="25:25" hidden="1" x14ac:dyDescent="0.25">
      <c r="Y34536" s="501"/>
    </row>
    <row r="34537" spans="25:25" hidden="1" x14ac:dyDescent="0.25">
      <c r="Y34537" s="501"/>
    </row>
    <row r="34538" spans="25:25" hidden="1" x14ac:dyDescent="0.25">
      <c r="Y34538" s="501"/>
    </row>
    <row r="34539" spans="25:25" hidden="1" x14ac:dyDescent="0.25">
      <c r="Y34539" s="501"/>
    </row>
    <row r="34540" spans="25:25" hidden="1" x14ac:dyDescent="0.25">
      <c r="Y34540" s="501"/>
    </row>
    <row r="34541" spans="25:25" hidden="1" x14ac:dyDescent="0.25">
      <c r="Y34541" s="501"/>
    </row>
    <row r="34542" spans="25:25" hidden="1" x14ac:dyDescent="0.25">
      <c r="Y34542" s="501"/>
    </row>
    <row r="34543" spans="25:25" hidden="1" x14ac:dyDescent="0.25">
      <c r="Y34543" s="501"/>
    </row>
    <row r="34544" spans="25:25" hidden="1" x14ac:dyDescent="0.25">
      <c r="Y34544" s="501"/>
    </row>
    <row r="34545" spans="25:25" hidden="1" x14ac:dyDescent="0.25">
      <c r="Y34545" s="501"/>
    </row>
    <row r="34546" spans="25:25" hidden="1" x14ac:dyDescent="0.25">
      <c r="Y34546" s="501"/>
    </row>
    <row r="34547" spans="25:25" hidden="1" x14ac:dyDescent="0.25">
      <c r="Y34547" s="501"/>
    </row>
    <row r="34548" spans="25:25" hidden="1" x14ac:dyDescent="0.25">
      <c r="Y34548" s="501"/>
    </row>
    <row r="34549" spans="25:25" hidden="1" x14ac:dyDescent="0.25">
      <c r="Y34549" s="501"/>
    </row>
    <row r="34550" spans="25:25" hidden="1" x14ac:dyDescent="0.25">
      <c r="Y34550" s="501"/>
    </row>
    <row r="34551" spans="25:25" hidden="1" x14ac:dyDescent="0.25">
      <c r="Y34551" s="501"/>
    </row>
    <row r="34552" spans="25:25" hidden="1" x14ac:dyDescent="0.25">
      <c r="Y34552" s="501"/>
    </row>
    <row r="34553" spans="25:25" hidden="1" x14ac:dyDescent="0.25">
      <c r="Y34553" s="501"/>
    </row>
    <row r="34554" spans="25:25" hidden="1" x14ac:dyDescent="0.25">
      <c r="Y34554" s="501"/>
    </row>
    <row r="34555" spans="25:25" hidden="1" x14ac:dyDescent="0.25">
      <c r="Y34555" s="501"/>
    </row>
    <row r="34556" spans="25:25" hidden="1" x14ac:dyDescent="0.25">
      <c r="Y34556" s="501"/>
    </row>
    <row r="34557" spans="25:25" hidden="1" x14ac:dyDescent="0.25">
      <c r="Y34557" s="501"/>
    </row>
    <row r="34558" spans="25:25" hidden="1" x14ac:dyDescent="0.25">
      <c r="Y34558" s="501"/>
    </row>
    <row r="34559" spans="25:25" hidden="1" x14ac:dyDescent="0.25">
      <c r="Y34559" s="501"/>
    </row>
    <row r="34560" spans="25:25" hidden="1" x14ac:dyDescent="0.25">
      <c r="Y34560" s="501"/>
    </row>
    <row r="34561" spans="25:25" hidden="1" x14ac:dyDescent="0.25">
      <c r="Y34561" s="501"/>
    </row>
    <row r="34562" spans="25:25" hidden="1" x14ac:dyDescent="0.25">
      <c r="Y34562" s="501"/>
    </row>
    <row r="34563" spans="25:25" hidden="1" x14ac:dyDescent="0.25">
      <c r="Y34563" s="501"/>
    </row>
    <row r="34564" spans="25:25" hidden="1" x14ac:dyDescent="0.25">
      <c r="Y34564" s="501"/>
    </row>
    <row r="34565" spans="25:25" hidden="1" x14ac:dyDescent="0.25">
      <c r="Y34565" s="501"/>
    </row>
    <row r="34566" spans="25:25" hidden="1" x14ac:dyDescent="0.25">
      <c r="Y34566" s="501"/>
    </row>
    <row r="34567" spans="25:25" hidden="1" x14ac:dyDescent="0.25">
      <c r="Y34567" s="501"/>
    </row>
    <row r="34568" spans="25:25" hidden="1" x14ac:dyDescent="0.25">
      <c r="Y34568" s="501"/>
    </row>
    <row r="34569" spans="25:25" hidden="1" x14ac:dyDescent="0.25">
      <c r="Y34569" s="501"/>
    </row>
    <row r="34570" spans="25:25" hidden="1" x14ac:dyDescent="0.25">
      <c r="Y34570" s="501"/>
    </row>
    <row r="34571" spans="25:25" hidden="1" x14ac:dyDescent="0.25">
      <c r="Y34571" s="501"/>
    </row>
    <row r="34572" spans="25:25" hidden="1" x14ac:dyDescent="0.25">
      <c r="Y34572" s="501"/>
    </row>
    <row r="34573" spans="25:25" hidden="1" x14ac:dyDescent="0.25">
      <c r="Y34573" s="501"/>
    </row>
    <row r="34574" spans="25:25" hidden="1" x14ac:dyDescent="0.25">
      <c r="Y34574" s="501"/>
    </row>
    <row r="34575" spans="25:25" hidden="1" x14ac:dyDescent="0.25">
      <c r="Y34575" s="501"/>
    </row>
    <row r="34576" spans="25:25" hidden="1" x14ac:dyDescent="0.25">
      <c r="Y34576" s="501"/>
    </row>
    <row r="34577" spans="25:25" hidden="1" x14ac:dyDescent="0.25">
      <c r="Y34577" s="501"/>
    </row>
    <row r="34578" spans="25:25" hidden="1" x14ac:dyDescent="0.25">
      <c r="Y34578" s="501"/>
    </row>
    <row r="34579" spans="25:25" hidden="1" x14ac:dyDescent="0.25">
      <c r="Y34579" s="501"/>
    </row>
    <row r="34580" spans="25:25" hidden="1" x14ac:dyDescent="0.25">
      <c r="Y34580" s="501"/>
    </row>
    <row r="34581" spans="25:25" hidden="1" x14ac:dyDescent="0.25">
      <c r="Y34581" s="501"/>
    </row>
    <row r="34582" spans="25:25" hidden="1" x14ac:dyDescent="0.25">
      <c r="Y34582" s="501"/>
    </row>
    <row r="34583" spans="25:25" hidden="1" x14ac:dyDescent="0.25">
      <c r="Y34583" s="501"/>
    </row>
    <row r="34584" spans="25:25" hidden="1" x14ac:dyDescent="0.25">
      <c r="Y34584" s="501"/>
    </row>
    <row r="34585" spans="25:25" hidden="1" x14ac:dyDescent="0.25">
      <c r="Y34585" s="501"/>
    </row>
    <row r="34586" spans="25:25" hidden="1" x14ac:dyDescent="0.25">
      <c r="Y34586" s="501"/>
    </row>
    <row r="34587" spans="25:25" hidden="1" x14ac:dyDescent="0.25">
      <c r="Y34587" s="501"/>
    </row>
    <row r="34588" spans="25:25" hidden="1" x14ac:dyDescent="0.25">
      <c r="Y34588" s="501"/>
    </row>
    <row r="34589" spans="25:25" hidden="1" x14ac:dyDescent="0.25">
      <c r="Y34589" s="501"/>
    </row>
    <row r="34590" spans="25:25" hidden="1" x14ac:dyDescent="0.25">
      <c r="Y34590" s="501"/>
    </row>
    <row r="34591" spans="25:25" hidden="1" x14ac:dyDescent="0.25">
      <c r="Y34591" s="501"/>
    </row>
    <row r="34592" spans="25:25" hidden="1" x14ac:dyDescent="0.25">
      <c r="Y34592" s="501"/>
    </row>
    <row r="34593" spans="25:25" hidden="1" x14ac:dyDescent="0.25">
      <c r="Y34593" s="501"/>
    </row>
    <row r="34594" spans="25:25" hidden="1" x14ac:dyDescent="0.25">
      <c r="Y34594" s="501"/>
    </row>
    <row r="34595" spans="25:25" hidden="1" x14ac:dyDescent="0.25">
      <c r="Y34595" s="501"/>
    </row>
    <row r="34596" spans="25:25" hidden="1" x14ac:dyDescent="0.25">
      <c r="Y34596" s="501"/>
    </row>
    <row r="34597" spans="25:25" hidden="1" x14ac:dyDescent="0.25">
      <c r="Y34597" s="501"/>
    </row>
    <row r="34598" spans="25:25" hidden="1" x14ac:dyDescent="0.25">
      <c r="Y34598" s="501"/>
    </row>
    <row r="34599" spans="25:25" hidden="1" x14ac:dyDescent="0.25">
      <c r="Y34599" s="501"/>
    </row>
    <row r="34600" spans="25:25" hidden="1" x14ac:dyDescent="0.25">
      <c r="Y34600" s="501"/>
    </row>
    <row r="34601" spans="25:25" hidden="1" x14ac:dyDescent="0.25">
      <c r="Y34601" s="501"/>
    </row>
    <row r="34602" spans="25:25" hidden="1" x14ac:dyDescent="0.25">
      <c r="Y34602" s="501"/>
    </row>
    <row r="34603" spans="25:25" hidden="1" x14ac:dyDescent="0.25">
      <c r="Y34603" s="501"/>
    </row>
    <row r="34604" spans="25:25" hidden="1" x14ac:dyDescent="0.25">
      <c r="Y34604" s="501"/>
    </row>
    <row r="34605" spans="25:25" hidden="1" x14ac:dyDescent="0.25">
      <c r="Y34605" s="501"/>
    </row>
    <row r="34606" spans="25:25" hidden="1" x14ac:dyDescent="0.25">
      <c r="Y34606" s="501"/>
    </row>
    <row r="34607" spans="25:25" hidden="1" x14ac:dyDescent="0.25">
      <c r="Y34607" s="501"/>
    </row>
    <row r="34608" spans="25:25" hidden="1" x14ac:dyDescent="0.25">
      <c r="Y34608" s="501"/>
    </row>
    <row r="34609" spans="25:25" hidden="1" x14ac:dyDescent="0.25">
      <c r="Y34609" s="501"/>
    </row>
    <row r="34610" spans="25:25" hidden="1" x14ac:dyDescent="0.25">
      <c r="Y34610" s="501"/>
    </row>
    <row r="34611" spans="25:25" hidden="1" x14ac:dyDescent="0.25">
      <c r="Y34611" s="501"/>
    </row>
    <row r="34612" spans="25:25" hidden="1" x14ac:dyDescent="0.25">
      <c r="Y34612" s="501"/>
    </row>
    <row r="34613" spans="25:25" hidden="1" x14ac:dyDescent="0.25">
      <c r="Y34613" s="501"/>
    </row>
    <row r="34614" spans="25:25" hidden="1" x14ac:dyDescent="0.25">
      <c r="Y34614" s="501"/>
    </row>
    <row r="34615" spans="25:25" hidden="1" x14ac:dyDescent="0.25">
      <c r="Y34615" s="501"/>
    </row>
    <row r="34616" spans="25:25" hidden="1" x14ac:dyDescent="0.25">
      <c r="Y34616" s="501"/>
    </row>
    <row r="34617" spans="25:25" hidden="1" x14ac:dyDescent="0.25">
      <c r="Y34617" s="501"/>
    </row>
    <row r="34618" spans="25:25" hidden="1" x14ac:dyDescent="0.25">
      <c r="Y34618" s="501"/>
    </row>
    <row r="34619" spans="25:25" hidden="1" x14ac:dyDescent="0.25">
      <c r="Y34619" s="501"/>
    </row>
    <row r="34620" spans="25:25" hidden="1" x14ac:dyDescent="0.25">
      <c r="Y34620" s="501"/>
    </row>
    <row r="34621" spans="25:25" hidden="1" x14ac:dyDescent="0.25">
      <c r="Y34621" s="501"/>
    </row>
    <row r="34622" spans="25:25" hidden="1" x14ac:dyDescent="0.25">
      <c r="Y34622" s="501"/>
    </row>
    <row r="34623" spans="25:25" hidden="1" x14ac:dyDescent="0.25">
      <c r="Y34623" s="501"/>
    </row>
    <row r="34624" spans="25:25" hidden="1" x14ac:dyDescent="0.25">
      <c r="Y34624" s="501"/>
    </row>
    <row r="34625" spans="25:25" hidden="1" x14ac:dyDescent="0.25">
      <c r="Y34625" s="501"/>
    </row>
    <row r="34626" spans="25:25" hidden="1" x14ac:dyDescent="0.25">
      <c r="Y34626" s="501"/>
    </row>
    <row r="34627" spans="25:25" hidden="1" x14ac:dyDescent="0.25">
      <c r="Y34627" s="501"/>
    </row>
    <row r="34628" spans="25:25" hidden="1" x14ac:dyDescent="0.25">
      <c r="Y34628" s="501"/>
    </row>
    <row r="34629" spans="25:25" hidden="1" x14ac:dyDescent="0.25">
      <c r="Y34629" s="501"/>
    </row>
    <row r="34630" spans="25:25" hidden="1" x14ac:dyDescent="0.25">
      <c r="Y34630" s="501"/>
    </row>
    <row r="34631" spans="25:25" hidden="1" x14ac:dyDescent="0.25">
      <c r="Y34631" s="501"/>
    </row>
    <row r="34632" spans="25:25" hidden="1" x14ac:dyDescent="0.25">
      <c r="Y34632" s="501"/>
    </row>
    <row r="34633" spans="25:25" hidden="1" x14ac:dyDescent="0.25">
      <c r="Y34633" s="501"/>
    </row>
    <row r="34634" spans="25:25" hidden="1" x14ac:dyDescent="0.25">
      <c r="Y34634" s="501"/>
    </row>
    <row r="34635" spans="25:25" hidden="1" x14ac:dyDescent="0.25">
      <c r="Y34635" s="501"/>
    </row>
    <row r="34636" spans="25:25" hidden="1" x14ac:dyDescent="0.25">
      <c r="Y34636" s="501"/>
    </row>
    <row r="34637" spans="25:25" hidden="1" x14ac:dyDescent="0.25">
      <c r="Y34637" s="501"/>
    </row>
    <row r="34638" spans="25:25" hidden="1" x14ac:dyDescent="0.25">
      <c r="Y34638" s="501"/>
    </row>
    <row r="34639" spans="25:25" hidden="1" x14ac:dyDescent="0.25">
      <c r="Y34639" s="501"/>
    </row>
    <row r="34640" spans="25:25" hidden="1" x14ac:dyDescent="0.25">
      <c r="Y34640" s="501"/>
    </row>
    <row r="34641" spans="25:25" hidden="1" x14ac:dyDescent="0.25">
      <c r="Y34641" s="501"/>
    </row>
    <row r="34642" spans="25:25" hidden="1" x14ac:dyDescent="0.25">
      <c r="Y34642" s="501"/>
    </row>
    <row r="34643" spans="25:25" hidden="1" x14ac:dyDescent="0.25">
      <c r="Y34643" s="501"/>
    </row>
    <row r="34644" spans="25:25" hidden="1" x14ac:dyDescent="0.25">
      <c r="Y34644" s="501"/>
    </row>
    <row r="34645" spans="25:25" hidden="1" x14ac:dyDescent="0.25">
      <c r="Y34645" s="501"/>
    </row>
    <row r="34646" spans="25:25" hidden="1" x14ac:dyDescent="0.25">
      <c r="Y34646" s="501"/>
    </row>
    <row r="34647" spans="25:25" hidden="1" x14ac:dyDescent="0.25">
      <c r="Y34647" s="501"/>
    </row>
    <row r="34648" spans="25:25" hidden="1" x14ac:dyDescent="0.25">
      <c r="Y34648" s="501"/>
    </row>
    <row r="34649" spans="25:25" hidden="1" x14ac:dyDescent="0.25">
      <c r="Y34649" s="501"/>
    </row>
    <row r="34650" spans="25:25" hidden="1" x14ac:dyDescent="0.25">
      <c r="Y34650" s="501"/>
    </row>
    <row r="34651" spans="25:25" hidden="1" x14ac:dyDescent="0.25">
      <c r="Y34651" s="501"/>
    </row>
    <row r="34652" spans="25:25" hidden="1" x14ac:dyDescent="0.25">
      <c r="Y34652" s="501"/>
    </row>
    <row r="34653" spans="25:25" hidden="1" x14ac:dyDescent="0.25">
      <c r="Y34653" s="501"/>
    </row>
    <row r="34654" spans="25:25" hidden="1" x14ac:dyDescent="0.25">
      <c r="Y34654" s="501"/>
    </row>
    <row r="34655" spans="25:25" hidden="1" x14ac:dyDescent="0.25">
      <c r="Y34655" s="501"/>
    </row>
    <row r="34656" spans="25:25" hidden="1" x14ac:dyDescent="0.25">
      <c r="Y34656" s="501"/>
    </row>
    <row r="34657" spans="25:25" hidden="1" x14ac:dyDescent="0.25">
      <c r="Y34657" s="501"/>
    </row>
    <row r="34658" spans="25:25" hidden="1" x14ac:dyDescent="0.25">
      <c r="Y34658" s="501"/>
    </row>
    <row r="34659" spans="25:25" hidden="1" x14ac:dyDescent="0.25">
      <c r="Y34659" s="501"/>
    </row>
    <row r="34660" spans="25:25" hidden="1" x14ac:dyDescent="0.25">
      <c r="Y34660" s="501"/>
    </row>
    <row r="34661" spans="25:25" hidden="1" x14ac:dyDescent="0.25">
      <c r="Y34661" s="501"/>
    </row>
    <row r="34662" spans="25:25" hidden="1" x14ac:dyDescent="0.25">
      <c r="Y34662" s="501"/>
    </row>
    <row r="34663" spans="25:25" hidden="1" x14ac:dyDescent="0.25">
      <c r="Y34663" s="501"/>
    </row>
    <row r="34664" spans="25:25" hidden="1" x14ac:dyDescent="0.25">
      <c r="Y34664" s="501"/>
    </row>
    <row r="34665" spans="25:25" hidden="1" x14ac:dyDescent="0.25">
      <c r="Y34665" s="501"/>
    </row>
    <row r="34666" spans="25:25" hidden="1" x14ac:dyDescent="0.25">
      <c r="Y34666" s="501"/>
    </row>
    <row r="34667" spans="25:25" hidden="1" x14ac:dyDescent="0.25">
      <c r="Y34667" s="501"/>
    </row>
    <row r="34668" spans="25:25" hidden="1" x14ac:dyDescent="0.25">
      <c r="Y34668" s="501"/>
    </row>
    <row r="34669" spans="25:25" hidden="1" x14ac:dyDescent="0.25">
      <c r="Y34669" s="501"/>
    </row>
    <row r="34670" spans="25:25" hidden="1" x14ac:dyDescent="0.25">
      <c r="Y34670" s="501"/>
    </row>
    <row r="34671" spans="25:25" hidden="1" x14ac:dyDescent="0.25">
      <c r="Y34671" s="501"/>
    </row>
    <row r="34672" spans="25:25" hidden="1" x14ac:dyDescent="0.25">
      <c r="Y34672" s="501"/>
    </row>
    <row r="34673" spans="25:25" hidden="1" x14ac:dyDescent="0.25">
      <c r="Y34673" s="501"/>
    </row>
    <row r="34674" spans="25:25" hidden="1" x14ac:dyDescent="0.25">
      <c r="Y34674" s="501"/>
    </row>
    <row r="34675" spans="25:25" hidden="1" x14ac:dyDescent="0.25">
      <c r="Y34675" s="501"/>
    </row>
    <row r="34676" spans="25:25" hidden="1" x14ac:dyDescent="0.25">
      <c r="Y34676" s="501"/>
    </row>
    <row r="34677" spans="25:25" hidden="1" x14ac:dyDescent="0.25">
      <c r="Y34677" s="501"/>
    </row>
    <row r="34678" spans="25:25" hidden="1" x14ac:dyDescent="0.25">
      <c r="Y34678" s="501"/>
    </row>
    <row r="34679" spans="25:25" hidden="1" x14ac:dyDescent="0.25">
      <c r="Y34679" s="501"/>
    </row>
    <row r="34680" spans="25:25" hidden="1" x14ac:dyDescent="0.25">
      <c r="Y34680" s="501"/>
    </row>
    <row r="34681" spans="25:25" hidden="1" x14ac:dyDescent="0.25">
      <c r="Y34681" s="501"/>
    </row>
    <row r="34682" spans="25:25" hidden="1" x14ac:dyDescent="0.25">
      <c r="Y34682" s="501"/>
    </row>
    <row r="34683" spans="25:25" hidden="1" x14ac:dyDescent="0.25">
      <c r="Y34683" s="501"/>
    </row>
    <row r="34684" spans="25:25" hidden="1" x14ac:dyDescent="0.25">
      <c r="Y34684" s="501"/>
    </row>
    <row r="34685" spans="25:25" hidden="1" x14ac:dyDescent="0.25">
      <c r="Y34685" s="501"/>
    </row>
    <row r="34686" spans="25:25" hidden="1" x14ac:dyDescent="0.25">
      <c r="Y34686" s="501"/>
    </row>
    <row r="34687" spans="25:25" hidden="1" x14ac:dyDescent="0.25">
      <c r="Y34687" s="501"/>
    </row>
    <row r="34688" spans="25:25" hidden="1" x14ac:dyDescent="0.25">
      <c r="Y34688" s="501"/>
    </row>
    <row r="34689" spans="25:25" hidden="1" x14ac:dyDescent="0.25">
      <c r="Y34689" s="501"/>
    </row>
    <row r="34690" spans="25:25" hidden="1" x14ac:dyDescent="0.25">
      <c r="Y34690" s="501"/>
    </row>
    <row r="34691" spans="25:25" hidden="1" x14ac:dyDescent="0.25">
      <c r="Y34691" s="501"/>
    </row>
    <row r="34692" spans="25:25" hidden="1" x14ac:dyDescent="0.25">
      <c r="Y34692" s="501"/>
    </row>
    <row r="34693" spans="25:25" hidden="1" x14ac:dyDescent="0.25">
      <c r="Y34693" s="501"/>
    </row>
    <row r="34694" spans="25:25" hidden="1" x14ac:dyDescent="0.25">
      <c r="Y34694" s="501"/>
    </row>
    <row r="34695" spans="25:25" hidden="1" x14ac:dyDescent="0.25">
      <c r="Y34695" s="501"/>
    </row>
    <row r="34696" spans="25:25" hidden="1" x14ac:dyDescent="0.25">
      <c r="Y34696" s="501"/>
    </row>
    <row r="34697" spans="25:25" hidden="1" x14ac:dyDescent="0.25">
      <c r="Y34697" s="501"/>
    </row>
    <row r="34698" spans="25:25" hidden="1" x14ac:dyDescent="0.25">
      <c r="Y34698" s="501"/>
    </row>
    <row r="34699" spans="25:25" hidden="1" x14ac:dyDescent="0.25">
      <c r="Y34699" s="501"/>
    </row>
    <row r="34700" spans="25:25" hidden="1" x14ac:dyDescent="0.25">
      <c r="Y34700" s="501"/>
    </row>
    <row r="34701" spans="25:25" hidden="1" x14ac:dyDescent="0.25">
      <c r="Y34701" s="501"/>
    </row>
    <row r="34702" spans="25:25" hidden="1" x14ac:dyDescent="0.25">
      <c r="Y34702" s="501"/>
    </row>
    <row r="34703" spans="25:25" hidden="1" x14ac:dyDescent="0.25">
      <c r="Y34703" s="501"/>
    </row>
    <row r="34704" spans="25:25" hidden="1" x14ac:dyDescent="0.25">
      <c r="Y34704" s="501"/>
    </row>
    <row r="34705" spans="25:25" hidden="1" x14ac:dyDescent="0.25">
      <c r="Y34705" s="501"/>
    </row>
    <row r="34706" spans="25:25" hidden="1" x14ac:dyDescent="0.25">
      <c r="Y34706" s="501"/>
    </row>
    <row r="34707" spans="25:25" hidden="1" x14ac:dyDescent="0.25">
      <c r="Y34707" s="501"/>
    </row>
    <row r="34708" spans="25:25" hidden="1" x14ac:dyDescent="0.25">
      <c r="Y34708" s="501"/>
    </row>
    <row r="34709" spans="25:25" hidden="1" x14ac:dyDescent="0.25">
      <c r="Y34709" s="501"/>
    </row>
    <row r="34710" spans="25:25" hidden="1" x14ac:dyDescent="0.25">
      <c r="Y34710" s="501"/>
    </row>
    <row r="34711" spans="25:25" hidden="1" x14ac:dyDescent="0.25">
      <c r="Y34711" s="501"/>
    </row>
    <row r="34712" spans="25:25" hidden="1" x14ac:dyDescent="0.25">
      <c r="Y34712" s="501"/>
    </row>
    <row r="34713" spans="25:25" hidden="1" x14ac:dyDescent="0.25">
      <c r="Y34713" s="501"/>
    </row>
    <row r="34714" spans="25:25" hidden="1" x14ac:dyDescent="0.25">
      <c r="Y34714" s="501"/>
    </row>
    <row r="34715" spans="25:25" hidden="1" x14ac:dyDescent="0.25">
      <c r="Y34715" s="501"/>
    </row>
    <row r="34716" spans="25:25" hidden="1" x14ac:dyDescent="0.25">
      <c r="Y34716" s="501"/>
    </row>
    <row r="34717" spans="25:25" hidden="1" x14ac:dyDescent="0.25">
      <c r="Y34717" s="501"/>
    </row>
    <row r="34718" spans="25:25" hidden="1" x14ac:dyDescent="0.25">
      <c r="Y34718" s="501"/>
    </row>
    <row r="34719" spans="25:25" hidden="1" x14ac:dyDescent="0.25">
      <c r="Y34719" s="501"/>
    </row>
    <row r="34720" spans="25:25" hidden="1" x14ac:dyDescent="0.25">
      <c r="Y34720" s="501"/>
    </row>
    <row r="34721" spans="25:25" hidden="1" x14ac:dyDescent="0.25">
      <c r="Y34721" s="501"/>
    </row>
    <row r="34722" spans="25:25" hidden="1" x14ac:dyDescent="0.25">
      <c r="Y34722" s="501"/>
    </row>
    <row r="34723" spans="25:25" hidden="1" x14ac:dyDescent="0.25">
      <c r="Y34723" s="501"/>
    </row>
    <row r="34724" spans="25:25" hidden="1" x14ac:dyDescent="0.25">
      <c r="Y34724" s="501"/>
    </row>
    <row r="34725" spans="25:25" hidden="1" x14ac:dyDescent="0.25">
      <c r="Y34725" s="501"/>
    </row>
    <row r="34726" spans="25:25" hidden="1" x14ac:dyDescent="0.25">
      <c r="Y34726" s="501"/>
    </row>
    <row r="34727" spans="25:25" hidden="1" x14ac:dyDescent="0.25">
      <c r="Y34727" s="501"/>
    </row>
    <row r="34728" spans="25:25" hidden="1" x14ac:dyDescent="0.25">
      <c r="Y34728" s="501"/>
    </row>
    <row r="34729" spans="25:25" hidden="1" x14ac:dyDescent="0.25">
      <c r="Y34729" s="501"/>
    </row>
    <row r="34730" spans="25:25" hidden="1" x14ac:dyDescent="0.25">
      <c r="Y34730" s="501"/>
    </row>
    <row r="34731" spans="25:25" hidden="1" x14ac:dyDescent="0.25">
      <c r="Y34731" s="501"/>
    </row>
    <row r="34732" spans="25:25" hidden="1" x14ac:dyDescent="0.25">
      <c r="Y34732" s="501"/>
    </row>
    <row r="34733" spans="25:25" hidden="1" x14ac:dyDescent="0.25">
      <c r="Y34733" s="501"/>
    </row>
    <row r="34734" spans="25:25" hidden="1" x14ac:dyDescent="0.25">
      <c r="Y34734" s="501"/>
    </row>
    <row r="34735" spans="25:25" hidden="1" x14ac:dyDescent="0.25">
      <c r="Y34735" s="501"/>
    </row>
    <row r="34736" spans="25:25" hidden="1" x14ac:dyDescent="0.25">
      <c r="Y34736" s="501"/>
    </row>
    <row r="34737" spans="25:25" hidden="1" x14ac:dyDescent="0.25">
      <c r="Y34737" s="501"/>
    </row>
    <row r="34738" spans="25:25" hidden="1" x14ac:dyDescent="0.25">
      <c r="Y34738" s="501"/>
    </row>
    <row r="34739" spans="25:25" hidden="1" x14ac:dyDescent="0.25">
      <c r="Y34739" s="501"/>
    </row>
    <row r="34740" spans="25:25" hidden="1" x14ac:dyDescent="0.25">
      <c r="Y34740" s="501"/>
    </row>
    <row r="34741" spans="25:25" hidden="1" x14ac:dyDescent="0.25">
      <c r="Y34741" s="501"/>
    </row>
    <row r="34742" spans="25:25" hidden="1" x14ac:dyDescent="0.25">
      <c r="Y34742" s="501"/>
    </row>
    <row r="34743" spans="25:25" hidden="1" x14ac:dyDescent="0.25">
      <c r="Y34743" s="501"/>
    </row>
    <row r="34744" spans="25:25" hidden="1" x14ac:dyDescent="0.25">
      <c r="Y34744" s="501"/>
    </row>
    <row r="34745" spans="25:25" hidden="1" x14ac:dyDescent="0.25">
      <c r="Y34745" s="501"/>
    </row>
    <row r="34746" spans="25:25" hidden="1" x14ac:dyDescent="0.25">
      <c r="Y34746" s="501"/>
    </row>
    <row r="34747" spans="25:25" hidden="1" x14ac:dyDescent="0.25">
      <c r="Y34747" s="501"/>
    </row>
    <row r="34748" spans="25:25" hidden="1" x14ac:dyDescent="0.25">
      <c r="Y34748" s="501"/>
    </row>
    <row r="34749" spans="25:25" hidden="1" x14ac:dyDescent="0.25">
      <c r="Y34749" s="501"/>
    </row>
    <row r="34750" spans="25:25" hidden="1" x14ac:dyDescent="0.25">
      <c r="Y34750" s="501"/>
    </row>
    <row r="34751" spans="25:25" hidden="1" x14ac:dyDescent="0.25">
      <c r="Y34751" s="501"/>
    </row>
    <row r="34752" spans="25:25" hidden="1" x14ac:dyDescent="0.25">
      <c r="Y34752" s="501"/>
    </row>
    <row r="34753" spans="25:25" hidden="1" x14ac:dyDescent="0.25">
      <c r="Y34753" s="501"/>
    </row>
    <row r="34754" spans="25:25" hidden="1" x14ac:dyDescent="0.25">
      <c r="Y34754" s="501"/>
    </row>
    <row r="34755" spans="25:25" hidden="1" x14ac:dyDescent="0.25">
      <c r="Y34755" s="501"/>
    </row>
    <row r="34756" spans="25:25" hidden="1" x14ac:dyDescent="0.25">
      <c r="Y34756" s="501"/>
    </row>
    <row r="34757" spans="25:25" hidden="1" x14ac:dyDescent="0.25">
      <c r="Y34757" s="501"/>
    </row>
    <row r="34758" spans="25:25" hidden="1" x14ac:dyDescent="0.25">
      <c r="Y34758" s="501"/>
    </row>
    <row r="34759" spans="25:25" hidden="1" x14ac:dyDescent="0.25">
      <c r="Y34759" s="501"/>
    </row>
    <row r="34760" spans="25:25" hidden="1" x14ac:dyDescent="0.25">
      <c r="Y34760" s="501"/>
    </row>
    <row r="34761" spans="25:25" hidden="1" x14ac:dyDescent="0.25">
      <c r="Y34761" s="501"/>
    </row>
    <row r="34762" spans="25:25" hidden="1" x14ac:dyDescent="0.25">
      <c r="Y34762" s="501"/>
    </row>
    <row r="34763" spans="25:25" hidden="1" x14ac:dyDescent="0.25">
      <c r="Y34763" s="501"/>
    </row>
    <row r="34764" spans="25:25" hidden="1" x14ac:dyDescent="0.25">
      <c r="Y34764" s="501"/>
    </row>
    <row r="34765" spans="25:25" hidden="1" x14ac:dyDescent="0.25">
      <c r="Y34765" s="501"/>
    </row>
    <row r="34766" spans="25:25" hidden="1" x14ac:dyDescent="0.25">
      <c r="Y34766" s="501"/>
    </row>
    <row r="34767" spans="25:25" hidden="1" x14ac:dyDescent="0.25">
      <c r="Y34767" s="501"/>
    </row>
    <row r="34768" spans="25:25" hidden="1" x14ac:dyDescent="0.25">
      <c r="Y34768" s="501"/>
    </row>
    <row r="34769" spans="25:25" hidden="1" x14ac:dyDescent="0.25">
      <c r="Y34769" s="501"/>
    </row>
    <row r="34770" spans="25:25" hidden="1" x14ac:dyDescent="0.25">
      <c r="Y34770" s="501"/>
    </row>
    <row r="34771" spans="25:25" hidden="1" x14ac:dyDescent="0.25">
      <c r="Y34771" s="501"/>
    </row>
    <row r="34772" spans="25:25" hidden="1" x14ac:dyDescent="0.25">
      <c r="Y34772" s="501"/>
    </row>
    <row r="34773" spans="25:25" hidden="1" x14ac:dyDescent="0.25">
      <c r="Y34773" s="501"/>
    </row>
    <row r="34774" spans="25:25" hidden="1" x14ac:dyDescent="0.25">
      <c r="Y34774" s="501"/>
    </row>
    <row r="34775" spans="25:25" hidden="1" x14ac:dyDescent="0.25">
      <c r="Y34775" s="501"/>
    </row>
    <row r="34776" spans="25:25" hidden="1" x14ac:dyDescent="0.25">
      <c r="Y34776" s="501"/>
    </row>
    <row r="34777" spans="25:25" hidden="1" x14ac:dyDescent="0.25">
      <c r="Y34777" s="501"/>
    </row>
    <row r="34778" spans="25:25" hidden="1" x14ac:dyDescent="0.25">
      <c r="Y34778" s="501"/>
    </row>
    <row r="34779" spans="25:25" hidden="1" x14ac:dyDescent="0.25">
      <c r="Y34779" s="501"/>
    </row>
    <row r="34780" spans="25:25" hidden="1" x14ac:dyDescent="0.25">
      <c r="Y34780" s="501"/>
    </row>
    <row r="34781" spans="25:25" hidden="1" x14ac:dyDescent="0.25">
      <c r="Y34781" s="501"/>
    </row>
    <row r="34782" spans="25:25" hidden="1" x14ac:dyDescent="0.25">
      <c r="Y34782" s="501"/>
    </row>
    <row r="34783" spans="25:25" hidden="1" x14ac:dyDescent="0.25">
      <c r="Y34783" s="501"/>
    </row>
    <row r="34784" spans="25:25" hidden="1" x14ac:dyDescent="0.25">
      <c r="Y34784" s="501"/>
    </row>
    <row r="34785" spans="25:25" hidden="1" x14ac:dyDescent="0.25">
      <c r="Y34785" s="501"/>
    </row>
    <row r="34786" spans="25:25" hidden="1" x14ac:dyDescent="0.25">
      <c r="Y34786" s="501"/>
    </row>
    <row r="34787" spans="25:25" hidden="1" x14ac:dyDescent="0.25">
      <c r="Y34787" s="501"/>
    </row>
    <row r="34788" spans="25:25" hidden="1" x14ac:dyDescent="0.25">
      <c r="Y34788" s="501"/>
    </row>
    <row r="34789" spans="25:25" hidden="1" x14ac:dyDescent="0.25">
      <c r="Y34789" s="501"/>
    </row>
    <row r="34790" spans="25:25" hidden="1" x14ac:dyDescent="0.25">
      <c r="Y34790" s="501"/>
    </row>
    <row r="34791" spans="25:25" hidden="1" x14ac:dyDescent="0.25">
      <c r="Y34791" s="501"/>
    </row>
    <row r="34792" spans="25:25" hidden="1" x14ac:dyDescent="0.25">
      <c r="Y34792" s="501"/>
    </row>
    <row r="34793" spans="25:25" hidden="1" x14ac:dyDescent="0.25">
      <c r="Y34793" s="501"/>
    </row>
    <row r="34794" spans="25:25" hidden="1" x14ac:dyDescent="0.25">
      <c r="Y34794" s="501"/>
    </row>
    <row r="34795" spans="25:25" hidden="1" x14ac:dyDescent="0.25">
      <c r="Y34795" s="501"/>
    </row>
    <row r="34796" spans="25:25" hidden="1" x14ac:dyDescent="0.25">
      <c r="Y34796" s="501"/>
    </row>
    <row r="34797" spans="25:25" hidden="1" x14ac:dyDescent="0.25">
      <c r="Y34797" s="501"/>
    </row>
    <row r="34798" spans="25:25" hidden="1" x14ac:dyDescent="0.25">
      <c r="Y34798" s="501"/>
    </row>
    <row r="34799" spans="25:25" hidden="1" x14ac:dyDescent="0.25">
      <c r="Y34799" s="501"/>
    </row>
    <row r="34800" spans="25:25" hidden="1" x14ac:dyDescent="0.25">
      <c r="Y34800" s="501"/>
    </row>
    <row r="34801" spans="25:25" hidden="1" x14ac:dyDescent="0.25">
      <c r="Y34801" s="501"/>
    </row>
    <row r="34802" spans="25:25" hidden="1" x14ac:dyDescent="0.25">
      <c r="Y34802" s="501"/>
    </row>
    <row r="34803" spans="25:25" hidden="1" x14ac:dyDescent="0.25">
      <c r="Y34803" s="501"/>
    </row>
    <row r="34804" spans="25:25" hidden="1" x14ac:dyDescent="0.25">
      <c r="Y34804" s="501"/>
    </row>
    <row r="34805" spans="25:25" hidden="1" x14ac:dyDescent="0.25">
      <c r="Y34805" s="501"/>
    </row>
    <row r="34806" spans="25:25" hidden="1" x14ac:dyDescent="0.25">
      <c r="Y34806" s="501"/>
    </row>
    <row r="34807" spans="25:25" hidden="1" x14ac:dyDescent="0.25">
      <c r="Y34807" s="501"/>
    </row>
    <row r="34808" spans="25:25" hidden="1" x14ac:dyDescent="0.25">
      <c r="Y34808" s="501"/>
    </row>
    <row r="34809" spans="25:25" hidden="1" x14ac:dyDescent="0.25">
      <c r="Y34809" s="501"/>
    </row>
    <row r="34810" spans="25:25" hidden="1" x14ac:dyDescent="0.25">
      <c r="Y34810" s="501"/>
    </row>
    <row r="34811" spans="25:25" hidden="1" x14ac:dyDescent="0.25">
      <c r="Y34811" s="501"/>
    </row>
    <row r="34812" spans="25:25" hidden="1" x14ac:dyDescent="0.25">
      <c r="Y34812" s="501"/>
    </row>
    <row r="34813" spans="25:25" hidden="1" x14ac:dyDescent="0.25">
      <c r="Y34813" s="501"/>
    </row>
    <row r="34814" spans="25:25" hidden="1" x14ac:dyDescent="0.25">
      <c r="Y34814" s="501"/>
    </row>
    <row r="34815" spans="25:25" hidden="1" x14ac:dyDescent="0.25">
      <c r="Y34815" s="501"/>
    </row>
    <row r="34816" spans="25:25" hidden="1" x14ac:dyDescent="0.25">
      <c r="Y34816" s="501"/>
    </row>
    <row r="34817" spans="25:25" hidden="1" x14ac:dyDescent="0.25">
      <c r="Y34817" s="501"/>
    </row>
    <row r="34818" spans="25:25" hidden="1" x14ac:dyDescent="0.25">
      <c r="Y34818" s="501"/>
    </row>
    <row r="34819" spans="25:25" hidden="1" x14ac:dyDescent="0.25">
      <c r="Y34819" s="501"/>
    </row>
    <row r="34820" spans="25:25" hidden="1" x14ac:dyDescent="0.25">
      <c r="Y34820" s="501"/>
    </row>
    <row r="34821" spans="25:25" hidden="1" x14ac:dyDescent="0.25">
      <c r="Y34821" s="501"/>
    </row>
    <row r="34822" spans="25:25" hidden="1" x14ac:dyDescent="0.25">
      <c r="Y34822" s="501"/>
    </row>
    <row r="34823" spans="25:25" hidden="1" x14ac:dyDescent="0.25">
      <c r="Y34823" s="501"/>
    </row>
    <row r="34824" spans="25:25" hidden="1" x14ac:dyDescent="0.25">
      <c r="Y34824" s="501"/>
    </row>
    <row r="34825" spans="25:25" hidden="1" x14ac:dyDescent="0.25">
      <c r="Y34825" s="501"/>
    </row>
    <row r="34826" spans="25:25" hidden="1" x14ac:dyDescent="0.25">
      <c r="Y34826" s="501"/>
    </row>
    <row r="34827" spans="25:25" hidden="1" x14ac:dyDescent="0.25">
      <c r="Y34827" s="501"/>
    </row>
    <row r="34828" spans="25:25" hidden="1" x14ac:dyDescent="0.25">
      <c r="Y34828" s="501"/>
    </row>
    <row r="34829" spans="25:25" hidden="1" x14ac:dyDescent="0.25">
      <c r="Y34829" s="501"/>
    </row>
    <row r="34830" spans="25:25" hidden="1" x14ac:dyDescent="0.25">
      <c r="Y34830" s="501"/>
    </row>
    <row r="34831" spans="25:25" hidden="1" x14ac:dyDescent="0.25">
      <c r="Y34831" s="501"/>
    </row>
    <row r="34832" spans="25:25" hidden="1" x14ac:dyDescent="0.25">
      <c r="Y34832" s="501"/>
    </row>
    <row r="34833" spans="25:25" hidden="1" x14ac:dyDescent="0.25">
      <c r="Y34833" s="501"/>
    </row>
    <row r="34834" spans="25:25" hidden="1" x14ac:dyDescent="0.25">
      <c r="Y34834" s="501"/>
    </row>
    <row r="34835" spans="25:25" hidden="1" x14ac:dyDescent="0.25">
      <c r="Y34835" s="501"/>
    </row>
    <row r="34836" spans="25:25" hidden="1" x14ac:dyDescent="0.25">
      <c r="Y34836" s="501"/>
    </row>
    <row r="34837" spans="25:25" hidden="1" x14ac:dyDescent="0.25">
      <c r="Y34837" s="501"/>
    </row>
    <row r="34838" spans="25:25" hidden="1" x14ac:dyDescent="0.25">
      <c r="Y34838" s="501"/>
    </row>
    <row r="34839" spans="25:25" hidden="1" x14ac:dyDescent="0.25">
      <c r="Y34839" s="501"/>
    </row>
    <row r="34840" spans="25:25" hidden="1" x14ac:dyDescent="0.25">
      <c r="Y34840" s="501"/>
    </row>
    <row r="34841" spans="25:25" hidden="1" x14ac:dyDescent="0.25">
      <c r="Y34841" s="501"/>
    </row>
    <row r="34842" spans="25:25" hidden="1" x14ac:dyDescent="0.25">
      <c r="Y34842" s="501"/>
    </row>
    <row r="34843" spans="25:25" hidden="1" x14ac:dyDescent="0.25">
      <c r="Y34843" s="501"/>
    </row>
    <row r="34844" spans="25:25" hidden="1" x14ac:dyDescent="0.25">
      <c r="Y34844" s="501"/>
    </row>
    <row r="34845" spans="25:25" hidden="1" x14ac:dyDescent="0.25">
      <c r="Y34845" s="501"/>
    </row>
    <row r="34846" spans="25:25" hidden="1" x14ac:dyDescent="0.25">
      <c r="Y34846" s="501"/>
    </row>
    <row r="34847" spans="25:25" hidden="1" x14ac:dyDescent="0.25">
      <c r="Y34847" s="501"/>
    </row>
    <row r="34848" spans="25:25" hidden="1" x14ac:dyDescent="0.25">
      <c r="Y34848" s="501"/>
    </row>
    <row r="34849" spans="25:25" hidden="1" x14ac:dyDescent="0.25">
      <c r="Y34849" s="501"/>
    </row>
    <row r="34850" spans="25:25" hidden="1" x14ac:dyDescent="0.25">
      <c r="Y34850" s="501"/>
    </row>
    <row r="34851" spans="25:25" hidden="1" x14ac:dyDescent="0.25">
      <c r="Y34851" s="501"/>
    </row>
    <row r="34852" spans="25:25" hidden="1" x14ac:dyDescent="0.25">
      <c r="Y34852" s="501"/>
    </row>
    <row r="34853" spans="25:25" hidden="1" x14ac:dyDescent="0.25">
      <c r="Y34853" s="501"/>
    </row>
    <row r="34854" spans="25:25" hidden="1" x14ac:dyDescent="0.25">
      <c r="Y34854" s="501"/>
    </row>
    <row r="34855" spans="25:25" hidden="1" x14ac:dyDescent="0.25">
      <c r="Y34855" s="501"/>
    </row>
    <row r="34856" spans="25:25" hidden="1" x14ac:dyDescent="0.25">
      <c r="Y34856" s="501"/>
    </row>
    <row r="34857" spans="25:25" hidden="1" x14ac:dyDescent="0.25">
      <c r="Y34857" s="501"/>
    </row>
    <row r="34858" spans="25:25" hidden="1" x14ac:dyDescent="0.25">
      <c r="Y34858" s="501"/>
    </row>
    <row r="34859" spans="25:25" hidden="1" x14ac:dyDescent="0.25">
      <c r="Y34859" s="501"/>
    </row>
    <row r="34860" spans="25:25" hidden="1" x14ac:dyDescent="0.25">
      <c r="Y34860" s="501"/>
    </row>
    <row r="34861" spans="25:25" hidden="1" x14ac:dyDescent="0.25">
      <c r="Y34861" s="501"/>
    </row>
    <row r="34862" spans="25:25" hidden="1" x14ac:dyDescent="0.25">
      <c r="Y34862" s="501"/>
    </row>
    <row r="34863" spans="25:25" hidden="1" x14ac:dyDescent="0.25">
      <c r="Y34863" s="501"/>
    </row>
    <row r="34864" spans="25:25" hidden="1" x14ac:dyDescent="0.25">
      <c r="Y34864" s="501"/>
    </row>
    <row r="34865" spans="25:25" hidden="1" x14ac:dyDescent="0.25">
      <c r="Y34865" s="501"/>
    </row>
    <row r="34866" spans="25:25" hidden="1" x14ac:dyDescent="0.25">
      <c r="Y34866" s="501"/>
    </row>
    <row r="34867" spans="25:25" hidden="1" x14ac:dyDescent="0.25">
      <c r="Y34867" s="501"/>
    </row>
    <row r="34868" spans="25:25" hidden="1" x14ac:dyDescent="0.25">
      <c r="Y34868" s="501"/>
    </row>
    <row r="34869" spans="25:25" hidden="1" x14ac:dyDescent="0.25">
      <c r="Y34869" s="501"/>
    </row>
    <row r="34870" spans="25:25" hidden="1" x14ac:dyDescent="0.25">
      <c r="Y34870" s="501"/>
    </row>
    <row r="34871" spans="25:25" hidden="1" x14ac:dyDescent="0.25">
      <c r="Y34871" s="501"/>
    </row>
    <row r="34872" spans="25:25" hidden="1" x14ac:dyDescent="0.25">
      <c r="Y34872" s="501"/>
    </row>
    <row r="34873" spans="25:25" hidden="1" x14ac:dyDescent="0.25">
      <c r="Y34873" s="501"/>
    </row>
    <row r="34874" spans="25:25" hidden="1" x14ac:dyDescent="0.25">
      <c r="Y34874" s="501"/>
    </row>
    <row r="34875" spans="25:25" hidden="1" x14ac:dyDescent="0.25">
      <c r="Y34875" s="501"/>
    </row>
    <row r="34876" spans="25:25" hidden="1" x14ac:dyDescent="0.25">
      <c r="Y34876" s="501"/>
    </row>
    <row r="34877" spans="25:25" hidden="1" x14ac:dyDescent="0.25">
      <c r="Y34877" s="501"/>
    </row>
    <row r="34878" spans="25:25" hidden="1" x14ac:dyDescent="0.25">
      <c r="Y34878" s="501"/>
    </row>
    <row r="34879" spans="25:25" hidden="1" x14ac:dyDescent="0.25">
      <c r="Y34879" s="501"/>
    </row>
    <row r="34880" spans="25:25" hidden="1" x14ac:dyDescent="0.25">
      <c r="Y34880" s="501"/>
    </row>
    <row r="34881" spans="25:25" hidden="1" x14ac:dyDescent="0.25">
      <c r="Y34881" s="501"/>
    </row>
    <row r="34882" spans="25:25" hidden="1" x14ac:dyDescent="0.25">
      <c r="Y34882" s="501"/>
    </row>
    <row r="34883" spans="25:25" hidden="1" x14ac:dyDescent="0.25">
      <c r="Y34883" s="501"/>
    </row>
    <row r="34884" spans="25:25" hidden="1" x14ac:dyDescent="0.25">
      <c r="Y34884" s="501"/>
    </row>
    <row r="34885" spans="25:25" hidden="1" x14ac:dyDescent="0.25">
      <c r="Y34885" s="501"/>
    </row>
    <row r="34886" spans="25:25" hidden="1" x14ac:dyDescent="0.25">
      <c r="Y34886" s="501"/>
    </row>
    <row r="34887" spans="25:25" hidden="1" x14ac:dyDescent="0.25">
      <c r="Y34887" s="501"/>
    </row>
    <row r="34888" spans="25:25" hidden="1" x14ac:dyDescent="0.25">
      <c r="Y34888" s="501"/>
    </row>
    <row r="34889" spans="25:25" hidden="1" x14ac:dyDescent="0.25">
      <c r="Y34889" s="501"/>
    </row>
    <row r="34890" spans="25:25" hidden="1" x14ac:dyDescent="0.25">
      <c r="Y34890" s="501"/>
    </row>
    <row r="34891" spans="25:25" hidden="1" x14ac:dyDescent="0.25">
      <c r="Y34891" s="501"/>
    </row>
    <row r="34892" spans="25:25" hidden="1" x14ac:dyDescent="0.25">
      <c r="Y34892" s="501"/>
    </row>
    <row r="34893" spans="25:25" hidden="1" x14ac:dyDescent="0.25">
      <c r="Y34893" s="501"/>
    </row>
    <row r="34894" spans="25:25" hidden="1" x14ac:dyDescent="0.25">
      <c r="Y34894" s="501"/>
    </row>
    <row r="34895" spans="25:25" hidden="1" x14ac:dyDescent="0.25">
      <c r="Y34895" s="501"/>
    </row>
    <row r="34896" spans="25:25" hidden="1" x14ac:dyDescent="0.25">
      <c r="Y34896" s="501"/>
    </row>
    <row r="34897" spans="25:25" hidden="1" x14ac:dyDescent="0.25">
      <c r="Y34897" s="501"/>
    </row>
    <row r="34898" spans="25:25" hidden="1" x14ac:dyDescent="0.25">
      <c r="Y34898" s="501"/>
    </row>
    <row r="34899" spans="25:25" hidden="1" x14ac:dyDescent="0.25">
      <c r="Y34899" s="501"/>
    </row>
    <row r="34900" spans="25:25" hidden="1" x14ac:dyDescent="0.25">
      <c r="Y34900" s="501"/>
    </row>
    <row r="34901" spans="25:25" hidden="1" x14ac:dyDescent="0.25">
      <c r="Y34901" s="501"/>
    </row>
    <row r="34902" spans="25:25" hidden="1" x14ac:dyDescent="0.25">
      <c r="Y34902" s="501"/>
    </row>
    <row r="34903" spans="25:25" hidden="1" x14ac:dyDescent="0.25">
      <c r="Y34903" s="501"/>
    </row>
    <row r="34904" spans="25:25" hidden="1" x14ac:dyDescent="0.25">
      <c r="Y34904" s="501"/>
    </row>
    <row r="34905" spans="25:25" hidden="1" x14ac:dyDescent="0.25">
      <c r="Y34905" s="501"/>
    </row>
    <row r="34906" spans="25:25" hidden="1" x14ac:dyDescent="0.25">
      <c r="Y34906" s="501"/>
    </row>
    <row r="34907" spans="25:25" hidden="1" x14ac:dyDescent="0.25">
      <c r="Y34907" s="501"/>
    </row>
    <row r="34908" spans="25:25" hidden="1" x14ac:dyDescent="0.25">
      <c r="Y34908" s="501"/>
    </row>
    <row r="34909" spans="25:25" hidden="1" x14ac:dyDescent="0.25">
      <c r="Y34909" s="501"/>
    </row>
    <row r="34910" spans="25:25" hidden="1" x14ac:dyDescent="0.25">
      <c r="Y34910" s="501"/>
    </row>
    <row r="34911" spans="25:25" hidden="1" x14ac:dyDescent="0.25">
      <c r="Y34911" s="501"/>
    </row>
    <row r="34912" spans="25:25" hidden="1" x14ac:dyDescent="0.25">
      <c r="Y34912" s="501"/>
    </row>
    <row r="34913" spans="25:25" hidden="1" x14ac:dyDescent="0.25">
      <c r="Y34913" s="501"/>
    </row>
    <row r="34914" spans="25:25" hidden="1" x14ac:dyDescent="0.25">
      <c r="Y34914" s="501"/>
    </row>
    <row r="34915" spans="25:25" hidden="1" x14ac:dyDescent="0.25">
      <c r="Y34915" s="501"/>
    </row>
    <row r="34916" spans="25:25" hidden="1" x14ac:dyDescent="0.25">
      <c r="Y34916" s="501"/>
    </row>
    <row r="34917" spans="25:25" hidden="1" x14ac:dyDescent="0.25">
      <c r="Y34917" s="501"/>
    </row>
    <row r="34918" spans="25:25" hidden="1" x14ac:dyDescent="0.25">
      <c r="Y34918" s="501"/>
    </row>
    <row r="34919" spans="25:25" hidden="1" x14ac:dyDescent="0.25">
      <c r="Y34919" s="501"/>
    </row>
    <row r="34920" spans="25:25" hidden="1" x14ac:dyDescent="0.25">
      <c r="Y34920" s="501"/>
    </row>
    <row r="34921" spans="25:25" hidden="1" x14ac:dyDescent="0.25">
      <c r="Y34921" s="501"/>
    </row>
    <row r="34922" spans="25:25" hidden="1" x14ac:dyDescent="0.25">
      <c r="Y34922" s="501"/>
    </row>
    <row r="34923" spans="25:25" hidden="1" x14ac:dyDescent="0.25">
      <c r="Y34923" s="501"/>
    </row>
    <row r="34924" spans="25:25" hidden="1" x14ac:dyDescent="0.25">
      <c r="Y34924" s="501"/>
    </row>
    <row r="34925" spans="25:25" hidden="1" x14ac:dyDescent="0.25">
      <c r="Y34925" s="501"/>
    </row>
    <row r="34926" spans="25:25" hidden="1" x14ac:dyDescent="0.25">
      <c r="Y34926" s="501"/>
    </row>
    <row r="34927" spans="25:25" hidden="1" x14ac:dyDescent="0.25">
      <c r="Y34927" s="501"/>
    </row>
    <row r="34928" spans="25:25" hidden="1" x14ac:dyDescent="0.25">
      <c r="Y34928" s="501"/>
    </row>
    <row r="34929" spans="25:25" hidden="1" x14ac:dyDescent="0.25">
      <c r="Y34929" s="501"/>
    </row>
    <row r="34930" spans="25:25" hidden="1" x14ac:dyDescent="0.25">
      <c r="Y34930" s="501"/>
    </row>
    <row r="34931" spans="25:25" hidden="1" x14ac:dyDescent="0.25">
      <c r="Y34931" s="501"/>
    </row>
    <row r="34932" spans="25:25" hidden="1" x14ac:dyDescent="0.25">
      <c r="Y34932" s="501"/>
    </row>
    <row r="34933" spans="25:25" hidden="1" x14ac:dyDescent="0.25">
      <c r="Y34933" s="501"/>
    </row>
    <row r="34934" spans="25:25" hidden="1" x14ac:dyDescent="0.25">
      <c r="Y34934" s="501"/>
    </row>
    <row r="34935" spans="25:25" hidden="1" x14ac:dyDescent="0.25">
      <c r="Y34935" s="501"/>
    </row>
    <row r="34936" spans="25:25" hidden="1" x14ac:dyDescent="0.25">
      <c r="Y34936" s="501"/>
    </row>
    <row r="34937" spans="25:25" hidden="1" x14ac:dyDescent="0.25">
      <c r="Y34937" s="501"/>
    </row>
    <row r="34938" spans="25:25" hidden="1" x14ac:dyDescent="0.25">
      <c r="Y34938" s="501"/>
    </row>
    <row r="34939" spans="25:25" hidden="1" x14ac:dyDescent="0.25">
      <c r="Y34939" s="501"/>
    </row>
    <row r="34940" spans="25:25" hidden="1" x14ac:dyDescent="0.25">
      <c r="Y34940" s="501"/>
    </row>
    <row r="34941" spans="25:25" hidden="1" x14ac:dyDescent="0.25">
      <c r="Y34941" s="501"/>
    </row>
    <row r="34942" spans="25:25" hidden="1" x14ac:dyDescent="0.25">
      <c r="Y34942" s="501"/>
    </row>
    <row r="34943" spans="25:25" hidden="1" x14ac:dyDescent="0.25">
      <c r="Y34943" s="501"/>
    </row>
    <row r="34944" spans="25:25" hidden="1" x14ac:dyDescent="0.25">
      <c r="Y34944" s="501"/>
    </row>
    <row r="34945" spans="25:25" hidden="1" x14ac:dyDescent="0.25">
      <c r="Y34945" s="501"/>
    </row>
    <row r="34946" spans="25:25" hidden="1" x14ac:dyDescent="0.25">
      <c r="Y34946" s="501"/>
    </row>
    <row r="34947" spans="25:25" hidden="1" x14ac:dyDescent="0.25">
      <c r="Y34947" s="501"/>
    </row>
    <row r="34948" spans="25:25" hidden="1" x14ac:dyDescent="0.25">
      <c r="Y34948" s="501"/>
    </row>
    <row r="34949" spans="25:25" hidden="1" x14ac:dyDescent="0.25">
      <c r="Y34949" s="501"/>
    </row>
    <row r="34950" spans="25:25" hidden="1" x14ac:dyDescent="0.25">
      <c r="Y34950" s="501"/>
    </row>
    <row r="34951" spans="25:25" hidden="1" x14ac:dyDescent="0.25">
      <c r="Y34951" s="501"/>
    </row>
    <row r="34952" spans="25:25" hidden="1" x14ac:dyDescent="0.25">
      <c r="Y34952" s="501"/>
    </row>
    <row r="34953" spans="25:25" hidden="1" x14ac:dyDescent="0.25">
      <c r="Y34953" s="501"/>
    </row>
    <row r="34954" spans="25:25" hidden="1" x14ac:dyDescent="0.25">
      <c r="Y34954" s="501"/>
    </row>
    <row r="34955" spans="25:25" hidden="1" x14ac:dyDescent="0.25">
      <c r="Y34955" s="501"/>
    </row>
    <row r="34956" spans="25:25" hidden="1" x14ac:dyDescent="0.25">
      <c r="Y34956" s="501"/>
    </row>
    <row r="34957" spans="25:25" hidden="1" x14ac:dyDescent="0.25">
      <c r="Y34957" s="501"/>
    </row>
    <row r="34958" spans="25:25" hidden="1" x14ac:dyDescent="0.25">
      <c r="Y34958" s="501"/>
    </row>
    <row r="34959" spans="25:25" hidden="1" x14ac:dyDescent="0.25">
      <c r="Y34959" s="501"/>
    </row>
    <row r="34960" spans="25:25" hidden="1" x14ac:dyDescent="0.25">
      <c r="Y34960" s="501"/>
    </row>
    <row r="34961" spans="25:25" hidden="1" x14ac:dyDescent="0.25">
      <c r="Y34961" s="501"/>
    </row>
    <row r="34962" spans="25:25" hidden="1" x14ac:dyDescent="0.25">
      <c r="Y34962" s="501"/>
    </row>
    <row r="34963" spans="25:25" hidden="1" x14ac:dyDescent="0.25">
      <c r="Y34963" s="501"/>
    </row>
    <row r="34964" spans="25:25" hidden="1" x14ac:dyDescent="0.25">
      <c r="Y34964" s="501"/>
    </row>
    <row r="34965" spans="25:25" hidden="1" x14ac:dyDescent="0.25">
      <c r="Y34965" s="501"/>
    </row>
    <row r="34966" spans="25:25" hidden="1" x14ac:dyDescent="0.25">
      <c r="Y34966" s="501"/>
    </row>
    <row r="34967" spans="25:25" hidden="1" x14ac:dyDescent="0.25">
      <c r="Y34967" s="501"/>
    </row>
    <row r="34968" spans="25:25" hidden="1" x14ac:dyDescent="0.25">
      <c r="Y34968" s="501"/>
    </row>
    <row r="34969" spans="25:25" hidden="1" x14ac:dyDescent="0.25">
      <c r="Y34969" s="501"/>
    </row>
    <row r="34970" spans="25:25" hidden="1" x14ac:dyDescent="0.25">
      <c r="Y34970" s="501"/>
    </row>
    <row r="34971" spans="25:25" hidden="1" x14ac:dyDescent="0.25">
      <c r="Y34971" s="501"/>
    </row>
    <row r="34972" spans="25:25" hidden="1" x14ac:dyDescent="0.25">
      <c r="Y34972" s="501"/>
    </row>
    <row r="34973" spans="25:25" hidden="1" x14ac:dyDescent="0.25">
      <c r="Y34973" s="501"/>
    </row>
    <row r="34974" spans="25:25" hidden="1" x14ac:dyDescent="0.25">
      <c r="Y34974" s="501"/>
    </row>
    <row r="34975" spans="25:25" hidden="1" x14ac:dyDescent="0.25">
      <c r="Y34975" s="501"/>
    </row>
    <row r="34976" spans="25:25" hidden="1" x14ac:dyDescent="0.25">
      <c r="Y34976" s="501"/>
    </row>
    <row r="34977" spans="25:25" hidden="1" x14ac:dyDescent="0.25">
      <c r="Y34977" s="501"/>
    </row>
    <row r="34978" spans="25:25" hidden="1" x14ac:dyDescent="0.25">
      <c r="Y34978" s="501"/>
    </row>
    <row r="34979" spans="25:25" hidden="1" x14ac:dyDescent="0.25">
      <c r="Y34979" s="501"/>
    </row>
    <row r="34980" spans="25:25" hidden="1" x14ac:dyDescent="0.25">
      <c r="Y34980" s="501"/>
    </row>
    <row r="34981" spans="25:25" hidden="1" x14ac:dyDescent="0.25">
      <c r="Y34981" s="501"/>
    </row>
    <row r="34982" spans="25:25" hidden="1" x14ac:dyDescent="0.25">
      <c r="Y34982" s="501"/>
    </row>
    <row r="34983" spans="25:25" hidden="1" x14ac:dyDescent="0.25">
      <c r="Y34983" s="501"/>
    </row>
    <row r="34984" spans="25:25" hidden="1" x14ac:dyDescent="0.25">
      <c r="Y34984" s="501"/>
    </row>
    <row r="34985" spans="25:25" hidden="1" x14ac:dyDescent="0.25">
      <c r="Y34985" s="501"/>
    </row>
    <row r="34986" spans="25:25" hidden="1" x14ac:dyDescent="0.25">
      <c r="Y34986" s="501"/>
    </row>
    <row r="34987" spans="25:25" hidden="1" x14ac:dyDescent="0.25">
      <c r="Y34987" s="501"/>
    </row>
    <row r="34988" spans="25:25" hidden="1" x14ac:dyDescent="0.25">
      <c r="Y34988" s="501"/>
    </row>
    <row r="34989" spans="25:25" hidden="1" x14ac:dyDescent="0.25">
      <c r="Y34989" s="501"/>
    </row>
    <row r="34990" spans="25:25" hidden="1" x14ac:dyDescent="0.25">
      <c r="Y34990" s="501"/>
    </row>
    <row r="34991" spans="25:25" hidden="1" x14ac:dyDescent="0.25">
      <c r="Y34991" s="501"/>
    </row>
    <row r="34992" spans="25:25" hidden="1" x14ac:dyDescent="0.25">
      <c r="Y34992" s="501"/>
    </row>
    <row r="34993" spans="25:25" hidden="1" x14ac:dyDescent="0.25">
      <c r="Y34993" s="501"/>
    </row>
    <row r="34994" spans="25:25" hidden="1" x14ac:dyDescent="0.25">
      <c r="Y34994" s="501"/>
    </row>
    <row r="34995" spans="25:25" hidden="1" x14ac:dyDescent="0.25">
      <c r="Y34995" s="501"/>
    </row>
    <row r="34996" spans="25:25" hidden="1" x14ac:dyDescent="0.25">
      <c r="Y34996" s="501"/>
    </row>
    <row r="34997" spans="25:25" hidden="1" x14ac:dyDescent="0.25">
      <c r="Y34997" s="501"/>
    </row>
    <row r="34998" spans="25:25" hidden="1" x14ac:dyDescent="0.25">
      <c r="Y34998" s="501"/>
    </row>
    <row r="34999" spans="25:25" hidden="1" x14ac:dyDescent="0.25">
      <c r="Y34999" s="501"/>
    </row>
    <row r="35000" spans="25:25" hidden="1" x14ac:dyDescent="0.25">
      <c r="Y35000" s="501"/>
    </row>
    <row r="35001" spans="25:25" hidden="1" x14ac:dyDescent="0.25">
      <c r="Y35001" s="501"/>
    </row>
    <row r="35002" spans="25:25" hidden="1" x14ac:dyDescent="0.25">
      <c r="Y35002" s="501"/>
    </row>
    <row r="35003" spans="25:25" hidden="1" x14ac:dyDescent="0.25">
      <c r="Y35003" s="501"/>
    </row>
    <row r="35004" spans="25:25" hidden="1" x14ac:dyDescent="0.25">
      <c r="Y35004" s="501"/>
    </row>
    <row r="35005" spans="25:25" hidden="1" x14ac:dyDescent="0.25">
      <c r="Y35005" s="501"/>
    </row>
    <row r="35006" spans="25:25" hidden="1" x14ac:dyDescent="0.25">
      <c r="Y35006" s="501"/>
    </row>
    <row r="35007" spans="25:25" hidden="1" x14ac:dyDescent="0.25">
      <c r="Y35007" s="501"/>
    </row>
    <row r="35008" spans="25:25" hidden="1" x14ac:dyDescent="0.25">
      <c r="Y35008" s="501"/>
    </row>
    <row r="35009" spans="25:25" hidden="1" x14ac:dyDescent="0.25">
      <c r="Y35009" s="501"/>
    </row>
    <row r="35010" spans="25:25" hidden="1" x14ac:dyDescent="0.25">
      <c r="Y35010" s="501"/>
    </row>
    <row r="35011" spans="25:25" hidden="1" x14ac:dyDescent="0.25">
      <c r="Y35011" s="501"/>
    </row>
    <row r="35012" spans="25:25" hidden="1" x14ac:dyDescent="0.25">
      <c r="Y35012" s="501"/>
    </row>
    <row r="35013" spans="25:25" hidden="1" x14ac:dyDescent="0.25">
      <c r="Y35013" s="501"/>
    </row>
    <row r="35014" spans="25:25" hidden="1" x14ac:dyDescent="0.25">
      <c r="Y35014" s="501"/>
    </row>
    <row r="35015" spans="25:25" hidden="1" x14ac:dyDescent="0.25">
      <c r="Y35015" s="501"/>
    </row>
    <row r="35016" spans="25:25" hidden="1" x14ac:dyDescent="0.25">
      <c r="Y35016" s="501"/>
    </row>
    <row r="35017" spans="25:25" hidden="1" x14ac:dyDescent="0.25">
      <c r="Y35017" s="501"/>
    </row>
    <row r="35018" spans="25:25" hidden="1" x14ac:dyDescent="0.25">
      <c r="Y35018" s="501"/>
    </row>
    <row r="35019" spans="25:25" hidden="1" x14ac:dyDescent="0.25">
      <c r="Y35019" s="501"/>
    </row>
    <row r="35020" spans="25:25" hidden="1" x14ac:dyDescent="0.25">
      <c r="Y35020" s="501"/>
    </row>
    <row r="35021" spans="25:25" hidden="1" x14ac:dyDescent="0.25">
      <c r="Y35021" s="501"/>
    </row>
    <row r="35022" spans="25:25" hidden="1" x14ac:dyDescent="0.25">
      <c r="Y35022" s="501"/>
    </row>
    <row r="35023" spans="25:25" hidden="1" x14ac:dyDescent="0.25">
      <c r="Y35023" s="501"/>
    </row>
    <row r="35024" spans="25:25" hidden="1" x14ac:dyDescent="0.25">
      <c r="Y35024" s="501"/>
    </row>
    <row r="35025" spans="25:25" hidden="1" x14ac:dyDescent="0.25">
      <c r="Y35025" s="501"/>
    </row>
    <row r="35026" spans="25:25" hidden="1" x14ac:dyDescent="0.25">
      <c r="Y35026" s="501"/>
    </row>
    <row r="35027" spans="25:25" hidden="1" x14ac:dyDescent="0.25">
      <c r="Y35027" s="501"/>
    </row>
    <row r="35028" spans="25:25" hidden="1" x14ac:dyDescent="0.25">
      <c r="Y35028" s="501"/>
    </row>
    <row r="35029" spans="25:25" hidden="1" x14ac:dyDescent="0.25">
      <c r="Y35029" s="501"/>
    </row>
    <row r="35030" spans="25:25" hidden="1" x14ac:dyDescent="0.25">
      <c r="Y35030" s="501"/>
    </row>
    <row r="35031" spans="25:25" hidden="1" x14ac:dyDescent="0.25">
      <c r="Y35031" s="501"/>
    </row>
    <row r="35032" spans="25:25" hidden="1" x14ac:dyDescent="0.25">
      <c r="Y35032" s="501"/>
    </row>
    <row r="35033" spans="25:25" hidden="1" x14ac:dyDescent="0.25">
      <c r="Y35033" s="501"/>
    </row>
    <row r="35034" spans="25:25" hidden="1" x14ac:dyDescent="0.25">
      <c r="Y35034" s="501"/>
    </row>
    <row r="35035" spans="25:25" hidden="1" x14ac:dyDescent="0.25">
      <c r="Y35035" s="501"/>
    </row>
    <row r="35036" spans="25:25" hidden="1" x14ac:dyDescent="0.25">
      <c r="Y35036" s="501"/>
    </row>
    <row r="35037" spans="25:25" hidden="1" x14ac:dyDescent="0.25">
      <c r="Y35037" s="501"/>
    </row>
    <row r="35038" spans="25:25" hidden="1" x14ac:dyDescent="0.25">
      <c r="Y35038" s="501"/>
    </row>
    <row r="35039" spans="25:25" hidden="1" x14ac:dyDescent="0.25">
      <c r="Y35039" s="501"/>
    </row>
    <row r="35040" spans="25:25" hidden="1" x14ac:dyDescent="0.25">
      <c r="Y35040" s="501"/>
    </row>
    <row r="35041" spans="25:25" hidden="1" x14ac:dyDescent="0.25">
      <c r="Y35041" s="501"/>
    </row>
    <row r="35042" spans="25:25" hidden="1" x14ac:dyDescent="0.25">
      <c r="Y35042" s="501"/>
    </row>
    <row r="35043" spans="25:25" hidden="1" x14ac:dyDescent="0.25">
      <c r="Y35043" s="501"/>
    </row>
    <row r="35044" spans="25:25" hidden="1" x14ac:dyDescent="0.25">
      <c r="Y35044" s="501"/>
    </row>
    <row r="35045" spans="25:25" hidden="1" x14ac:dyDescent="0.25">
      <c r="Y35045" s="501"/>
    </row>
    <row r="35046" spans="25:25" hidden="1" x14ac:dyDescent="0.25">
      <c r="Y35046" s="501"/>
    </row>
    <row r="35047" spans="25:25" hidden="1" x14ac:dyDescent="0.25">
      <c r="Y35047" s="501"/>
    </row>
    <row r="35048" spans="25:25" hidden="1" x14ac:dyDescent="0.25">
      <c r="Y35048" s="501"/>
    </row>
    <row r="35049" spans="25:25" hidden="1" x14ac:dyDescent="0.25">
      <c r="Y35049" s="501"/>
    </row>
    <row r="35050" spans="25:25" hidden="1" x14ac:dyDescent="0.25">
      <c r="Y35050" s="501"/>
    </row>
    <row r="35051" spans="25:25" hidden="1" x14ac:dyDescent="0.25">
      <c r="Y35051" s="501"/>
    </row>
    <row r="35052" spans="25:25" hidden="1" x14ac:dyDescent="0.25">
      <c r="Y35052" s="501"/>
    </row>
    <row r="35053" spans="25:25" hidden="1" x14ac:dyDescent="0.25">
      <c r="Y35053" s="501"/>
    </row>
    <row r="35054" spans="25:25" hidden="1" x14ac:dyDescent="0.25">
      <c r="Y35054" s="501"/>
    </row>
    <row r="35055" spans="25:25" hidden="1" x14ac:dyDescent="0.25">
      <c r="Y35055" s="501"/>
    </row>
    <row r="35056" spans="25:25" hidden="1" x14ac:dyDescent="0.25">
      <c r="Y35056" s="501"/>
    </row>
    <row r="35057" spans="25:25" hidden="1" x14ac:dyDescent="0.25">
      <c r="Y35057" s="501"/>
    </row>
    <row r="35058" spans="25:25" hidden="1" x14ac:dyDescent="0.25">
      <c r="Y35058" s="501"/>
    </row>
    <row r="35059" spans="25:25" hidden="1" x14ac:dyDescent="0.25">
      <c r="Y35059" s="501"/>
    </row>
    <row r="35060" spans="25:25" hidden="1" x14ac:dyDescent="0.25">
      <c r="Y35060" s="501"/>
    </row>
    <row r="35061" spans="25:25" hidden="1" x14ac:dyDescent="0.25">
      <c r="Y35061" s="501"/>
    </row>
    <row r="35062" spans="25:25" hidden="1" x14ac:dyDescent="0.25">
      <c r="Y35062" s="501"/>
    </row>
    <row r="35063" spans="25:25" hidden="1" x14ac:dyDescent="0.25">
      <c r="Y35063" s="501"/>
    </row>
    <row r="35064" spans="25:25" hidden="1" x14ac:dyDescent="0.25">
      <c r="Y35064" s="501"/>
    </row>
    <row r="35065" spans="25:25" hidden="1" x14ac:dyDescent="0.25">
      <c r="Y35065" s="501"/>
    </row>
    <row r="35066" spans="25:25" hidden="1" x14ac:dyDescent="0.25">
      <c r="Y35066" s="501"/>
    </row>
    <row r="35067" spans="25:25" hidden="1" x14ac:dyDescent="0.25">
      <c r="Y35067" s="501"/>
    </row>
    <row r="35068" spans="25:25" hidden="1" x14ac:dyDescent="0.25">
      <c r="Y35068" s="501"/>
    </row>
    <row r="35069" spans="25:25" hidden="1" x14ac:dyDescent="0.25">
      <c r="Y35069" s="501"/>
    </row>
    <row r="35070" spans="25:25" hidden="1" x14ac:dyDescent="0.25">
      <c r="Y35070" s="501"/>
    </row>
    <row r="35071" spans="25:25" hidden="1" x14ac:dyDescent="0.25">
      <c r="Y35071" s="501"/>
    </row>
    <row r="35072" spans="25:25" hidden="1" x14ac:dyDescent="0.25">
      <c r="Y35072" s="501"/>
    </row>
    <row r="35073" spans="25:25" hidden="1" x14ac:dyDescent="0.25">
      <c r="Y35073" s="501"/>
    </row>
    <row r="35074" spans="25:25" hidden="1" x14ac:dyDescent="0.25">
      <c r="Y35074" s="501"/>
    </row>
    <row r="35075" spans="25:25" hidden="1" x14ac:dyDescent="0.25">
      <c r="Y35075" s="501"/>
    </row>
    <row r="35076" spans="25:25" hidden="1" x14ac:dyDescent="0.25">
      <c r="Y35076" s="501"/>
    </row>
    <row r="35077" spans="25:25" hidden="1" x14ac:dyDescent="0.25">
      <c r="Y35077" s="501"/>
    </row>
    <row r="35078" spans="25:25" hidden="1" x14ac:dyDescent="0.25">
      <c r="Y35078" s="501"/>
    </row>
    <row r="35079" spans="25:25" hidden="1" x14ac:dyDescent="0.25">
      <c r="Y35079" s="501"/>
    </row>
    <row r="35080" spans="25:25" hidden="1" x14ac:dyDescent="0.25">
      <c r="Y35080" s="501"/>
    </row>
    <row r="35081" spans="25:25" hidden="1" x14ac:dyDescent="0.25">
      <c r="Y35081" s="501"/>
    </row>
    <row r="35082" spans="25:25" hidden="1" x14ac:dyDescent="0.25">
      <c r="Y35082" s="501"/>
    </row>
    <row r="35083" spans="25:25" hidden="1" x14ac:dyDescent="0.25">
      <c r="Y35083" s="501"/>
    </row>
    <row r="35084" spans="25:25" hidden="1" x14ac:dyDescent="0.25">
      <c r="Y35084" s="501"/>
    </row>
    <row r="35085" spans="25:25" hidden="1" x14ac:dyDescent="0.25">
      <c r="Y35085" s="501"/>
    </row>
    <row r="35086" spans="25:25" hidden="1" x14ac:dyDescent="0.25">
      <c r="Y35086" s="501"/>
    </row>
    <row r="35087" spans="25:25" hidden="1" x14ac:dyDescent="0.25">
      <c r="Y35087" s="501"/>
    </row>
    <row r="35088" spans="25:25" hidden="1" x14ac:dyDescent="0.25">
      <c r="Y35088" s="501"/>
    </row>
    <row r="35089" spans="25:25" hidden="1" x14ac:dyDescent="0.25">
      <c r="Y35089" s="501"/>
    </row>
    <row r="35090" spans="25:25" hidden="1" x14ac:dyDescent="0.25">
      <c r="Y35090" s="501"/>
    </row>
    <row r="35091" spans="25:25" hidden="1" x14ac:dyDescent="0.25">
      <c r="Y35091" s="501"/>
    </row>
    <row r="35092" spans="25:25" hidden="1" x14ac:dyDescent="0.25">
      <c r="Y35092" s="501"/>
    </row>
    <row r="35093" spans="25:25" hidden="1" x14ac:dyDescent="0.25">
      <c r="Y35093" s="501"/>
    </row>
    <row r="35094" spans="25:25" hidden="1" x14ac:dyDescent="0.25">
      <c r="Y35094" s="501"/>
    </row>
    <row r="35095" spans="25:25" hidden="1" x14ac:dyDescent="0.25">
      <c r="Y35095" s="501"/>
    </row>
    <row r="35096" spans="25:25" hidden="1" x14ac:dyDescent="0.25">
      <c r="Y35096" s="501"/>
    </row>
    <row r="35097" spans="25:25" hidden="1" x14ac:dyDescent="0.25">
      <c r="Y35097" s="501"/>
    </row>
    <row r="35098" spans="25:25" hidden="1" x14ac:dyDescent="0.25">
      <c r="Y35098" s="501"/>
    </row>
    <row r="35099" spans="25:25" hidden="1" x14ac:dyDescent="0.25">
      <c r="Y35099" s="501"/>
    </row>
    <row r="35100" spans="25:25" hidden="1" x14ac:dyDescent="0.25">
      <c r="Y35100" s="501"/>
    </row>
    <row r="35101" spans="25:25" hidden="1" x14ac:dyDescent="0.25">
      <c r="Y35101" s="501"/>
    </row>
    <row r="35102" spans="25:25" hidden="1" x14ac:dyDescent="0.25">
      <c r="Y35102" s="501"/>
    </row>
    <row r="35103" spans="25:25" hidden="1" x14ac:dyDescent="0.25">
      <c r="Y35103" s="501"/>
    </row>
    <row r="35104" spans="25:25" hidden="1" x14ac:dyDescent="0.25">
      <c r="Y35104" s="501"/>
    </row>
    <row r="35105" spans="25:25" hidden="1" x14ac:dyDescent="0.25">
      <c r="Y35105" s="501"/>
    </row>
    <row r="35106" spans="25:25" hidden="1" x14ac:dyDescent="0.25">
      <c r="Y35106" s="501"/>
    </row>
    <row r="35107" spans="25:25" hidden="1" x14ac:dyDescent="0.25">
      <c r="Y35107" s="501"/>
    </row>
    <row r="35108" spans="25:25" hidden="1" x14ac:dyDescent="0.25">
      <c r="Y35108" s="501"/>
    </row>
    <row r="35109" spans="25:25" hidden="1" x14ac:dyDescent="0.25">
      <c r="Y35109" s="501"/>
    </row>
    <row r="35110" spans="25:25" hidden="1" x14ac:dyDescent="0.25">
      <c r="Y35110" s="501"/>
    </row>
    <row r="35111" spans="25:25" hidden="1" x14ac:dyDescent="0.25">
      <c r="Y35111" s="501"/>
    </row>
    <row r="35112" spans="25:25" hidden="1" x14ac:dyDescent="0.25">
      <c r="Y35112" s="501"/>
    </row>
    <row r="35113" spans="25:25" hidden="1" x14ac:dyDescent="0.25">
      <c r="Y35113" s="501"/>
    </row>
    <row r="35114" spans="25:25" hidden="1" x14ac:dyDescent="0.25">
      <c r="Y35114" s="501"/>
    </row>
    <row r="35115" spans="25:25" hidden="1" x14ac:dyDescent="0.25">
      <c r="Y35115" s="501"/>
    </row>
    <row r="35116" spans="25:25" hidden="1" x14ac:dyDescent="0.25">
      <c r="Y35116" s="501"/>
    </row>
    <row r="35117" spans="25:25" hidden="1" x14ac:dyDescent="0.25">
      <c r="Y35117" s="501"/>
    </row>
    <row r="35118" spans="25:25" hidden="1" x14ac:dyDescent="0.25">
      <c r="Y35118" s="501"/>
    </row>
    <row r="35119" spans="25:25" hidden="1" x14ac:dyDescent="0.25">
      <c r="Y35119" s="501"/>
    </row>
    <row r="35120" spans="25:25" hidden="1" x14ac:dyDescent="0.25">
      <c r="Y35120" s="501"/>
    </row>
    <row r="35121" spans="25:25" hidden="1" x14ac:dyDescent="0.25">
      <c r="Y35121" s="501"/>
    </row>
    <row r="35122" spans="25:25" hidden="1" x14ac:dyDescent="0.25">
      <c r="Y35122" s="501"/>
    </row>
    <row r="35123" spans="25:25" hidden="1" x14ac:dyDescent="0.25">
      <c r="Y35123" s="501"/>
    </row>
    <row r="35124" spans="25:25" hidden="1" x14ac:dyDescent="0.25">
      <c r="Y35124" s="501"/>
    </row>
    <row r="35125" spans="25:25" hidden="1" x14ac:dyDescent="0.25">
      <c r="Y35125" s="501"/>
    </row>
    <row r="35126" spans="25:25" hidden="1" x14ac:dyDescent="0.25">
      <c r="Y35126" s="501"/>
    </row>
    <row r="35127" spans="25:25" hidden="1" x14ac:dyDescent="0.25">
      <c r="Y35127" s="501"/>
    </row>
    <row r="35128" spans="25:25" hidden="1" x14ac:dyDescent="0.25">
      <c r="Y35128" s="501"/>
    </row>
    <row r="35129" spans="25:25" hidden="1" x14ac:dyDescent="0.25">
      <c r="Y35129" s="501"/>
    </row>
    <row r="35130" spans="25:25" hidden="1" x14ac:dyDescent="0.25">
      <c r="Y35130" s="501"/>
    </row>
    <row r="35131" spans="25:25" hidden="1" x14ac:dyDescent="0.25">
      <c r="Y35131" s="501"/>
    </row>
    <row r="35132" spans="25:25" hidden="1" x14ac:dyDescent="0.25">
      <c r="Y35132" s="501"/>
    </row>
    <row r="35133" spans="25:25" hidden="1" x14ac:dyDescent="0.25">
      <c r="Y35133" s="501"/>
    </row>
    <row r="35134" spans="25:25" hidden="1" x14ac:dyDescent="0.25">
      <c r="Y35134" s="501"/>
    </row>
    <row r="35135" spans="25:25" hidden="1" x14ac:dyDescent="0.25">
      <c r="Y35135" s="501"/>
    </row>
    <row r="35136" spans="25:25" hidden="1" x14ac:dyDescent="0.25">
      <c r="Y35136" s="501"/>
    </row>
    <row r="35137" spans="25:25" hidden="1" x14ac:dyDescent="0.25">
      <c r="Y35137" s="501"/>
    </row>
    <row r="35138" spans="25:25" hidden="1" x14ac:dyDescent="0.25">
      <c r="Y35138" s="501"/>
    </row>
    <row r="35139" spans="25:25" hidden="1" x14ac:dyDescent="0.25">
      <c r="Y35139" s="501"/>
    </row>
    <row r="35140" spans="25:25" hidden="1" x14ac:dyDescent="0.25">
      <c r="Y35140" s="501"/>
    </row>
    <row r="35141" spans="25:25" hidden="1" x14ac:dyDescent="0.25">
      <c r="Y35141" s="501"/>
    </row>
    <row r="35142" spans="25:25" hidden="1" x14ac:dyDescent="0.25">
      <c r="Y35142" s="501"/>
    </row>
    <row r="35143" spans="25:25" hidden="1" x14ac:dyDescent="0.25">
      <c r="Y35143" s="501"/>
    </row>
    <row r="35144" spans="25:25" hidden="1" x14ac:dyDescent="0.25">
      <c r="Y35144" s="501"/>
    </row>
    <row r="35145" spans="25:25" hidden="1" x14ac:dyDescent="0.25">
      <c r="Y35145" s="501"/>
    </row>
    <row r="35146" spans="25:25" hidden="1" x14ac:dyDescent="0.25">
      <c r="Y35146" s="501"/>
    </row>
    <row r="35147" spans="25:25" hidden="1" x14ac:dyDescent="0.25">
      <c r="Y35147" s="501"/>
    </row>
    <row r="35148" spans="25:25" hidden="1" x14ac:dyDescent="0.25">
      <c r="Y35148" s="501"/>
    </row>
    <row r="35149" spans="25:25" hidden="1" x14ac:dyDescent="0.25">
      <c r="Y35149" s="501"/>
    </row>
    <row r="35150" spans="25:25" hidden="1" x14ac:dyDescent="0.25">
      <c r="Y35150" s="501"/>
    </row>
    <row r="35151" spans="25:25" hidden="1" x14ac:dyDescent="0.25">
      <c r="Y35151" s="501"/>
    </row>
    <row r="35152" spans="25:25" hidden="1" x14ac:dyDescent="0.25">
      <c r="Y35152" s="501"/>
    </row>
    <row r="35153" spans="25:25" hidden="1" x14ac:dyDescent="0.25">
      <c r="Y35153" s="501"/>
    </row>
    <row r="35154" spans="25:25" hidden="1" x14ac:dyDescent="0.25">
      <c r="Y35154" s="501"/>
    </row>
    <row r="35155" spans="25:25" hidden="1" x14ac:dyDescent="0.25">
      <c r="Y35155" s="501"/>
    </row>
    <row r="35156" spans="25:25" hidden="1" x14ac:dyDescent="0.25">
      <c r="Y35156" s="501"/>
    </row>
    <row r="35157" spans="25:25" hidden="1" x14ac:dyDescent="0.25">
      <c r="Y35157" s="501"/>
    </row>
    <row r="35158" spans="25:25" hidden="1" x14ac:dyDescent="0.25">
      <c r="Y35158" s="501"/>
    </row>
    <row r="35159" spans="25:25" hidden="1" x14ac:dyDescent="0.25">
      <c r="Y35159" s="501"/>
    </row>
    <row r="35160" spans="25:25" hidden="1" x14ac:dyDescent="0.25">
      <c r="Y35160" s="501"/>
    </row>
    <row r="35161" spans="25:25" hidden="1" x14ac:dyDescent="0.25">
      <c r="Y35161" s="501"/>
    </row>
    <row r="35162" spans="25:25" hidden="1" x14ac:dyDescent="0.25">
      <c r="Y35162" s="501"/>
    </row>
    <row r="35163" spans="25:25" hidden="1" x14ac:dyDescent="0.25">
      <c r="Y35163" s="501"/>
    </row>
    <row r="35164" spans="25:25" hidden="1" x14ac:dyDescent="0.25">
      <c r="Y35164" s="501"/>
    </row>
    <row r="35165" spans="25:25" hidden="1" x14ac:dyDescent="0.25">
      <c r="Y35165" s="501"/>
    </row>
    <row r="35166" spans="25:25" hidden="1" x14ac:dyDescent="0.25">
      <c r="Y35166" s="501"/>
    </row>
    <row r="35167" spans="25:25" hidden="1" x14ac:dyDescent="0.25">
      <c r="Y35167" s="501"/>
    </row>
    <row r="35168" spans="25:25" hidden="1" x14ac:dyDescent="0.25">
      <c r="Y35168" s="501"/>
    </row>
    <row r="35169" spans="25:25" hidden="1" x14ac:dyDescent="0.25">
      <c r="Y35169" s="501"/>
    </row>
    <row r="35170" spans="25:25" hidden="1" x14ac:dyDescent="0.25">
      <c r="Y35170" s="501"/>
    </row>
    <row r="35171" spans="25:25" hidden="1" x14ac:dyDescent="0.25">
      <c r="Y35171" s="501"/>
    </row>
    <row r="35172" spans="25:25" hidden="1" x14ac:dyDescent="0.25">
      <c r="Y35172" s="501"/>
    </row>
    <row r="35173" spans="25:25" hidden="1" x14ac:dyDescent="0.25">
      <c r="Y35173" s="501"/>
    </row>
    <row r="35174" spans="25:25" hidden="1" x14ac:dyDescent="0.25">
      <c r="Y35174" s="501"/>
    </row>
    <row r="35175" spans="25:25" hidden="1" x14ac:dyDescent="0.25">
      <c r="Y35175" s="501"/>
    </row>
    <row r="35176" spans="25:25" hidden="1" x14ac:dyDescent="0.25">
      <c r="Y35176" s="501"/>
    </row>
    <row r="35177" spans="25:25" hidden="1" x14ac:dyDescent="0.25">
      <c r="Y35177" s="501"/>
    </row>
    <row r="35178" spans="25:25" hidden="1" x14ac:dyDescent="0.25">
      <c r="Y35178" s="501"/>
    </row>
    <row r="35179" spans="25:25" hidden="1" x14ac:dyDescent="0.25">
      <c r="Y35179" s="501"/>
    </row>
    <row r="35180" spans="25:25" hidden="1" x14ac:dyDescent="0.25">
      <c r="Y35180" s="501"/>
    </row>
    <row r="35181" spans="25:25" hidden="1" x14ac:dyDescent="0.25">
      <c r="Y35181" s="501"/>
    </row>
    <row r="35182" spans="25:25" hidden="1" x14ac:dyDescent="0.25">
      <c r="Y35182" s="501"/>
    </row>
    <row r="35183" spans="25:25" hidden="1" x14ac:dyDescent="0.25">
      <c r="Y35183" s="501"/>
    </row>
    <row r="35184" spans="25:25" hidden="1" x14ac:dyDescent="0.25">
      <c r="Y35184" s="501"/>
    </row>
    <row r="35185" spans="25:25" hidden="1" x14ac:dyDescent="0.25">
      <c r="Y35185" s="501"/>
    </row>
    <row r="35186" spans="25:25" hidden="1" x14ac:dyDescent="0.25">
      <c r="Y35186" s="501"/>
    </row>
    <row r="35187" spans="25:25" hidden="1" x14ac:dyDescent="0.25">
      <c r="Y35187" s="501"/>
    </row>
    <row r="35188" spans="25:25" hidden="1" x14ac:dyDescent="0.25">
      <c r="Y35188" s="501"/>
    </row>
    <row r="35189" spans="25:25" hidden="1" x14ac:dyDescent="0.25">
      <c r="Y35189" s="501"/>
    </row>
    <row r="35190" spans="25:25" hidden="1" x14ac:dyDescent="0.25">
      <c r="Y35190" s="501"/>
    </row>
    <row r="35191" spans="25:25" hidden="1" x14ac:dyDescent="0.25">
      <c r="Y35191" s="501"/>
    </row>
    <row r="35192" spans="25:25" hidden="1" x14ac:dyDescent="0.25">
      <c r="Y35192" s="501"/>
    </row>
    <row r="35193" spans="25:25" hidden="1" x14ac:dyDescent="0.25">
      <c r="Y35193" s="501"/>
    </row>
    <row r="35194" spans="25:25" hidden="1" x14ac:dyDescent="0.25">
      <c r="Y35194" s="501"/>
    </row>
    <row r="35195" spans="25:25" hidden="1" x14ac:dyDescent="0.25">
      <c r="Y35195" s="501"/>
    </row>
    <row r="35196" spans="25:25" hidden="1" x14ac:dyDescent="0.25">
      <c r="Y35196" s="501"/>
    </row>
    <row r="35197" spans="25:25" hidden="1" x14ac:dyDescent="0.25">
      <c r="Y35197" s="501"/>
    </row>
    <row r="35198" spans="25:25" hidden="1" x14ac:dyDescent="0.25">
      <c r="Y35198" s="501"/>
    </row>
    <row r="35199" spans="25:25" hidden="1" x14ac:dyDescent="0.25">
      <c r="Y35199" s="501"/>
    </row>
    <row r="35200" spans="25:25" hidden="1" x14ac:dyDescent="0.25">
      <c r="Y35200" s="501"/>
    </row>
    <row r="35201" spans="25:25" hidden="1" x14ac:dyDescent="0.25">
      <c r="Y35201" s="501"/>
    </row>
    <row r="35202" spans="25:25" hidden="1" x14ac:dyDescent="0.25">
      <c r="Y35202" s="501"/>
    </row>
    <row r="35203" spans="25:25" hidden="1" x14ac:dyDescent="0.25">
      <c r="Y35203" s="501"/>
    </row>
    <row r="35204" spans="25:25" hidden="1" x14ac:dyDescent="0.25">
      <c r="Y35204" s="501"/>
    </row>
    <row r="35205" spans="25:25" hidden="1" x14ac:dyDescent="0.25">
      <c r="Y35205" s="501"/>
    </row>
    <row r="35206" spans="25:25" hidden="1" x14ac:dyDescent="0.25">
      <c r="Y35206" s="501"/>
    </row>
    <row r="35207" spans="25:25" hidden="1" x14ac:dyDescent="0.25">
      <c r="Y35207" s="501"/>
    </row>
    <row r="35208" spans="25:25" hidden="1" x14ac:dyDescent="0.25">
      <c r="Y35208" s="501"/>
    </row>
    <row r="35209" spans="25:25" hidden="1" x14ac:dyDescent="0.25">
      <c r="Y35209" s="501"/>
    </row>
    <row r="35210" spans="25:25" hidden="1" x14ac:dyDescent="0.25">
      <c r="Y35210" s="501"/>
    </row>
    <row r="35211" spans="25:25" hidden="1" x14ac:dyDescent="0.25">
      <c r="Y35211" s="501"/>
    </row>
    <row r="35212" spans="25:25" hidden="1" x14ac:dyDescent="0.25">
      <c r="Y35212" s="501"/>
    </row>
    <row r="35213" spans="25:25" hidden="1" x14ac:dyDescent="0.25">
      <c r="Y35213" s="501"/>
    </row>
    <row r="35214" spans="25:25" hidden="1" x14ac:dyDescent="0.25">
      <c r="Y35214" s="501"/>
    </row>
    <row r="35215" spans="25:25" hidden="1" x14ac:dyDescent="0.25">
      <c r="Y35215" s="501"/>
    </row>
    <row r="35216" spans="25:25" hidden="1" x14ac:dyDescent="0.25">
      <c r="Y35216" s="501"/>
    </row>
    <row r="35217" spans="25:25" hidden="1" x14ac:dyDescent="0.25">
      <c r="Y35217" s="501"/>
    </row>
    <row r="35218" spans="25:25" hidden="1" x14ac:dyDescent="0.25">
      <c r="Y35218" s="501"/>
    </row>
    <row r="35219" spans="25:25" hidden="1" x14ac:dyDescent="0.25">
      <c r="Y35219" s="501"/>
    </row>
    <row r="35220" spans="25:25" hidden="1" x14ac:dyDescent="0.25">
      <c r="Y35220" s="501"/>
    </row>
    <row r="35221" spans="25:25" hidden="1" x14ac:dyDescent="0.25">
      <c r="Y35221" s="501"/>
    </row>
    <row r="35222" spans="25:25" hidden="1" x14ac:dyDescent="0.25">
      <c r="Y35222" s="501"/>
    </row>
    <row r="35223" spans="25:25" hidden="1" x14ac:dyDescent="0.25">
      <c r="Y35223" s="501"/>
    </row>
    <row r="35224" spans="25:25" hidden="1" x14ac:dyDescent="0.25">
      <c r="Y35224" s="501"/>
    </row>
    <row r="35225" spans="25:25" hidden="1" x14ac:dyDescent="0.25">
      <c r="Y35225" s="501"/>
    </row>
    <row r="35226" spans="25:25" hidden="1" x14ac:dyDescent="0.25">
      <c r="Y35226" s="501"/>
    </row>
    <row r="35227" spans="25:25" hidden="1" x14ac:dyDescent="0.25">
      <c r="Y35227" s="501"/>
    </row>
    <row r="35228" spans="25:25" hidden="1" x14ac:dyDescent="0.25">
      <c r="Y35228" s="501"/>
    </row>
    <row r="35229" spans="25:25" hidden="1" x14ac:dyDescent="0.25">
      <c r="Y35229" s="501"/>
    </row>
    <row r="35230" spans="25:25" hidden="1" x14ac:dyDescent="0.25">
      <c r="Y35230" s="501"/>
    </row>
    <row r="35231" spans="25:25" hidden="1" x14ac:dyDescent="0.25">
      <c r="Y35231" s="501"/>
    </row>
    <row r="35232" spans="25:25" hidden="1" x14ac:dyDescent="0.25">
      <c r="Y35232" s="501"/>
    </row>
    <row r="35233" spans="25:25" hidden="1" x14ac:dyDescent="0.25">
      <c r="Y35233" s="501"/>
    </row>
    <row r="35234" spans="25:25" hidden="1" x14ac:dyDescent="0.25">
      <c r="Y35234" s="501"/>
    </row>
    <row r="35235" spans="25:25" hidden="1" x14ac:dyDescent="0.25">
      <c r="Y35235" s="501"/>
    </row>
    <row r="35236" spans="25:25" hidden="1" x14ac:dyDescent="0.25">
      <c r="Y35236" s="501"/>
    </row>
    <row r="35237" spans="25:25" hidden="1" x14ac:dyDescent="0.25">
      <c r="Y35237" s="501"/>
    </row>
    <row r="35238" spans="25:25" hidden="1" x14ac:dyDescent="0.25">
      <c r="Y35238" s="501"/>
    </row>
    <row r="35239" spans="25:25" hidden="1" x14ac:dyDescent="0.25">
      <c r="Y35239" s="501"/>
    </row>
    <row r="35240" spans="25:25" hidden="1" x14ac:dyDescent="0.25">
      <c r="Y35240" s="501"/>
    </row>
    <row r="35241" spans="25:25" hidden="1" x14ac:dyDescent="0.25">
      <c r="Y35241" s="501"/>
    </row>
    <row r="35242" spans="25:25" hidden="1" x14ac:dyDescent="0.25">
      <c r="Y35242" s="501"/>
    </row>
    <row r="35243" spans="25:25" hidden="1" x14ac:dyDescent="0.25">
      <c r="Y35243" s="501"/>
    </row>
    <row r="35244" spans="25:25" hidden="1" x14ac:dyDescent="0.25">
      <c r="Y35244" s="501"/>
    </row>
    <row r="35245" spans="25:25" hidden="1" x14ac:dyDescent="0.25">
      <c r="Y35245" s="501"/>
    </row>
    <row r="35246" spans="25:25" hidden="1" x14ac:dyDescent="0.25">
      <c r="Y35246" s="501"/>
    </row>
    <row r="35247" spans="25:25" hidden="1" x14ac:dyDescent="0.25">
      <c r="Y35247" s="501"/>
    </row>
    <row r="35248" spans="25:25" hidden="1" x14ac:dyDescent="0.25">
      <c r="Y35248" s="501"/>
    </row>
    <row r="35249" spans="25:25" hidden="1" x14ac:dyDescent="0.25">
      <c r="Y35249" s="501"/>
    </row>
    <row r="35250" spans="25:25" hidden="1" x14ac:dyDescent="0.25">
      <c r="Y35250" s="501"/>
    </row>
    <row r="35251" spans="25:25" hidden="1" x14ac:dyDescent="0.25">
      <c r="Y35251" s="501"/>
    </row>
    <row r="35252" spans="25:25" hidden="1" x14ac:dyDescent="0.25">
      <c r="Y35252" s="501"/>
    </row>
    <row r="35253" spans="25:25" hidden="1" x14ac:dyDescent="0.25">
      <c r="Y35253" s="501"/>
    </row>
    <row r="35254" spans="25:25" hidden="1" x14ac:dyDescent="0.25">
      <c r="Y35254" s="501"/>
    </row>
    <row r="35255" spans="25:25" hidden="1" x14ac:dyDescent="0.25">
      <c r="Y35255" s="501"/>
    </row>
    <row r="35256" spans="25:25" hidden="1" x14ac:dyDescent="0.25">
      <c r="Y35256" s="501"/>
    </row>
    <row r="35257" spans="25:25" hidden="1" x14ac:dyDescent="0.25">
      <c r="Y35257" s="501"/>
    </row>
    <row r="35258" spans="25:25" hidden="1" x14ac:dyDescent="0.25">
      <c r="Y35258" s="501"/>
    </row>
    <row r="35259" spans="25:25" hidden="1" x14ac:dyDescent="0.25">
      <c r="Y35259" s="501"/>
    </row>
    <row r="35260" spans="25:25" hidden="1" x14ac:dyDescent="0.25">
      <c r="Y35260" s="501"/>
    </row>
    <row r="35261" spans="25:25" hidden="1" x14ac:dyDescent="0.25">
      <c r="Y35261" s="501"/>
    </row>
    <row r="35262" spans="25:25" hidden="1" x14ac:dyDescent="0.25">
      <c r="Y35262" s="501"/>
    </row>
    <row r="35263" spans="25:25" hidden="1" x14ac:dyDescent="0.25">
      <c r="Y35263" s="501"/>
    </row>
    <row r="35264" spans="25:25" hidden="1" x14ac:dyDescent="0.25">
      <c r="Y35264" s="501"/>
    </row>
    <row r="35265" spans="25:25" hidden="1" x14ac:dyDescent="0.25">
      <c r="Y35265" s="501"/>
    </row>
    <row r="35266" spans="25:25" hidden="1" x14ac:dyDescent="0.25">
      <c r="Y35266" s="501"/>
    </row>
    <row r="35267" spans="25:25" hidden="1" x14ac:dyDescent="0.25">
      <c r="Y35267" s="501"/>
    </row>
    <row r="35268" spans="25:25" hidden="1" x14ac:dyDescent="0.25">
      <c r="Y35268" s="501"/>
    </row>
    <row r="35269" spans="25:25" hidden="1" x14ac:dyDescent="0.25">
      <c r="Y35269" s="501"/>
    </row>
    <row r="35270" spans="25:25" hidden="1" x14ac:dyDescent="0.25">
      <c r="Y35270" s="501"/>
    </row>
    <row r="35271" spans="25:25" hidden="1" x14ac:dyDescent="0.25">
      <c r="Y35271" s="501"/>
    </row>
    <row r="35272" spans="25:25" hidden="1" x14ac:dyDescent="0.25">
      <c r="Y35272" s="501"/>
    </row>
    <row r="35273" spans="25:25" hidden="1" x14ac:dyDescent="0.25">
      <c r="Y35273" s="501"/>
    </row>
    <row r="35274" spans="25:25" hidden="1" x14ac:dyDescent="0.25">
      <c r="Y35274" s="501"/>
    </row>
    <row r="35275" spans="25:25" hidden="1" x14ac:dyDescent="0.25">
      <c r="Y35275" s="501"/>
    </row>
    <row r="35276" spans="25:25" hidden="1" x14ac:dyDescent="0.25">
      <c r="Y35276" s="501"/>
    </row>
    <row r="35277" spans="25:25" hidden="1" x14ac:dyDescent="0.25">
      <c r="Y35277" s="501"/>
    </row>
    <row r="35278" spans="25:25" hidden="1" x14ac:dyDescent="0.25">
      <c r="Y35278" s="501"/>
    </row>
    <row r="35279" spans="25:25" hidden="1" x14ac:dyDescent="0.25">
      <c r="Y35279" s="501"/>
    </row>
    <row r="35280" spans="25:25" hidden="1" x14ac:dyDescent="0.25">
      <c r="Y35280" s="501"/>
    </row>
    <row r="35281" spans="25:25" hidden="1" x14ac:dyDescent="0.25">
      <c r="Y35281" s="501"/>
    </row>
    <row r="35282" spans="25:25" hidden="1" x14ac:dyDescent="0.25">
      <c r="Y35282" s="501"/>
    </row>
    <row r="35283" spans="25:25" hidden="1" x14ac:dyDescent="0.25">
      <c r="Y35283" s="501"/>
    </row>
    <row r="35284" spans="25:25" hidden="1" x14ac:dyDescent="0.25">
      <c r="Y35284" s="501"/>
    </row>
    <row r="35285" spans="25:25" hidden="1" x14ac:dyDescent="0.25">
      <c r="Y35285" s="501"/>
    </row>
    <row r="35286" spans="25:25" hidden="1" x14ac:dyDescent="0.25">
      <c r="Y35286" s="501"/>
    </row>
    <row r="35287" spans="25:25" hidden="1" x14ac:dyDescent="0.25">
      <c r="Y35287" s="501"/>
    </row>
    <row r="35288" spans="25:25" hidden="1" x14ac:dyDescent="0.25">
      <c r="Y35288" s="501"/>
    </row>
    <row r="35289" spans="25:25" hidden="1" x14ac:dyDescent="0.25">
      <c r="Y35289" s="501"/>
    </row>
    <row r="35290" spans="25:25" hidden="1" x14ac:dyDescent="0.25">
      <c r="Y35290" s="501"/>
    </row>
    <row r="35291" spans="25:25" hidden="1" x14ac:dyDescent="0.25">
      <c r="Y35291" s="501"/>
    </row>
    <row r="35292" spans="25:25" hidden="1" x14ac:dyDescent="0.25">
      <c r="Y35292" s="501"/>
    </row>
    <row r="35293" spans="25:25" hidden="1" x14ac:dyDescent="0.25">
      <c r="Y35293" s="501"/>
    </row>
    <row r="35294" spans="25:25" hidden="1" x14ac:dyDescent="0.25">
      <c r="Y35294" s="501"/>
    </row>
    <row r="35295" spans="25:25" hidden="1" x14ac:dyDescent="0.25">
      <c r="Y35295" s="501"/>
    </row>
    <row r="35296" spans="25:25" hidden="1" x14ac:dyDescent="0.25">
      <c r="Y35296" s="501"/>
    </row>
    <row r="35297" spans="25:25" hidden="1" x14ac:dyDescent="0.25">
      <c r="Y35297" s="501"/>
    </row>
    <row r="35298" spans="25:25" hidden="1" x14ac:dyDescent="0.25">
      <c r="Y35298" s="501"/>
    </row>
    <row r="35299" spans="25:25" hidden="1" x14ac:dyDescent="0.25">
      <c r="Y35299" s="501"/>
    </row>
    <row r="35300" spans="25:25" hidden="1" x14ac:dyDescent="0.25">
      <c r="Y35300" s="501"/>
    </row>
    <row r="35301" spans="25:25" hidden="1" x14ac:dyDescent="0.25">
      <c r="Y35301" s="501"/>
    </row>
    <row r="35302" spans="25:25" hidden="1" x14ac:dyDescent="0.25">
      <c r="Y35302" s="501"/>
    </row>
    <row r="35303" spans="25:25" hidden="1" x14ac:dyDescent="0.25">
      <c r="Y35303" s="501"/>
    </row>
    <row r="35304" spans="25:25" hidden="1" x14ac:dyDescent="0.25">
      <c r="Y35304" s="501"/>
    </row>
    <row r="35305" spans="25:25" hidden="1" x14ac:dyDescent="0.25">
      <c r="Y35305" s="501"/>
    </row>
    <row r="35306" spans="25:25" hidden="1" x14ac:dyDescent="0.25">
      <c r="Y35306" s="501"/>
    </row>
    <row r="35307" spans="25:25" hidden="1" x14ac:dyDescent="0.25">
      <c r="Y35307" s="501"/>
    </row>
    <row r="35308" spans="25:25" hidden="1" x14ac:dyDescent="0.25">
      <c r="Y35308" s="501"/>
    </row>
    <row r="35309" spans="25:25" hidden="1" x14ac:dyDescent="0.25">
      <c r="Y35309" s="501"/>
    </row>
    <row r="35310" spans="25:25" hidden="1" x14ac:dyDescent="0.25">
      <c r="Y35310" s="501"/>
    </row>
    <row r="35311" spans="25:25" hidden="1" x14ac:dyDescent="0.25">
      <c r="Y35311" s="501"/>
    </row>
    <row r="35312" spans="25:25" hidden="1" x14ac:dyDescent="0.25">
      <c r="Y35312" s="501"/>
    </row>
    <row r="35313" spans="25:25" hidden="1" x14ac:dyDescent="0.25">
      <c r="Y35313" s="501"/>
    </row>
    <row r="35314" spans="25:25" hidden="1" x14ac:dyDescent="0.25">
      <c r="Y35314" s="501"/>
    </row>
    <row r="35315" spans="25:25" hidden="1" x14ac:dyDescent="0.25">
      <c r="Y35315" s="501"/>
    </row>
    <row r="35316" spans="25:25" hidden="1" x14ac:dyDescent="0.25">
      <c r="Y35316" s="501"/>
    </row>
    <row r="35317" spans="25:25" hidden="1" x14ac:dyDescent="0.25">
      <c r="Y35317" s="501"/>
    </row>
    <row r="35318" spans="25:25" hidden="1" x14ac:dyDescent="0.25">
      <c r="Y35318" s="501"/>
    </row>
    <row r="35319" spans="25:25" hidden="1" x14ac:dyDescent="0.25">
      <c r="Y35319" s="501"/>
    </row>
    <row r="35320" spans="25:25" hidden="1" x14ac:dyDescent="0.25">
      <c r="Y35320" s="501"/>
    </row>
    <row r="35321" spans="25:25" hidden="1" x14ac:dyDescent="0.25">
      <c r="Y35321" s="501"/>
    </row>
    <row r="35322" spans="25:25" hidden="1" x14ac:dyDescent="0.25">
      <c r="Y35322" s="501"/>
    </row>
    <row r="35323" spans="25:25" hidden="1" x14ac:dyDescent="0.25">
      <c r="Y35323" s="501"/>
    </row>
    <row r="35324" spans="25:25" hidden="1" x14ac:dyDescent="0.25">
      <c r="Y35324" s="501"/>
    </row>
    <row r="35325" spans="25:25" hidden="1" x14ac:dyDescent="0.25">
      <c r="Y35325" s="501"/>
    </row>
    <row r="35326" spans="25:25" hidden="1" x14ac:dyDescent="0.25">
      <c r="Y35326" s="501"/>
    </row>
    <row r="35327" spans="25:25" hidden="1" x14ac:dyDescent="0.25">
      <c r="Y35327" s="501"/>
    </row>
    <row r="35328" spans="25:25" hidden="1" x14ac:dyDescent="0.25">
      <c r="Y35328" s="501"/>
    </row>
    <row r="35329" spans="25:25" hidden="1" x14ac:dyDescent="0.25">
      <c r="Y35329" s="501"/>
    </row>
    <row r="35330" spans="25:25" hidden="1" x14ac:dyDescent="0.25">
      <c r="Y35330" s="501"/>
    </row>
    <row r="35331" spans="25:25" hidden="1" x14ac:dyDescent="0.25">
      <c r="Y35331" s="501"/>
    </row>
    <row r="35332" spans="25:25" hidden="1" x14ac:dyDescent="0.25">
      <c r="Y35332" s="501"/>
    </row>
    <row r="35333" spans="25:25" hidden="1" x14ac:dyDescent="0.25">
      <c r="Y35333" s="501"/>
    </row>
    <row r="35334" spans="25:25" hidden="1" x14ac:dyDescent="0.25">
      <c r="Y35334" s="501"/>
    </row>
    <row r="35335" spans="25:25" hidden="1" x14ac:dyDescent="0.25">
      <c r="Y35335" s="501"/>
    </row>
    <row r="35336" spans="25:25" hidden="1" x14ac:dyDescent="0.25">
      <c r="Y35336" s="501"/>
    </row>
    <row r="35337" spans="25:25" hidden="1" x14ac:dyDescent="0.25">
      <c r="Y35337" s="501"/>
    </row>
    <row r="35338" spans="25:25" hidden="1" x14ac:dyDescent="0.25">
      <c r="Y35338" s="501"/>
    </row>
    <row r="35339" spans="25:25" hidden="1" x14ac:dyDescent="0.25">
      <c r="Y35339" s="501"/>
    </row>
    <row r="35340" spans="25:25" hidden="1" x14ac:dyDescent="0.25">
      <c r="Y35340" s="501"/>
    </row>
    <row r="35341" spans="25:25" hidden="1" x14ac:dyDescent="0.25">
      <c r="Y35341" s="501"/>
    </row>
    <row r="35342" spans="25:25" hidden="1" x14ac:dyDescent="0.25">
      <c r="Y35342" s="501"/>
    </row>
    <row r="35343" spans="25:25" hidden="1" x14ac:dyDescent="0.25">
      <c r="Y35343" s="501"/>
    </row>
    <row r="35344" spans="25:25" hidden="1" x14ac:dyDescent="0.25">
      <c r="Y35344" s="501"/>
    </row>
    <row r="35345" spans="25:25" hidden="1" x14ac:dyDescent="0.25">
      <c r="Y35345" s="501"/>
    </row>
    <row r="35346" spans="25:25" hidden="1" x14ac:dyDescent="0.25">
      <c r="Y35346" s="501"/>
    </row>
    <row r="35347" spans="25:25" hidden="1" x14ac:dyDescent="0.25">
      <c r="Y35347" s="501"/>
    </row>
    <row r="35348" spans="25:25" hidden="1" x14ac:dyDescent="0.25">
      <c r="Y35348" s="501"/>
    </row>
    <row r="35349" spans="25:25" hidden="1" x14ac:dyDescent="0.25">
      <c r="Y35349" s="501"/>
    </row>
    <row r="35350" spans="25:25" hidden="1" x14ac:dyDescent="0.25">
      <c r="Y35350" s="501"/>
    </row>
    <row r="35351" spans="25:25" hidden="1" x14ac:dyDescent="0.25">
      <c r="Y35351" s="501"/>
    </row>
    <row r="35352" spans="25:25" hidden="1" x14ac:dyDescent="0.25">
      <c r="Y35352" s="501"/>
    </row>
    <row r="35353" spans="25:25" hidden="1" x14ac:dyDescent="0.25">
      <c r="Y35353" s="501"/>
    </row>
    <row r="35354" spans="25:25" hidden="1" x14ac:dyDescent="0.25">
      <c r="Y35354" s="501"/>
    </row>
    <row r="35355" spans="25:25" hidden="1" x14ac:dyDescent="0.25">
      <c r="Y35355" s="501"/>
    </row>
    <row r="35356" spans="25:25" hidden="1" x14ac:dyDescent="0.25">
      <c r="Y35356" s="501"/>
    </row>
    <row r="35357" spans="25:25" hidden="1" x14ac:dyDescent="0.25">
      <c r="Y35357" s="501"/>
    </row>
    <row r="35358" spans="25:25" hidden="1" x14ac:dyDescent="0.25">
      <c r="Y35358" s="501"/>
    </row>
    <row r="35359" spans="25:25" hidden="1" x14ac:dyDescent="0.25">
      <c r="Y35359" s="501"/>
    </row>
    <row r="35360" spans="25:25" hidden="1" x14ac:dyDescent="0.25">
      <c r="Y35360" s="501"/>
    </row>
    <row r="35361" spans="25:25" hidden="1" x14ac:dyDescent="0.25">
      <c r="Y35361" s="501"/>
    </row>
    <row r="35362" spans="25:25" hidden="1" x14ac:dyDescent="0.25">
      <c r="Y35362" s="501"/>
    </row>
    <row r="35363" spans="25:25" hidden="1" x14ac:dyDescent="0.25">
      <c r="Y35363" s="501"/>
    </row>
    <row r="35364" spans="25:25" hidden="1" x14ac:dyDescent="0.25">
      <c r="Y35364" s="501"/>
    </row>
    <row r="35365" spans="25:25" hidden="1" x14ac:dyDescent="0.25">
      <c r="Y35365" s="501"/>
    </row>
    <row r="35366" spans="25:25" hidden="1" x14ac:dyDescent="0.25">
      <c r="Y35366" s="501"/>
    </row>
    <row r="35367" spans="25:25" hidden="1" x14ac:dyDescent="0.25">
      <c r="Y35367" s="501"/>
    </row>
    <row r="35368" spans="25:25" hidden="1" x14ac:dyDescent="0.25">
      <c r="Y35368" s="501"/>
    </row>
    <row r="35369" spans="25:25" hidden="1" x14ac:dyDescent="0.25">
      <c r="Y35369" s="501"/>
    </row>
    <row r="35370" spans="25:25" hidden="1" x14ac:dyDescent="0.25">
      <c r="Y35370" s="501"/>
    </row>
    <row r="35371" spans="25:25" hidden="1" x14ac:dyDescent="0.25">
      <c r="Y35371" s="501"/>
    </row>
    <row r="35372" spans="25:25" hidden="1" x14ac:dyDescent="0.25">
      <c r="Y35372" s="501"/>
    </row>
    <row r="35373" spans="25:25" hidden="1" x14ac:dyDescent="0.25">
      <c r="Y35373" s="501"/>
    </row>
    <row r="35374" spans="25:25" hidden="1" x14ac:dyDescent="0.25">
      <c r="Y35374" s="501"/>
    </row>
    <row r="35375" spans="25:25" hidden="1" x14ac:dyDescent="0.25">
      <c r="Y35375" s="501"/>
    </row>
    <row r="35376" spans="25:25" hidden="1" x14ac:dyDescent="0.25">
      <c r="Y35376" s="501"/>
    </row>
    <row r="35377" spans="25:25" hidden="1" x14ac:dyDescent="0.25">
      <c r="Y35377" s="501"/>
    </row>
    <row r="35378" spans="25:25" hidden="1" x14ac:dyDescent="0.25">
      <c r="Y35378" s="501"/>
    </row>
    <row r="35379" spans="25:25" hidden="1" x14ac:dyDescent="0.25">
      <c r="Y35379" s="501"/>
    </row>
    <row r="35380" spans="25:25" hidden="1" x14ac:dyDescent="0.25">
      <c r="Y35380" s="501"/>
    </row>
    <row r="35381" spans="25:25" hidden="1" x14ac:dyDescent="0.25">
      <c r="Y35381" s="501"/>
    </row>
    <row r="35382" spans="25:25" hidden="1" x14ac:dyDescent="0.25">
      <c r="Y35382" s="501"/>
    </row>
    <row r="35383" spans="25:25" hidden="1" x14ac:dyDescent="0.25">
      <c r="Y35383" s="501"/>
    </row>
    <row r="35384" spans="25:25" hidden="1" x14ac:dyDescent="0.25">
      <c r="Y35384" s="501"/>
    </row>
    <row r="35385" spans="25:25" hidden="1" x14ac:dyDescent="0.25">
      <c r="Y35385" s="501"/>
    </row>
    <row r="35386" spans="25:25" hidden="1" x14ac:dyDescent="0.25">
      <c r="Y35386" s="501"/>
    </row>
    <row r="35387" spans="25:25" hidden="1" x14ac:dyDescent="0.25">
      <c r="Y35387" s="501"/>
    </row>
    <row r="35388" spans="25:25" hidden="1" x14ac:dyDescent="0.25">
      <c r="Y35388" s="501"/>
    </row>
    <row r="35389" spans="25:25" hidden="1" x14ac:dyDescent="0.25">
      <c r="Y35389" s="501"/>
    </row>
    <row r="35390" spans="25:25" hidden="1" x14ac:dyDescent="0.25">
      <c r="Y35390" s="501"/>
    </row>
    <row r="35391" spans="25:25" hidden="1" x14ac:dyDescent="0.25">
      <c r="Y35391" s="501"/>
    </row>
    <row r="35392" spans="25:25" hidden="1" x14ac:dyDescent="0.25">
      <c r="Y35392" s="501"/>
    </row>
    <row r="35393" spans="25:25" hidden="1" x14ac:dyDescent="0.25">
      <c r="Y35393" s="501"/>
    </row>
    <row r="35394" spans="25:25" hidden="1" x14ac:dyDescent="0.25">
      <c r="Y35394" s="501"/>
    </row>
    <row r="35395" spans="25:25" hidden="1" x14ac:dyDescent="0.25">
      <c r="Y35395" s="501"/>
    </row>
    <row r="35396" spans="25:25" hidden="1" x14ac:dyDescent="0.25">
      <c r="Y35396" s="501"/>
    </row>
    <row r="35397" spans="25:25" hidden="1" x14ac:dyDescent="0.25">
      <c r="Y35397" s="501"/>
    </row>
    <row r="35398" spans="25:25" hidden="1" x14ac:dyDescent="0.25">
      <c r="Y35398" s="501"/>
    </row>
    <row r="35399" spans="25:25" hidden="1" x14ac:dyDescent="0.25">
      <c r="Y35399" s="501"/>
    </row>
    <row r="35400" spans="25:25" hidden="1" x14ac:dyDescent="0.25">
      <c r="Y35400" s="501"/>
    </row>
    <row r="35401" spans="25:25" hidden="1" x14ac:dyDescent="0.25">
      <c r="Y35401" s="501"/>
    </row>
    <row r="35402" spans="25:25" hidden="1" x14ac:dyDescent="0.25">
      <c r="Y35402" s="501"/>
    </row>
    <row r="35403" spans="25:25" hidden="1" x14ac:dyDescent="0.25">
      <c r="Y35403" s="501"/>
    </row>
    <row r="35404" spans="25:25" hidden="1" x14ac:dyDescent="0.25">
      <c r="Y35404" s="501"/>
    </row>
    <row r="35405" spans="25:25" hidden="1" x14ac:dyDescent="0.25">
      <c r="Y35405" s="501"/>
    </row>
    <row r="35406" spans="25:25" hidden="1" x14ac:dyDescent="0.25">
      <c r="Y35406" s="501"/>
    </row>
    <row r="35407" spans="25:25" hidden="1" x14ac:dyDescent="0.25">
      <c r="Y35407" s="501"/>
    </row>
    <row r="35408" spans="25:25" hidden="1" x14ac:dyDescent="0.25">
      <c r="Y35408" s="501"/>
    </row>
    <row r="35409" spans="25:25" hidden="1" x14ac:dyDescent="0.25">
      <c r="Y35409" s="501"/>
    </row>
    <row r="35410" spans="25:25" hidden="1" x14ac:dyDescent="0.25">
      <c r="Y35410" s="501"/>
    </row>
    <row r="35411" spans="25:25" hidden="1" x14ac:dyDescent="0.25">
      <c r="Y35411" s="501"/>
    </row>
    <row r="35412" spans="25:25" hidden="1" x14ac:dyDescent="0.25">
      <c r="Y35412" s="501"/>
    </row>
    <row r="35413" spans="25:25" hidden="1" x14ac:dyDescent="0.25">
      <c r="Y35413" s="501"/>
    </row>
    <row r="35414" spans="25:25" hidden="1" x14ac:dyDescent="0.25">
      <c r="Y35414" s="501"/>
    </row>
    <row r="35415" spans="25:25" hidden="1" x14ac:dyDescent="0.25">
      <c r="Y35415" s="501"/>
    </row>
    <row r="35416" spans="25:25" hidden="1" x14ac:dyDescent="0.25">
      <c r="Y35416" s="501"/>
    </row>
    <row r="35417" spans="25:25" hidden="1" x14ac:dyDescent="0.25">
      <c r="Y35417" s="501"/>
    </row>
    <row r="35418" spans="25:25" hidden="1" x14ac:dyDescent="0.25">
      <c r="Y35418" s="501"/>
    </row>
    <row r="35419" spans="25:25" hidden="1" x14ac:dyDescent="0.25">
      <c r="Y35419" s="501"/>
    </row>
    <row r="35420" spans="25:25" hidden="1" x14ac:dyDescent="0.25">
      <c r="Y35420" s="501"/>
    </row>
    <row r="35421" spans="25:25" hidden="1" x14ac:dyDescent="0.25">
      <c r="Y35421" s="501"/>
    </row>
    <row r="35422" spans="25:25" hidden="1" x14ac:dyDescent="0.25">
      <c r="Y35422" s="501"/>
    </row>
    <row r="35423" spans="25:25" hidden="1" x14ac:dyDescent="0.25">
      <c r="Y35423" s="501"/>
    </row>
    <row r="35424" spans="25:25" hidden="1" x14ac:dyDescent="0.25">
      <c r="Y35424" s="501"/>
    </row>
    <row r="35425" spans="25:25" hidden="1" x14ac:dyDescent="0.25">
      <c r="Y35425" s="501"/>
    </row>
    <row r="35426" spans="25:25" hidden="1" x14ac:dyDescent="0.25">
      <c r="Y35426" s="501"/>
    </row>
    <row r="35427" spans="25:25" hidden="1" x14ac:dyDescent="0.25">
      <c r="Y35427" s="501"/>
    </row>
    <row r="35428" spans="25:25" hidden="1" x14ac:dyDescent="0.25">
      <c r="Y35428" s="501"/>
    </row>
    <row r="35429" spans="25:25" hidden="1" x14ac:dyDescent="0.25">
      <c r="Y35429" s="501"/>
    </row>
    <row r="35430" spans="25:25" hidden="1" x14ac:dyDescent="0.25">
      <c r="Y35430" s="501"/>
    </row>
    <row r="35431" spans="25:25" hidden="1" x14ac:dyDescent="0.25">
      <c r="Y35431" s="501"/>
    </row>
    <row r="35432" spans="25:25" hidden="1" x14ac:dyDescent="0.25">
      <c r="Y35432" s="501"/>
    </row>
    <row r="35433" spans="25:25" hidden="1" x14ac:dyDescent="0.25">
      <c r="Y35433" s="501"/>
    </row>
    <row r="35434" spans="25:25" hidden="1" x14ac:dyDescent="0.25">
      <c r="Y35434" s="501"/>
    </row>
    <row r="35435" spans="25:25" hidden="1" x14ac:dyDescent="0.25">
      <c r="Y35435" s="501"/>
    </row>
    <row r="35436" spans="25:25" hidden="1" x14ac:dyDescent="0.25">
      <c r="Y35436" s="501"/>
    </row>
    <row r="35437" spans="25:25" hidden="1" x14ac:dyDescent="0.25">
      <c r="Y35437" s="501"/>
    </row>
    <row r="35438" spans="25:25" hidden="1" x14ac:dyDescent="0.25">
      <c r="Y35438" s="501"/>
    </row>
    <row r="35439" spans="25:25" hidden="1" x14ac:dyDescent="0.25">
      <c r="Y35439" s="501"/>
    </row>
    <row r="35440" spans="25:25" hidden="1" x14ac:dyDescent="0.25">
      <c r="Y35440" s="501"/>
    </row>
    <row r="35441" spans="25:25" hidden="1" x14ac:dyDescent="0.25">
      <c r="Y35441" s="501"/>
    </row>
    <row r="35442" spans="25:25" hidden="1" x14ac:dyDescent="0.25">
      <c r="Y35442" s="501"/>
    </row>
    <row r="35443" spans="25:25" hidden="1" x14ac:dyDescent="0.25">
      <c r="Y35443" s="501"/>
    </row>
    <row r="35444" spans="25:25" hidden="1" x14ac:dyDescent="0.25">
      <c r="Y35444" s="501"/>
    </row>
    <row r="35445" spans="25:25" hidden="1" x14ac:dyDescent="0.25">
      <c r="Y35445" s="501"/>
    </row>
    <row r="35446" spans="25:25" hidden="1" x14ac:dyDescent="0.25">
      <c r="Y35446" s="501"/>
    </row>
    <row r="35447" spans="25:25" hidden="1" x14ac:dyDescent="0.25">
      <c r="Y35447" s="501"/>
    </row>
    <row r="35448" spans="25:25" hidden="1" x14ac:dyDescent="0.25">
      <c r="Y35448" s="501"/>
    </row>
    <row r="35449" spans="25:25" hidden="1" x14ac:dyDescent="0.25">
      <c r="Y35449" s="501"/>
    </row>
    <row r="35450" spans="25:25" hidden="1" x14ac:dyDescent="0.25">
      <c r="Y35450" s="501"/>
    </row>
    <row r="35451" spans="25:25" hidden="1" x14ac:dyDescent="0.25">
      <c r="Y35451" s="501"/>
    </row>
    <row r="35452" spans="25:25" hidden="1" x14ac:dyDescent="0.25">
      <c r="Y35452" s="501"/>
    </row>
    <row r="35453" spans="25:25" hidden="1" x14ac:dyDescent="0.25">
      <c r="Y35453" s="501"/>
    </row>
    <row r="35454" spans="25:25" hidden="1" x14ac:dyDescent="0.25">
      <c r="Y35454" s="501"/>
    </row>
    <row r="35455" spans="25:25" hidden="1" x14ac:dyDescent="0.25">
      <c r="Y35455" s="501"/>
    </row>
    <row r="35456" spans="25:25" hidden="1" x14ac:dyDescent="0.25">
      <c r="Y35456" s="501"/>
    </row>
    <row r="35457" spans="25:25" hidden="1" x14ac:dyDescent="0.25">
      <c r="Y35457" s="501"/>
    </row>
    <row r="35458" spans="25:25" hidden="1" x14ac:dyDescent="0.25">
      <c r="Y35458" s="501"/>
    </row>
    <row r="35459" spans="25:25" hidden="1" x14ac:dyDescent="0.25">
      <c r="Y35459" s="501"/>
    </row>
    <row r="35460" spans="25:25" hidden="1" x14ac:dyDescent="0.25">
      <c r="Y35460" s="501"/>
    </row>
    <row r="35461" spans="25:25" hidden="1" x14ac:dyDescent="0.25">
      <c r="Y35461" s="501"/>
    </row>
    <row r="35462" spans="25:25" hidden="1" x14ac:dyDescent="0.25">
      <c r="Y35462" s="501"/>
    </row>
    <row r="35463" spans="25:25" hidden="1" x14ac:dyDescent="0.25">
      <c r="Y35463" s="501"/>
    </row>
    <row r="35464" spans="25:25" hidden="1" x14ac:dyDescent="0.25">
      <c r="Y35464" s="501"/>
    </row>
    <row r="35465" spans="25:25" hidden="1" x14ac:dyDescent="0.25">
      <c r="Y35465" s="501"/>
    </row>
    <row r="35466" spans="25:25" hidden="1" x14ac:dyDescent="0.25">
      <c r="Y35466" s="501"/>
    </row>
    <row r="35467" spans="25:25" hidden="1" x14ac:dyDescent="0.25">
      <c r="Y35467" s="501"/>
    </row>
    <row r="35468" spans="25:25" hidden="1" x14ac:dyDescent="0.25">
      <c r="Y35468" s="501"/>
    </row>
    <row r="35469" spans="25:25" hidden="1" x14ac:dyDescent="0.25">
      <c r="Y35469" s="501"/>
    </row>
    <row r="35470" spans="25:25" hidden="1" x14ac:dyDescent="0.25">
      <c r="Y35470" s="501"/>
    </row>
    <row r="35471" spans="25:25" hidden="1" x14ac:dyDescent="0.25">
      <c r="Y35471" s="501"/>
    </row>
    <row r="35472" spans="25:25" hidden="1" x14ac:dyDescent="0.25">
      <c r="Y35472" s="501"/>
    </row>
    <row r="35473" spans="25:25" hidden="1" x14ac:dyDescent="0.25">
      <c r="Y35473" s="501"/>
    </row>
    <row r="35474" spans="25:25" hidden="1" x14ac:dyDescent="0.25">
      <c r="Y35474" s="501"/>
    </row>
    <row r="35475" spans="25:25" hidden="1" x14ac:dyDescent="0.25">
      <c r="Y35475" s="501"/>
    </row>
    <row r="35476" spans="25:25" hidden="1" x14ac:dyDescent="0.25">
      <c r="Y35476" s="501"/>
    </row>
    <row r="35477" spans="25:25" hidden="1" x14ac:dyDescent="0.25">
      <c r="Y35477" s="501"/>
    </row>
    <row r="35478" spans="25:25" hidden="1" x14ac:dyDescent="0.25">
      <c r="Y35478" s="501"/>
    </row>
    <row r="35479" spans="25:25" hidden="1" x14ac:dyDescent="0.25">
      <c r="Y35479" s="501"/>
    </row>
    <row r="35480" spans="25:25" hidden="1" x14ac:dyDescent="0.25">
      <c r="Y35480" s="501"/>
    </row>
    <row r="35481" spans="25:25" hidden="1" x14ac:dyDescent="0.25">
      <c r="Y35481" s="501"/>
    </row>
    <row r="35482" spans="25:25" hidden="1" x14ac:dyDescent="0.25">
      <c r="Y35482" s="501"/>
    </row>
    <row r="35483" spans="25:25" hidden="1" x14ac:dyDescent="0.25">
      <c r="Y35483" s="501"/>
    </row>
    <row r="35484" spans="25:25" hidden="1" x14ac:dyDescent="0.25">
      <c r="Y35484" s="501"/>
    </row>
    <row r="35485" spans="25:25" hidden="1" x14ac:dyDescent="0.25">
      <c r="Y35485" s="501"/>
    </row>
    <row r="35486" spans="25:25" hidden="1" x14ac:dyDescent="0.25">
      <c r="Y35486" s="501"/>
    </row>
    <row r="35487" spans="25:25" hidden="1" x14ac:dyDescent="0.25">
      <c r="Y35487" s="501"/>
    </row>
    <row r="35488" spans="25:25" hidden="1" x14ac:dyDescent="0.25">
      <c r="Y35488" s="501"/>
    </row>
    <row r="35489" spans="25:25" hidden="1" x14ac:dyDescent="0.25">
      <c r="Y35489" s="501"/>
    </row>
    <row r="35490" spans="25:25" hidden="1" x14ac:dyDescent="0.25">
      <c r="Y35490" s="501"/>
    </row>
    <row r="35491" spans="25:25" hidden="1" x14ac:dyDescent="0.25">
      <c r="Y35491" s="501"/>
    </row>
    <row r="35492" spans="25:25" hidden="1" x14ac:dyDescent="0.25">
      <c r="Y35492" s="501"/>
    </row>
    <row r="35493" spans="25:25" hidden="1" x14ac:dyDescent="0.25">
      <c r="Y35493" s="501"/>
    </row>
    <row r="35494" spans="25:25" hidden="1" x14ac:dyDescent="0.25">
      <c r="Y35494" s="501"/>
    </row>
    <row r="35495" spans="25:25" hidden="1" x14ac:dyDescent="0.25">
      <c r="Y35495" s="501"/>
    </row>
    <row r="35496" spans="25:25" hidden="1" x14ac:dyDescent="0.25">
      <c r="Y35496" s="501"/>
    </row>
    <row r="35497" spans="25:25" hidden="1" x14ac:dyDescent="0.25">
      <c r="Y35497" s="501"/>
    </row>
    <row r="35498" spans="25:25" hidden="1" x14ac:dyDescent="0.25">
      <c r="Y35498" s="501"/>
    </row>
    <row r="35499" spans="25:25" hidden="1" x14ac:dyDescent="0.25">
      <c r="Y35499" s="501"/>
    </row>
    <row r="35500" spans="25:25" hidden="1" x14ac:dyDescent="0.25">
      <c r="Y35500" s="501"/>
    </row>
    <row r="35501" spans="25:25" hidden="1" x14ac:dyDescent="0.25">
      <c r="Y35501" s="501"/>
    </row>
    <row r="35502" spans="25:25" hidden="1" x14ac:dyDescent="0.25">
      <c r="Y35502" s="501"/>
    </row>
    <row r="35503" spans="25:25" hidden="1" x14ac:dyDescent="0.25">
      <c r="Y35503" s="501"/>
    </row>
    <row r="35504" spans="25:25" hidden="1" x14ac:dyDescent="0.25">
      <c r="Y35504" s="501"/>
    </row>
    <row r="35505" spans="25:25" hidden="1" x14ac:dyDescent="0.25">
      <c r="Y35505" s="501"/>
    </row>
    <row r="35506" spans="25:25" hidden="1" x14ac:dyDescent="0.25">
      <c r="Y35506" s="501"/>
    </row>
    <row r="35507" spans="25:25" hidden="1" x14ac:dyDescent="0.25">
      <c r="Y35507" s="501"/>
    </row>
    <row r="35508" spans="25:25" hidden="1" x14ac:dyDescent="0.25">
      <c r="Y35508" s="501"/>
    </row>
    <row r="35509" spans="25:25" hidden="1" x14ac:dyDescent="0.25">
      <c r="Y35509" s="501"/>
    </row>
    <row r="35510" spans="25:25" hidden="1" x14ac:dyDescent="0.25">
      <c r="Y35510" s="501"/>
    </row>
    <row r="35511" spans="25:25" hidden="1" x14ac:dyDescent="0.25">
      <c r="Y35511" s="501"/>
    </row>
    <row r="35512" spans="25:25" hidden="1" x14ac:dyDescent="0.25">
      <c r="Y35512" s="501"/>
    </row>
    <row r="35513" spans="25:25" hidden="1" x14ac:dyDescent="0.25">
      <c r="Y35513" s="501"/>
    </row>
    <row r="35514" spans="25:25" hidden="1" x14ac:dyDescent="0.25">
      <c r="Y35514" s="501"/>
    </row>
    <row r="35515" spans="25:25" hidden="1" x14ac:dyDescent="0.25">
      <c r="Y35515" s="501"/>
    </row>
    <row r="35516" spans="25:25" hidden="1" x14ac:dyDescent="0.25">
      <c r="Y35516" s="501"/>
    </row>
    <row r="35517" spans="25:25" hidden="1" x14ac:dyDescent="0.25">
      <c r="Y35517" s="501"/>
    </row>
    <row r="35518" spans="25:25" hidden="1" x14ac:dyDescent="0.25">
      <c r="Y35518" s="501"/>
    </row>
    <row r="35519" spans="25:25" hidden="1" x14ac:dyDescent="0.25">
      <c r="Y35519" s="501"/>
    </row>
    <row r="35520" spans="25:25" hidden="1" x14ac:dyDescent="0.25">
      <c r="Y35520" s="501"/>
    </row>
    <row r="35521" spans="25:25" hidden="1" x14ac:dyDescent="0.25">
      <c r="Y35521" s="501"/>
    </row>
    <row r="35522" spans="25:25" hidden="1" x14ac:dyDescent="0.25">
      <c r="Y35522" s="501"/>
    </row>
    <row r="35523" spans="25:25" hidden="1" x14ac:dyDescent="0.25">
      <c r="Y35523" s="501"/>
    </row>
    <row r="35524" spans="25:25" hidden="1" x14ac:dyDescent="0.25">
      <c r="Y35524" s="501"/>
    </row>
    <row r="35525" spans="25:25" hidden="1" x14ac:dyDescent="0.25">
      <c r="Y35525" s="501"/>
    </row>
    <row r="35526" spans="25:25" hidden="1" x14ac:dyDescent="0.25">
      <c r="Y35526" s="501"/>
    </row>
    <row r="35527" spans="25:25" hidden="1" x14ac:dyDescent="0.25">
      <c r="Y35527" s="501"/>
    </row>
    <row r="35528" spans="25:25" hidden="1" x14ac:dyDescent="0.25">
      <c r="Y35528" s="501"/>
    </row>
    <row r="35529" spans="25:25" hidden="1" x14ac:dyDescent="0.25">
      <c r="Y35529" s="501"/>
    </row>
    <row r="35530" spans="25:25" hidden="1" x14ac:dyDescent="0.25">
      <c r="Y35530" s="501"/>
    </row>
    <row r="35531" spans="25:25" hidden="1" x14ac:dyDescent="0.25">
      <c r="Y35531" s="501"/>
    </row>
    <row r="35532" spans="25:25" hidden="1" x14ac:dyDescent="0.25">
      <c r="Y35532" s="501"/>
    </row>
    <row r="35533" spans="25:25" hidden="1" x14ac:dyDescent="0.25">
      <c r="Y35533" s="501"/>
    </row>
    <row r="35534" spans="25:25" hidden="1" x14ac:dyDescent="0.25">
      <c r="Y35534" s="501"/>
    </row>
    <row r="35535" spans="25:25" hidden="1" x14ac:dyDescent="0.25">
      <c r="Y35535" s="501"/>
    </row>
    <row r="35536" spans="25:25" hidden="1" x14ac:dyDescent="0.25">
      <c r="Y35536" s="501"/>
    </row>
    <row r="35537" spans="25:25" hidden="1" x14ac:dyDescent="0.25">
      <c r="Y35537" s="501"/>
    </row>
    <row r="35538" spans="25:25" hidden="1" x14ac:dyDescent="0.25">
      <c r="Y35538" s="501"/>
    </row>
    <row r="35539" spans="25:25" hidden="1" x14ac:dyDescent="0.25">
      <c r="Y35539" s="501"/>
    </row>
    <row r="35540" spans="25:25" hidden="1" x14ac:dyDescent="0.25">
      <c r="Y35540" s="501"/>
    </row>
    <row r="35541" spans="25:25" hidden="1" x14ac:dyDescent="0.25">
      <c r="Y35541" s="501"/>
    </row>
    <row r="35542" spans="25:25" hidden="1" x14ac:dyDescent="0.25">
      <c r="Y35542" s="501"/>
    </row>
    <row r="35543" spans="25:25" hidden="1" x14ac:dyDescent="0.25">
      <c r="Y35543" s="501"/>
    </row>
    <row r="35544" spans="25:25" hidden="1" x14ac:dyDescent="0.25">
      <c r="Y35544" s="501"/>
    </row>
    <row r="35545" spans="25:25" hidden="1" x14ac:dyDescent="0.25">
      <c r="Y35545" s="501"/>
    </row>
    <row r="35546" spans="25:25" hidden="1" x14ac:dyDescent="0.25">
      <c r="Y35546" s="501"/>
    </row>
    <row r="35547" spans="25:25" hidden="1" x14ac:dyDescent="0.25">
      <c r="Y35547" s="501"/>
    </row>
    <row r="35548" spans="25:25" hidden="1" x14ac:dyDescent="0.25">
      <c r="Y35548" s="501"/>
    </row>
    <row r="35549" spans="25:25" hidden="1" x14ac:dyDescent="0.25">
      <c r="Y35549" s="501"/>
    </row>
    <row r="35550" spans="25:25" hidden="1" x14ac:dyDescent="0.25">
      <c r="Y35550" s="501"/>
    </row>
    <row r="35551" spans="25:25" hidden="1" x14ac:dyDescent="0.25">
      <c r="Y35551" s="501"/>
    </row>
    <row r="35552" spans="25:25" hidden="1" x14ac:dyDescent="0.25">
      <c r="Y35552" s="501"/>
    </row>
    <row r="35553" spans="25:25" hidden="1" x14ac:dyDescent="0.25">
      <c r="Y35553" s="501"/>
    </row>
    <row r="35554" spans="25:25" hidden="1" x14ac:dyDescent="0.25">
      <c r="Y35554" s="501"/>
    </row>
    <row r="35555" spans="25:25" hidden="1" x14ac:dyDescent="0.25">
      <c r="Y35555" s="501"/>
    </row>
    <row r="35556" spans="25:25" hidden="1" x14ac:dyDescent="0.25">
      <c r="Y35556" s="501"/>
    </row>
    <row r="35557" spans="25:25" hidden="1" x14ac:dyDescent="0.25">
      <c r="Y35557" s="501"/>
    </row>
    <row r="35558" spans="25:25" hidden="1" x14ac:dyDescent="0.25">
      <c r="Y35558" s="501"/>
    </row>
    <row r="35559" spans="25:25" hidden="1" x14ac:dyDescent="0.25">
      <c r="Y35559" s="501"/>
    </row>
    <row r="35560" spans="25:25" hidden="1" x14ac:dyDescent="0.25">
      <c r="Y35560" s="501"/>
    </row>
    <row r="35561" spans="25:25" hidden="1" x14ac:dyDescent="0.25">
      <c r="Y35561" s="501"/>
    </row>
    <row r="35562" spans="25:25" hidden="1" x14ac:dyDescent="0.25">
      <c r="Y35562" s="501"/>
    </row>
    <row r="35563" spans="25:25" hidden="1" x14ac:dyDescent="0.25">
      <c r="Y35563" s="501"/>
    </row>
    <row r="35564" spans="25:25" hidden="1" x14ac:dyDescent="0.25">
      <c r="Y35564" s="501"/>
    </row>
    <row r="35565" spans="25:25" hidden="1" x14ac:dyDescent="0.25">
      <c r="Y35565" s="501"/>
    </row>
    <row r="35566" spans="25:25" hidden="1" x14ac:dyDescent="0.25">
      <c r="Y35566" s="501"/>
    </row>
    <row r="35567" spans="25:25" hidden="1" x14ac:dyDescent="0.25">
      <c r="Y35567" s="501"/>
    </row>
    <row r="35568" spans="25:25" hidden="1" x14ac:dyDescent="0.25">
      <c r="Y35568" s="501"/>
    </row>
    <row r="35569" spans="25:25" hidden="1" x14ac:dyDescent="0.25">
      <c r="Y35569" s="501"/>
    </row>
    <row r="35570" spans="25:25" hidden="1" x14ac:dyDescent="0.25">
      <c r="Y35570" s="501"/>
    </row>
    <row r="35571" spans="25:25" hidden="1" x14ac:dyDescent="0.25">
      <c r="Y35571" s="501"/>
    </row>
    <row r="35572" spans="25:25" hidden="1" x14ac:dyDescent="0.25">
      <c r="Y35572" s="501"/>
    </row>
    <row r="35573" spans="25:25" hidden="1" x14ac:dyDescent="0.25">
      <c r="Y35573" s="501"/>
    </row>
    <row r="35574" spans="25:25" hidden="1" x14ac:dyDescent="0.25">
      <c r="Y35574" s="501"/>
    </row>
    <row r="35575" spans="25:25" hidden="1" x14ac:dyDescent="0.25">
      <c r="Y35575" s="501"/>
    </row>
    <row r="35576" spans="25:25" hidden="1" x14ac:dyDescent="0.25">
      <c r="Y35576" s="501"/>
    </row>
    <row r="35577" spans="25:25" hidden="1" x14ac:dyDescent="0.25">
      <c r="Y35577" s="501"/>
    </row>
    <row r="35578" spans="25:25" hidden="1" x14ac:dyDescent="0.25">
      <c r="Y35578" s="501"/>
    </row>
    <row r="35579" spans="25:25" hidden="1" x14ac:dyDescent="0.25">
      <c r="Y35579" s="501"/>
    </row>
    <row r="35580" spans="25:25" hidden="1" x14ac:dyDescent="0.25">
      <c r="Y35580" s="501"/>
    </row>
    <row r="35581" spans="25:25" hidden="1" x14ac:dyDescent="0.25">
      <c r="Y35581" s="501"/>
    </row>
    <row r="35582" spans="25:25" hidden="1" x14ac:dyDescent="0.25">
      <c r="Y35582" s="501"/>
    </row>
    <row r="35583" spans="25:25" hidden="1" x14ac:dyDescent="0.25">
      <c r="Y35583" s="501"/>
    </row>
    <row r="35584" spans="25:25" hidden="1" x14ac:dyDescent="0.25">
      <c r="Y35584" s="501"/>
    </row>
    <row r="35585" spans="25:25" hidden="1" x14ac:dyDescent="0.25">
      <c r="Y35585" s="501"/>
    </row>
    <row r="35586" spans="25:25" hidden="1" x14ac:dyDescent="0.25">
      <c r="Y35586" s="501"/>
    </row>
    <row r="35587" spans="25:25" hidden="1" x14ac:dyDescent="0.25">
      <c r="Y35587" s="501"/>
    </row>
    <row r="35588" spans="25:25" hidden="1" x14ac:dyDescent="0.25">
      <c r="Y35588" s="501"/>
    </row>
    <row r="35589" spans="25:25" hidden="1" x14ac:dyDescent="0.25">
      <c r="Y35589" s="501"/>
    </row>
    <row r="35590" spans="25:25" hidden="1" x14ac:dyDescent="0.25">
      <c r="Y35590" s="501"/>
    </row>
    <row r="35591" spans="25:25" hidden="1" x14ac:dyDescent="0.25">
      <c r="Y35591" s="501"/>
    </row>
    <row r="35592" spans="25:25" hidden="1" x14ac:dyDescent="0.25">
      <c r="Y35592" s="501"/>
    </row>
    <row r="35593" spans="25:25" hidden="1" x14ac:dyDescent="0.25">
      <c r="Y35593" s="501"/>
    </row>
    <row r="35594" spans="25:25" hidden="1" x14ac:dyDescent="0.25">
      <c r="Y35594" s="501"/>
    </row>
    <row r="35595" spans="25:25" hidden="1" x14ac:dyDescent="0.25">
      <c r="Y35595" s="501"/>
    </row>
    <row r="35596" spans="25:25" hidden="1" x14ac:dyDescent="0.25">
      <c r="Y35596" s="501"/>
    </row>
    <row r="35597" spans="25:25" hidden="1" x14ac:dyDescent="0.25">
      <c r="Y35597" s="501"/>
    </row>
    <row r="35598" spans="25:25" hidden="1" x14ac:dyDescent="0.25">
      <c r="Y35598" s="501"/>
    </row>
    <row r="35599" spans="25:25" hidden="1" x14ac:dyDescent="0.25">
      <c r="Y35599" s="501"/>
    </row>
    <row r="35600" spans="25:25" hidden="1" x14ac:dyDescent="0.25">
      <c r="Y35600" s="501"/>
    </row>
    <row r="35601" spans="25:25" hidden="1" x14ac:dyDescent="0.25">
      <c r="Y35601" s="501"/>
    </row>
    <row r="35602" spans="25:25" hidden="1" x14ac:dyDescent="0.25">
      <c r="Y35602" s="501"/>
    </row>
    <row r="35603" spans="25:25" hidden="1" x14ac:dyDescent="0.25">
      <c r="Y35603" s="501"/>
    </row>
    <row r="35604" spans="25:25" hidden="1" x14ac:dyDescent="0.25">
      <c r="Y35604" s="501"/>
    </row>
    <row r="35605" spans="25:25" hidden="1" x14ac:dyDescent="0.25">
      <c r="Y35605" s="501"/>
    </row>
    <row r="35606" spans="25:25" hidden="1" x14ac:dyDescent="0.25">
      <c r="Y35606" s="501"/>
    </row>
    <row r="35607" spans="25:25" hidden="1" x14ac:dyDescent="0.25">
      <c r="Y35607" s="501"/>
    </row>
    <row r="35608" spans="25:25" hidden="1" x14ac:dyDescent="0.25">
      <c r="Y35608" s="501"/>
    </row>
    <row r="35609" spans="25:25" hidden="1" x14ac:dyDescent="0.25">
      <c r="Y35609" s="501"/>
    </row>
    <row r="35610" spans="25:25" hidden="1" x14ac:dyDescent="0.25">
      <c r="Y35610" s="501"/>
    </row>
    <row r="35611" spans="25:25" hidden="1" x14ac:dyDescent="0.25">
      <c r="Y35611" s="501"/>
    </row>
    <row r="35612" spans="25:25" hidden="1" x14ac:dyDescent="0.25">
      <c r="Y35612" s="501"/>
    </row>
    <row r="35613" spans="25:25" hidden="1" x14ac:dyDescent="0.25">
      <c r="Y35613" s="501"/>
    </row>
    <row r="35614" spans="25:25" hidden="1" x14ac:dyDescent="0.25">
      <c r="Y35614" s="501"/>
    </row>
    <row r="35615" spans="25:25" hidden="1" x14ac:dyDescent="0.25">
      <c r="Y35615" s="501"/>
    </row>
    <row r="35616" spans="25:25" hidden="1" x14ac:dyDescent="0.25">
      <c r="Y35616" s="501"/>
    </row>
    <row r="35617" spans="25:25" hidden="1" x14ac:dyDescent="0.25">
      <c r="Y35617" s="501"/>
    </row>
    <row r="35618" spans="25:25" hidden="1" x14ac:dyDescent="0.25">
      <c r="Y35618" s="501"/>
    </row>
    <row r="35619" spans="25:25" hidden="1" x14ac:dyDescent="0.25">
      <c r="Y35619" s="501"/>
    </row>
    <row r="35620" spans="25:25" hidden="1" x14ac:dyDescent="0.25">
      <c r="Y35620" s="501"/>
    </row>
    <row r="35621" spans="25:25" hidden="1" x14ac:dyDescent="0.25">
      <c r="Y35621" s="501"/>
    </row>
    <row r="35622" spans="25:25" hidden="1" x14ac:dyDescent="0.25">
      <c r="Y35622" s="501"/>
    </row>
    <row r="35623" spans="25:25" hidden="1" x14ac:dyDescent="0.25">
      <c r="Y35623" s="501"/>
    </row>
    <row r="35624" spans="25:25" hidden="1" x14ac:dyDescent="0.25">
      <c r="Y35624" s="501"/>
    </row>
    <row r="35625" spans="25:25" hidden="1" x14ac:dyDescent="0.25">
      <c r="Y35625" s="501"/>
    </row>
    <row r="35626" spans="25:25" hidden="1" x14ac:dyDescent="0.25">
      <c r="Y35626" s="501"/>
    </row>
    <row r="35627" spans="25:25" hidden="1" x14ac:dyDescent="0.25">
      <c r="Y35627" s="501"/>
    </row>
    <row r="35628" spans="25:25" hidden="1" x14ac:dyDescent="0.25">
      <c r="Y35628" s="501"/>
    </row>
    <row r="35629" spans="25:25" hidden="1" x14ac:dyDescent="0.25">
      <c r="Y35629" s="501"/>
    </row>
    <row r="35630" spans="25:25" hidden="1" x14ac:dyDescent="0.25">
      <c r="Y35630" s="501"/>
    </row>
    <row r="35631" spans="25:25" hidden="1" x14ac:dyDescent="0.25">
      <c r="Y35631" s="501"/>
    </row>
    <row r="35632" spans="25:25" hidden="1" x14ac:dyDescent="0.25">
      <c r="Y35632" s="501"/>
    </row>
    <row r="35633" spans="25:25" hidden="1" x14ac:dyDescent="0.25">
      <c r="Y35633" s="501"/>
    </row>
    <row r="35634" spans="25:25" hidden="1" x14ac:dyDescent="0.25">
      <c r="Y35634" s="501"/>
    </row>
    <row r="35635" spans="25:25" hidden="1" x14ac:dyDescent="0.25">
      <c r="Y35635" s="501"/>
    </row>
    <row r="35636" spans="25:25" hidden="1" x14ac:dyDescent="0.25">
      <c r="Y35636" s="501"/>
    </row>
    <row r="35637" spans="25:25" hidden="1" x14ac:dyDescent="0.25">
      <c r="Y35637" s="501"/>
    </row>
    <row r="35638" spans="25:25" hidden="1" x14ac:dyDescent="0.25">
      <c r="Y35638" s="501"/>
    </row>
    <row r="35639" spans="25:25" hidden="1" x14ac:dyDescent="0.25">
      <c r="Y35639" s="501"/>
    </row>
    <row r="35640" spans="25:25" hidden="1" x14ac:dyDescent="0.25">
      <c r="Y35640" s="501"/>
    </row>
    <row r="35641" spans="25:25" hidden="1" x14ac:dyDescent="0.25">
      <c r="Y35641" s="501"/>
    </row>
    <row r="35642" spans="25:25" hidden="1" x14ac:dyDescent="0.25">
      <c r="Y35642" s="501"/>
    </row>
    <row r="35643" spans="25:25" hidden="1" x14ac:dyDescent="0.25">
      <c r="Y35643" s="501"/>
    </row>
    <row r="35644" spans="25:25" hidden="1" x14ac:dyDescent="0.25">
      <c r="Y35644" s="501"/>
    </row>
    <row r="35645" spans="25:25" hidden="1" x14ac:dyDescent="0.25">
      <c r="Y35645" s="501"/>
    </row>
    <row r="35646" spans="25:25" hidden="1" x14ac:dyDescent="0.25">
      <c r="Y35646" s="501"/>
    </row>
    <row r="35647" spans="25:25" hidden="1" x14ac:dyDescent="0.25">
      <c r="Y35647" s="501"/>
    </row>
    <row r="35648" spans="25:25" hidden="1" x14ac:dyDescent="0.25">
      <c r="Y35648" s="501"/>
    </row>
    <row r="35649" spans="25:25" hidden="1" x14ac:dyDescent="0.25">
      <c r="Y35649" s="501"/>
    </row>
    <row r="35650" spans="25:25" hidden="1" x14ac:dyDescent="0.25">
      <c r="Y35650" s="501"/>
    </row>
    <row r="35651" spans="25:25" hidden="1" x14ac:dyDescent="0.25">
      <c r="Y35651" s="501"/>
    </row>
    <row r="35652" spans="25:25" hidden="1" x14ac:dyDescent="0.25">
      <c r="Y35652" s="501"/>
    </row>
    <row r="35653" spans="25:25" hidden="1" x14ac:dyDescent="0.25">
      <c r="Y35653" s="501"/>
    </row>
    <row r="35654" spans="25:25" hidden="1" x14ac:dyDescent="0.25">
      <c r="Y35654" s="501"/>
    </row>
    <row r="35655" spans="25:25" hidden="1" x14ac:dyDescent="0.25">
      <c r="Y35655" s="501"/>
    </row>
    <row r="35656" spans="25:25" hidden="1" x14ac:dyDescent="0.25">
      <c r="Y35656" s="501"/>
    </row>
    <row r="35657" spans="25:25" hidden="1" x14ac:dyDescent="0.25">
      <c r="Y35657" s="501"/>
    </row>
    <row r="35658" spans="25:25" hidden="1" x14ac:dyDescent="0.25">
      <c r="Y35658" s="501"/>
    </row>
    <row r="35659" spans="25:25" hidden="1" x14ac:dyDescent="0.25">
      <c r="Y35659" s="501"/>
    </row>
    <row r="35660" spans="25:25" hidden="1" x14ac:dyDescent="0.25">
      <c r="Y35660" s="501"/>
    </row>
    <row r="35661" spans="25:25" hidden="1" x14ac:dyDescent="0.25">
      <c r="Y35661" s="501"/>
    </row>
    <row r="35662" spans="25:25" hidden="1" x14ac:dyDescent="0.25">
      <c r="Y35662" s="501"/>
    </row>
    <row r="35663" spans="25:25" hidden="1" x14ac:dyDescent="0.25">
      <c r="Y35663" s="501"/>
    </row>
    <row r="35664" spans="25:25" hidden="1" x14ac:dyDescent="0.25">
      <c r="Y35664" s="501"/>
    </row>
    <row r="35665" spans="25:25" hidden="1" x14ac:dyDescent="0.25">
      <c r="Y35665" s="501"/>
    </row>
    <row r="35666" spans="25:25" hidden="1" x14ac:dyDescent="0.25">
      <c r="Y35666" s="501"/>
    </row>
    <row r="35667" spans="25:25" hidden="1" x14ac:dyDescent="0.25">
      <c r="Y35667" s="501"/>
    </row>
    <row r="35668" spans="25:25" hidden="1" x14ac:dyDescent="0.25">
      <c r="Y35668" s="501"/>
    </row>
    <row r="35669" spans="25:25" hidden="1" x14ac:dyDescent="0.25">
      <c r="Y35669" s="501"/>
    </row>
    <row r="35670" spans="25:25" hidden="1" x14ac:dyDescent="0.25">
      <c r="Y35670" s="501"/>
    </row>
    <row r="35671" spans="25:25" hidden="1" x14ac:dyDescent="0.25">
      <c r="Y35671" s="501"/>
    </row>
    <row r="35672" spans="25:25" hidden="1" x14ac:dyDescent="0.25">
      <c r="Y35672" s="501"/>
    </row>
    <row r="35673" spans="25:25" hidden="1" x14ac:dyDescent="0.25">
      <c r="Y35673" s="501"/>
    </row>
    <row r="35674" spans="25:25" hidden="1" x14ac:dyDescent="0.25">
      <c r="Y35674" s="501"/>
    </row>
    <row r="35675" spans="25:25" hidden="1" x14ac:dyDescent="0.25">
      <c r="Y35675" s="501"/>
    </row>
    <row r="35676" spans="25:25" hidden="1" x14ac:dyDescent="0.25">
      <c r="Y35676" s="501"/>
    </row>
    <row r="35677" spans="25:25" hidden="1" x14ac:dyDescent="0.25">
      <c r="Y35677" s="501"/>
    </row>
    <row r="35678" spans="25:25" hidden="1" x14ac:dyDescent="0.25">
      <c r="Y35678" s="501"/>
    </row>
    <row r="35679" spans="25:25" hidden="1" x14ac:dyDescent="0.25">
      <c r="Y35679" s="501"/>
    </row>
    <row r="35680" spans="25:25" hidden="1" x14ac:dyDescent="0.25">
      <c r="Y35680" s="501"/>
    </row>
    <row r="35681" spans="25:25" hidden="1" x14ac:dyDescent="0.25">
      <c r="Y35681" s="501"/>
    </row>
    <row r="35682" spans="25:25" hidden="1" x14ac:dyDescent="0.25">
      <c r="Y35682" s="501"/>
    </row>
    <row r="35683" spans="25:25" hidden="1" x14ac:dyDescent="0.25">
      <c r="Y35683" s="501"/>
    </row>
    <row r="35684" spans="25:25" hidden="1" x14ac:dyDescent="0.25">
      <c r="Y35684" s="501"/>
    </row>
    <row r="35685" spans="25:25" hidden="1" x14ac:dyDescent="0.25">
      <c r="Y35685" s="501"/>
    </row>
    <row r="35686" spans="25:25" hidden="1" x14ac:dyDescent="0.25">
      <c r="Y35686" s="501"/>
    </row>
    <row r="35687" spans="25:25" hidden="1" x14ac:dyDescent="0.25">
      <c r="Y35687" s="501"/>
    </row>
    <row r="35688" spans="25:25" hidden="1" x14ac:dyDescent="0.25">
      <c r="Y35688" s="501"/>
    </row>
    <row r="35689" spans="25:25" hidden="1" x14ac:dyDescent="0.25">
      <c r="Y35689" s="501"/>
    </row>
    <row r="35690" spans="25:25" hidden="1" x14ac:dyDescent="0.25">
      <c r="Y35690" s="501"/>
    </row>
    <row r="35691" spans="25:25" hidden="1" x14ac:dyDescent="0.25">
      <c r="Y35691" s="501"/>
    </row>
    <row r="35692" spans="25:25" hidden="1" x14ac:dyDescent="0.25">
      <c r="Y35692" s="501"/>
    </row>
    <row r="35693" spans="25:25" hidden="1" x14ac:dyDescent="0.25">
      <c r="Y35693" s="501"/>
    </row>
    <row r="35694" spans="25:25" hidden="1" x14ac:dyDescent="0.25">
      <c r="Y35694" s="501"/>
    </row>
    <row r="35695" spans="25:25" hidden="1" x14ac:dyDescent="0.25">
      <c r="Y35695" s="501"/>
    </row>
    <row r="35696" spans="25:25" hidden="1" x14ac:dyDescent="0.25">
      <c r="Y35696" s="501"/>
    </row>
    <row r="35697" spans="25:25" hidden="1" x14ac:dyDescent="0.25">
      <c r="Y35697" s="501"/>
    </row>
    <row r="35698" spans="25:25" hidden="1" x14ac:dyDescent="0.25">
      <c r="Y35698" s="501"/>
    </row>
    <row r="35699" spans="25:25" hidden="1" x14ac:dyDescent="0.25">
      <c r="Y35699" s="501"/>
    </row>
    <row r="35700" spans="25:25" hidden="1" x14ac:dyDescent="0.25">
      <c r="Y35700" s="501"/>
    </row>
    <row r="35701" spans="25:25" hidden="1" x14ac:dyDescent="0.25">
      <c r="Y35701" s="501"/>
    </row>
    <row r="35702" spans="25:25" hidden="1" x14ac:dyDescent="0.25">
      <c r="Y35702" s="501"/>
    </row>
    <row r="35703" spans="25:25" hidden="1" x14ac:dyDescent="0.25">
      <c r="Y35703" s="501"/>
    </row>
    <row r="35704" spans="25:25" hidden="1" x14ac:dyDescent="0.25">
      <c r="Y35704" s="501"/>
    </row>
    <row r="35705" spans="25:25" hidden="1" x14ac:dyDescent="0.25">
      <c r="Y35705" s="501"/>
    </row>
    <row r="35706" spans="25:25" hidden="1" x14ac:dyDescent="0.25">
      <c r="Y35706" s="501"/>
    </row>
    <row r="35707" spans="25:25" hidden="1" x14ac:dyDescent="0.25">
      <c r="Y35707" s="501"/>
    </row>
    <row r="35708" spans="25:25" hidden="1" x14ac:dyDescent="0.25">
      <c r="Y35708" s="501"/>
    </row>
    <row r="35709" spans="25:25" hidden="1" x14ac:dyDescent="0.25">
      <c r="Y35709" s="501"/>
    </row>
    <row r="35710" spans="25:25" hidden="1" x14ac:dyDescent="0.25">
      <c r="Y35710" s="501"/>
    </row>
    <row r="35711" spans="25:25" hidden="1" x14ac:dyDescent="0.25">
      <c r="Y35711" s="501"/>
    </row>
    <row r="35712" spans="25:25" hidden="1" x14ac:dyDescent="0.25">
      <c r="Y35712" s="501"/>
    </row>
    <row r="35713" spans="25:25" hidden="1" x14ac:dyDescent="0.25">
      <c r="Y35713" s="501"/>
    </row>
    <row r="35714" spans="25:25" hidden="1" x14ac:dyDescent="0.25">
      <c r="Y35714" s="501"/>
    </row>
    <row r="35715" spans="25:25" hidden="1" x14ac:dyDescent="0.25">
      <c r="Y35715" s="501"/>
    </row>
    <row r="35716" spans="25:25" hidden="1" x14ac:dyDescent="0.25">
      <c r="Y35716" s="501"/>
    </row>
    <row r="35717" spans="25:25" hidden="1" x14ac:dyDescent="0.25">
      <c r="Y35717" s="501"/>
    </row>
    <row r="35718" spans="25:25" hidden="1" x14ac:dyDescent="0.25">
      <c r="Y35718" s="501"/>
    </row>
    <row r="35719" spans="25:25" hidden="1" x14ac:dyDescent="0.25">
      <c r="Y35719" s="501"/>
    </row>
    <row r="35720" spans="25:25" hidden="1" x14ac:dyDescent="0.25">
      <c r="Y35720" s="501"/>
    </row>
    <row r="35721" spans="25:25" hidden="1" x14ac:dyDescent="0.25">
      <c r="Y35721" s="501"/>
    </row>
    <row r="35722" spans="25:25" hidden="1" x14ac:dyDescent="0.25">
      <c r="Y35722" s="501"/>
    </row>
    <row r="35723" spans="25:25" hidden="1" x14ac:dyDescent="0.25">
      <c r="Y35723" s="501"/>
    </row>
    <row r="35724" spans="25:25" hidden="1" x14ac:dyDescent="0.25">
      <c r="Y35724" s="501"/>
    </row>
    <row r="35725" spans="25:25" hidden="1" x14ac:dyDescent="0.25">
      <c r="Y35725" s="501"/>
    </row>
    <row r="35726" spans="25:25" hidden="1" x14ac:dyDescent="0.25">
      <c r="Y35726" s="501"/>
    </row>
    <row r="35727" spans="25:25" hidden="1" x14ac:dyDescent="0.25">
      <c r="Y35727" s="501"/>
    </row>
    <row r="35728" spans="25:25" hidden="1" x14ac:dyDescent="0.25">
      <c r="Y35728" s="501"/>
    </row>
    <row r="35729" spans="25:25" hidden="1" x14ac:dyDescent="0.25">
      <c r="Y35729" s="501"/>
    </row>
    <row r="35730" spans="25:25" hidden="1" x14ac:dyDescent="0.25">
      <c r="Y35730" s="501"/>
    </row>
    <row r="35731" spans="25:25" hidden="1" x14ac:dyDescent="0.25">
      <c r="Y35731" s="501"/>
    </row>
    <row r="35732" spans="25:25" hidden="1" x14ac:dyDescent="0.25">
      <c r="Y35732" s="501"/>
    </row>
    <row r="35733" spans="25:25" hidden="1" x14ac:dyDescent="0.25">
      <c r="Y35733" s="501"/>
    </row>
    <row r="35734" spans="25:25" hidden="1" x14ac:dyDescent="0.25">
      <c r="Y35734" s="501"/>
    </row>
    <row r="35735" spans="25:25" hidden="1" x14ac:dyDescent="0.25">
      <c r="Y35735" s="501"/>
    </row>
    <row r="35736" spans="25:25" hidden="1" x14ac:dyDescent="0.25">
      <c r="Y35736" s="501"/>
    </row>
    <row r="35737" spans="25:25" hidden="1" x14ac:dyDescent="0.25">
      <c r="Y35737" s="501"/>
    </row>
    <row r="35738" spans="25:25" hidden="1" x14ac:dyDescent="0.25">
      <c r="Y35738" s="501"/>
    </row>
    <row r="35739" spans="25:25" hidden="1" x14ac:dyDescent="0.25">
      <c r="Y35739" s="501"/>
    </row>
    <row r="35740" spans="25:25" hidden="1" x14ac:dyDescent="0.25">
      <c r="Y35740" s="501"/>
    </row>
    <row r="35741" spans="25:25" hidden="1" x14ac:dyDescent="0.25">
      <c r="Y35741" s="501"/>
    </row>
    <row r="35742" spans="25:25" hidden="1" x14ac:dyDescent="0.25">
      <c r="Y35742" s="501"/>
    </row>
    <row r="35743" spans="25:25" hidden="1" x14ac:dyDescent="0.25">
      <c r="Y35743" s="501"/>
    </row>
    <row r="35744" spans="25:25" hidden="1" x14ac:dyDescent="0.25">
      <c r="Y35744" s="501"/>
    </row>
    <row r="35745" spans="25:25" hidden="1" x14ac:dyDescent="0.25">
      <c r="Y35745" s="501"/>
    </row>
    <row r="35746" spans="25:25" hidden="1" x14ac:dyDescent="0.25">
      <c r="Y35746" s="501"/>
    </row>
    <row r="35747" spans="25:25" hidden="1" x14ac:dyDescent="0.25">
      <c r="Y35747" s="501"/>
    </row>
    <row r="35748" spans="25:25" hidden="1" x14ac:dyDescent="0.25">
      <c r="Y35748" s="501"/>
    </row>
    <row r="35749" spans="25:25" hidden="1" x14ac:dyDescent="0.25">
      <c r="Y35749" s="501"/>
    </row>
    <row r="35750" spans="25:25" hidden="1" x14ac:dyDescent="0.25">
      <c r="Y35750" s="501"/>
    </row>
    <row r="35751" spans="25:25" hidden="1" x14ac:dyDescent="0.25">
      <c r="Y35751" s="501"/>
    </row>
    <row r="35752" spans="25:25" hidden="1" x14ac:dyDescent="0.25">
      <c r="Y35752" s="501"/>
    </row>
    <row r="35753" spans="25:25" hidden="1" x14ac:dyDescent="0.25">
      <c r="Y35753" s="501"/>
    </row>
    <row r="35754" spans="25:25" hidden="1" x14ac:dyDescent="0.25">
      <c r="Y35754" s="501"/>
    </row>
    <row r="35755" spans="25:25" hidden="1" x14ac:dyDescent="0.25">
      <c r="Y35755" s="501"/>
    </row>
    <row r="35756" spans="25:25" hidden="1" x14ac:dyDescent="0.25">
      <c r="Y35756" s="501"/>
    </row>
    <row r="35757" spans="25:25" hidden="1" x14ac:dyDescent="0.25">
      <c r="Y35757" s="501"/>
    </row>
    <row r="35758" spans="25:25" hidden="1" x14ac:dyDescent="0.25">
      <c r="Y35758" s="501"/>
    </row>
    <row r="35759" spans="25:25" hidden="1" x14ac:dyDescent="0.25">
      <c r="Y35759" s="501"/>
    </row>
    <row r="35760" spans="25:25" hidden="1" x14ac:dyDescent="0.25">
      <c r="Y35760" s="501"/>
    </row>
    <row r="35761" spans="25:25" hidden="1" x14ac:dyDescent="0.25">
      <c r="Y35761" s="501"/>
    </row>
    <row r="35762" spans="25:25" hidden="1" x14ac:dyDescent="0.25">
      <c r="Y35762" s="501"/>
    </row>
    <row r="35763" spans="25:25" hidden="1" x14ac:dyDescent="0.25">
      <c r="Y35763" s="501"/>
    </row>
    <row r="35764" spans="25:25" hidden="1" x14ac:dyDescent="0.25">
      <c r="Y35764" s="501"/>
    </row>
    <row r="35765" spans="25:25" hidden="1" x14ac:dyDescent="0.25">
      <c r="Y35765" s="501"/>
    </row>
    <row r="35766" spans="25:25" hidden="1" x14ac:dyDescent="0.25">
      <c r="Y35766" s="501"/>
    </row>
    <row r="35767" spans="25:25" hidden="1" x14ac:dyDescent="0.25">
      <c r="Y35767" s="501"/>
    </row>
    <row r="35768" spans="25:25" hidden="1" x14ac:dyDescent="0.25">
      <c r="Y35768" s="501"/>
    </row>
    <row r="35769" spans="25:25" hidden="1" x14ac:dyDescent="0.25">
      <c r="Y35769" s="501"/>
    </row>
    <row r="35770" spans="25:25" hidden="1" x14ac:dyDescent="0.25">
      <c r="Y35770" s="501"/>
    </row>
    <row r="35771" spans="25:25" hidden="1" x14ac:dyDescent="0.25">
      <c r="Y35771" s="501"/>
    </row>
    <row r="35772" spans="25:25" hidden="1" x14ac:dyDescent="0.25">
      <c r="Y35772" s="501"/>
    </row>
    <row r="35773" spans="25:25" hidden="1" x14ac:dyDescent="0.25">
      <c r="Y35773" s="501"/>
    </row>
    <row r="35774" spans="25:25" hidden="1" x14ac:dyDescent="0.25">
      <c r="Y35774" s="501"/>
    </row>
    <row r="35775" spans="25:25" hidden="1" x14ac:dyDescent="0.25">
      <c r="Y35775" s="501"/>
    </row>
    <row r="35776" spans="25:25" hidden="1" x14ac:dyDescent="0.25">
      <c r="Y35776" s="501"/>
    </row>
    <row r="35777" spans="25:25" hidden="1" x14ac:dyDescent="0.25">
      <c r="Y35777" s="501"/>
    </row>
    <row r="35778" spans="25:25" hidden="1" x14ac:dyDescent="0.25">
      <c r="Y35778" s="501"/>
    </row>
    <row r="35779" spans="25:25" hidden="1" x14ac:dyDescent="0.25">
      <c r="Y35779" s="501"/>
    </row>
    <row r="35780" spans="25:25" hidden="1" x14ac:dyDescent="0.25">
      <c r="Y35780" s="501"/>
    </row>
    <row r="35781" spans="25:25" hidden="1" x14ac:dyDescent="0.25">
      <c r="Y35781" s="501"/>
    </row>
    <row r="35782" spans="25:25" hidden="1" x14ac:dyDescent="0.25">
      <c r="Y35782" s="501"/>
    </row>
    <row r="35783" spans="25:25" hidden="1" x14ac:dyDescent="0.25">
      <c r="Y35783" s="501"/>
    </row>
    <row r="35784" spans="25:25" hidden="1" x14ac:dyDescent="0.25">
      <c r="Y35784" s="501"/>
    </row>
    <row r="35785" spans="25:25" hidden="1" x14ac:dyDescent="0.25">
      <c r="Y35785" s="501"/>
    </row>
    <row r="35786" spans="25:25" hidden="1" x14ac:dyDescent="0.25">
      <c r="Y35786" s="501"/>
    </row>
    <row r="35787" spans="25:25" hidden="1" x14ac:dyDescent="0.25">
      <c r="Y35787" s="501"/>
    </row>
    <row r="35788" spans="25:25" hidden="1" x14ac:dyDescent="0.25">
      <c r="Y35788" s="501"/>
    </row>
    <row r="35789" spans="25:25" hidden="1" x14ac:dyDescent="0.25">
      <c r="Y35789" s="501"/>
    </row>
    <row r="35790" spans="25:25" hidden="1" x14ac:dyDescent="0.25">
      <c r="Y35790" s="501"/>
    </row>
    <row r="35791" spans="25:25" hidden="1" x14ac:dyDescent="0.25">
      <c r="Y35791" s="501"/>
    </row>
    <row r="35792" spans="25:25" hidden="1" x14ac:dyDescent="0.25">
      <c r="Y35792" s="501"/>
    </row>
    <row r="35793" spans="25:25" hidden="1" x14ac:dyDescent="0.25">
      <c r="Y35793" s="501"/>
    </row>
    <row r="35794" spans="25:25" hidden="1" x14ac:dyDescent="0.25">
      <c r="Y35794" s="501"/>
    </row>
    <row r="35795" spans="25:25" hidden="1" x14ac:dyDescent="0.25">
      <c r="Y35795" s="501"/>
    </row>
    <row r="35796" spans="25:25" hidden="1" x14ac:dyDescent="0.25">
      <c r="Y35796" s="501"/>
    </row>
    <row r="35797" spans="25:25" hidden="1" x14ac:dyDescent="0.25">
      <c r="Y35797" s="501"/>
    </row>
    <row r="35798" spans="25:25" hidden="1" x14ac:dyDescent="0.25">
      <c r="Y35798" s="501"/>
    </row>
    <row r="35799" spans="25:25" hidden="1" x14ac:dyDescent="0.25">
      <c r="Y35799" s="501"/>
    </row>
    <row r="35800" spans="25:25" hidden="1" x14ac:dyDescent="0.25">
      <c r="Y35800" s="501"/>
    </row>
    <row r="35801" spans="25:25" hidden="1" x14ac:dyDescent="0.25">
      <c r="Y35801" s="501"/>
    </row>
    <row r="35802" spans="25:25" hidden="1" x14ac:dyDescent="0.25">
      <c r="Y35802" s="501"/>
    </row>
    <row r="35803" spans="25:25" hidden="1" x14ac:dyDescent="0.25">
      <c r="Y35803" s="501"/>
    </row>
    <row r="35804" spans="25:25" hidden="1" x14ac:dyDescent="0.25">
      <c r="Y35804" s="501"/>
    </row>
    <row r="35805" spans="25:25" hidden="1" x14ac:dyDescent="0.25">
      <c r="Y35805" s="501"/>
    </row>
    <row r="35806" spans="25:25" hidden="1" x14ac:dyDescent="0.25">
      <c r="Y35806" s="501"/>
    </row>
    <row r="35807" spans="25:25" hidden="1" x14ac:dyDescent="0.25">
      <c r="Y35807" s="501"/>
    </row>
    <row r="35808" spans="25:25" hidden="1" x14ac:dyDescent="0.25">
      <c r="Y35808" s="501"/>
    </row>
    <row r="35809" spans="25:25" hidden="1" x14ac:dyDescent="0.25">
      <c r="Y35809" s="501"/>
    </row>
    <row r="35810" spans="25:25" hidden="1" x14ac:dyDescent="0.25">
      <c r="Y35810" s="501"/>
    </row>
    <row r="35811" spans="25:25" hidden="1" x14ac:dyDescent="0.25">
      <c r="Y35811" s="501"/>
    </row>
    <row r="35812" spans="25:25" hidden="1" x14ac:dyDescent="0.25">
      <c r="Y35812" s="501"/>
    </row>
    <row r="35813" spans="25:25" hidden="1" x14ac:dyDescent="0.25">
      <c r="Y35813" s="501"/>
    </row>
    <row r="35814" spans="25:25" hidden="1" x14ac:dyDescent="0.25">
      <c r="Y35814" s="501"/>
    </row>
    <row r="35815" spans="25:25" hidden="1" x14ac:dyDescent="0.25">
      <c r="Y35815" s="501"/>
    </row>
    <row r="35816" spans="25:25" hidden="1" x14ac:dyDescent="0.25">
      <c r="Y35816" s="501"/>
    </row>
    <row r="35817" spans="25:25" hidden="1" x14ac:dyDescent="0.25">
      <c r="Y35817" s="501"/>
    </row>
    <row r="35818" spans="25:25" hidden="1" x14ac:dyDescent="0.25">
      <c r="Y35818" s="501"/>
    </row>
    <row r="35819" spans="25:25" hidden="1" x14ac:dyDescent="0.25">
      <c r="Y35819" s="501"/>
    </row>
    <row r="35820" spans="25:25" hidden="1" x14ac:dyDescent="0.25">
      <c r="Y35820" s="501"/>
    </row>
    <row r="35821" spans="25:25" hidden="1" x14ac:dyDescent="0.25">
      <c r="Y35821" s="501"/>
    </row>
    <row r="35822" spans="25:25" hidden="1" x14ac:dyDescent="0.25">
      <c r="Y35822" s="501"/>
    </row>
    <row r="35823" spans="25:25" hidden="1" x14ac:dyDescent="0.25">
      <c r="Y35823" s="501"/>
    </row>
    <row r="35824" spans="25:25" hidden="1" x14ac:dyDescent="0.25">
      <c r="Y35824" s="501"/>
    </row>
    <row r="35825" spans="25:25" hidden="1" x14ac:dyDescent="0.25">
      <c r="Y35825" s="501"/>
    </row>
    <row r="35826" spans="25:25" hidden="1" x14ac:dyDescent="0.25">
      <c r="Y35826" s="501"/>
    </row>
    <row r="35827" spans="25:25" hidden="1" x14ac:dyDescent="0.25">
      <c r="Y35827" s="501"/>
    </row>
    <row r="35828" spans="25:25" hidden="1" x14ac:dyDescent="0.25">
      <c r="Y35828" s="501"/>
    </row>
    <row r="35829" spans="25:25" hidden="1" x14ac:dyDescent="0.25">
      <c r="Y35829" s="501"/>
    </row>
    <row r="35830" spans="25:25" hidden="1" x14ac:dyDescent="0.25">
      <c r="Y35830" s="501"/>
    </row>
    <row r="35831" spans="25:25" hidden="1" x14ac:dyDescent="0.25">
      <c r="Y35831" s="501"/>
    </row>
    <row r="35832" spans="25:25" hidden="1" x14ac:dyDescent="0.25">
      <c r="Y35832" s="501"/>
    </row>
    <row r="35833" spans="25:25" hidden="1" x14ac:dyDescent="0.25">
      <c r="Y35833" s="501"/>
    </row>
    <row r="35834" spans="25:25" hidden="1" x14ac:dyDescent="0.25">
      <c r="Y35834" s="501"/>
    </row>
    <row r="35835" spans="25:25" hidden="1" x14ac:dyDescent="0.25">
      <c r="Y35835" s="501"/>
    </row>
    <row r="35836" spans="25:25" hidden="1" x14ac:dyDescent="0.25">
      <c r="Y35836" s="501"/>
    </row>
    <row r="35837" spans="25:25" hidden="1" x14ac:dyDescent="0.25">
      <c r="Y35837" s="501"/>
    </row>
    <row r="35838" spans="25:25" hidden="1" x14ac:dyDescent="0.25">
      <c r="Y35838" s="501"/>
    </row>
    <row r="35839" spans="25:25" hidden="1" x14ac:dyDescent="0.25">
      <c r="Y35839" s="501"/>
    </row>
    <row r="35840" spans="25:25" hidden="1" x14ac:dyDescent="0.25">
      <c r="Y35840" s="501"/>
    </row>
    <row r="35841" spans="25:25" hidden="1" x14ac:dyDescent="0.25">
      <c r="Y35841" s="501"/>
    </row>
    <row r="35842" spans="25:25" hidden="1" x14ac:dyDescent="0.25">
      <c r="Y35842" s="501"/>
    </row>
    <row r="35843" spans="25:25" hidden="1" x14ac:dyDescent="0.25">
      <c r="Y35843" s="501"/>
    </row>
    <row r="35844" spans="25:25" hidden="1" x14ac:dyDescent="0.25">
      <c r="Y35844" s="501"/>
    </row>
    <row r="35845" spans="25:25" hidden="1" x14ac:dyDescent="0.25">
      <c r="Y35845" s="501"/>
    </row>
    <row r="35846" spans="25:25" hidden="1" x14ac:dyDescent="0.25">
      <c r="Y35846" s="501"/>
    </row>
    <row r="35847" spans="25:25" hidden="1" x14ac:dyDescent="0.25">
      <c r="Y35847" s="501"/>
    </row>
    <row r="35848" spans="25:25" hidden="1" x14ac:dyDescent="0.25">
      <c r="Y35848" s="501"/>
    </row>
    <row r="35849" spans="25:25" hidden="1" x14ac:dyDescent="0.25">
      <c r="Y35849" s="501"/>
    </row>
    <row r="35850" spans="25:25" hidden="1" x14ac:dyDescent="0.25">
      <c r="Y35850" s="501"/>
    </row>
    <row r="35851" spans="25:25" hidden="1" x14ac:dyDescent="0.25">
      <c r="Y35851" s="501"/>
    </row>
    <row r="35852" spans="25:25" hidden="1" x14ac:dyDescent="0.25">
      <c r="Y35852" s="501"/>
    </row>
    <row r="35853" spans="25:25" hidden="1" x14ac:dyDescent="0.25">
      <c r="Y35853" s="501"/>
    </row>
    <row r="35854" spans="25:25" hidden="1" x14ac:dyDescent="0.25">
      <c r="Y35854" s="501"/>
    </row>
    <row r="35855" spans="25:25" hidden="1" x14ac:dyDescent="0.25">
      <c r="Y35855" s="501"/>
    </row>
    <row r="35856" spans="25:25" hidden="1" x14ac:dyDescent="0.25">
      <c r="Y35856" s="501"/>
    </row>
    <row r="35857" spans="25:25" hidden="1" x14ac:dyDescent="0.25">
      <c r="Y35857" s="501"/>
    </row>
    <row r="35858" spans="25:25" hidden="1" x14ac:dyDescent="0.25">
      <c r="Y35858" s="501"/>
    </row>
    <row r="35859" spans="25:25" hidden="1" x14ac:dyDescent="0.25">
      <c r="Y35859" s="501"/>
    </row>
    <row r="35860" spans="25:25" hidden="1" x14ac:dyDescent="0.25">
      <c r="Y35860" s="501"/>
    </row>
    <row r="35861" spans="25:25" hidden="1" x14ac:dyDescent="0.25">
      <c r="Y35861" s="501"/>
    </row>
    <row r="35862" spans="25:25" hidden="1" x14ac:dyDescent="0.25">
      <c r="Y35862" s="501"/>
    </row>
    <row r="35863" spans="25:25" hidden="1" x14ac:dyDescent="0.25">
      <c r="Y35863" s="501"/>
    </row>
    <row r="35864" spans="25:25" hidden="1" x14ac:dyDescent="0.25">
      <c r="Y35864" s="501"/>
    </row>
    <row r="35865" spans="25:25" hidden="1" x14ac:dyDescent="0.25">
      <c r="Y35865" s="501"/>
    </row>
    <row r="35866" spans="25:25" hidden="1" x14ac:dyDescent="0.25">
      <c r="Y35866" s="501"/>
    </row>
    <row r="35867" spans="25:25" hidden="1" x14ac:dyDescent="0.25">
      <c r="Y35867" s="501"/>
    </row>
    <row r="35868" spans="25:25" hidden="1" x14ac:dyDescent="0.25">
      <c r="Y35868" s="501"/>
    </row>
    <row r="35869" spans="25:25" hidden="1" x14ac:dyDescent="0.25">
      <c r="Y35869" s="501"/>
    </row>
    <row r="35870" spans="25:25" hidden="1" x14ac:dyDescent="0.25">
      <c r="Y35870" s="501"/>
    </row>
    <row r="35871" spans="25:25" hidden="1" x14ac:dyDescent="0.25">
      <c r="Y35871" s="501"/>
    </row>
    <row r="35872" spans="25:25" hidden="1" x14ac:dyDescent="0.25">
      <c r="Y35872" s="501"/>
    </row>
    <row r="35873" spans="25:25" hidden="1" x14ac:dyDescent="0.25">
      <c r="Y35873" s="501"/>
    </row>
    <row r="35874" spans="25:25" hidden="1" x14ac:dyDescent="0.25">
      <c r="Y35874" s="501"/>
    </row>
    <row r="35875" spans="25:25" hidden="1" x14ac:dyDescent="0.25">
      <c r="Y35875" s="501"/>
    </row>
    <row r="35876" spans="25:25" hidden="1" x14ac:dyDescent="0.25">
      <c r="Y35876" s="501"/>
    </row>
    <row r="35877" spans="25:25" hidden="1" x14ac:dyDescent="0.25">
      <c r="Y35877" s="501"/>
    </row>
    <row r="35878" spans="25:25" hidden="1" x14ac:dyDescent="0.25">
      <c r="Y35878" s="501"/>
    </row>
    <row r="35879" spans="25:25" hidden="1" x14ac:dyDescent="0.25">
      <c r="Y35879" s="501"/>
    </row>
    <row r="35880" spans="25:25" hidden="1" x14ac:dyDescent="0.25">
      <c r="Y35880" s="501"/>
    </row>
    <row r="35881" spans="25:25" hidden="1" x14ac:dyDescent="0.25">
      <c r="Y35881" s="501"/>
    </row>
    <row r="35882" spans="25:25" hidden="1" x14ac:dyDescent="0.25">
      <c r="Y35882" s="501"/>
    </row>
    <row r="35883" spans="25:25" hidden="1" x14ac:dyDescent="0.25">
      <c r="Y35883" s="501"/>
    </row>
    <row r="35884" spans="25:25" hidden="1" x14ac:dyDescent="0.25">
      <c r="Y35884" s="501"/>
    </row>
    <row r="35885" spans="25:25" hidden="1" x14ac:dyDescent="0.25">
      <c r="Y35885" s="501"/>
    </row>
    <row r="35886" spans="25:25" hidden="1" x14ac:dyDescent="0.25">
      <c r="Y35886" s="501"/>
    </row>
    <row r="35887" spans="25:25" hidden="1" x14ac:dyDescent="0.25">
      <c r="Y35887" s="501"/>
    </row>
    <row r="35888" spans="25:25" hidden="1" x14ac:dyDescent="0.25">
      <c r="Y35888" s="501"/>
    </row>
    <row r="35889" spans="25:25" hidden="1" x14ac:dyDescent="0.25">
      <c r="Y35889" s="501"/>
    </row>
    <row r="35890" spans="25:25" hidden="1" x14ac:dyDescent="0.25">
      <c r="Y35890" s="501"/>
    </row>
    <row r="35891" spans="25:25" hidden="1" x14ac:dyDescent="0.25">
      <c r="Y35891" s="501"/>
    </row>
    <row r="35892" spans="25:25" hidden="1" x14ac:dyDescent="0.25">
      <c r="Y35892" s="501"/>
    </row>
    <row r="35893" spans="25:25" hidden="1" x14ac:dyDescent="0.25">
      <c r="Y35893" s="501"/>
    </row>
    <row r="35894" spans="25:25" hidden="1" x14ac:dyDescent="0.25">
      <c r="Y35894" s="501"/>
    </row>
    <row r="35895" spans="25:25" hidden="1" x14ac:dyDescent="0.25">
      <c r="Y35895" s="501"/>
    </row>
    <row r="35896" spans="25:25" hidden="1" x14ac:dyDescent="0.25">
      <c r="Y35896" s="501"/>
    </row>
    <row r="35897" spans="25:25" hidden="1" x14ac:dyDescent="0.25">
      <c r="Y35897" s="501"/>
    </row>
    <row r="35898" spans="25:25" hidden="1" x14ac:dyDescent="0.25">
      <c r="Y35898" s="501"/>
    </row>
    <row r="35899" spans="25:25" hidden="1" x14ac:dyDescent="0.25">
      <c r="Y35899" s="501"/>
    </row>
    <row r="35900" spans="25:25" hidden="1" x14ac:dyDescent="0.25">
      <c r="Y35900" s="501"/>
    </row>
    <row r="35901" spans="25:25" hidden="1" x14ac:dyDescent="0.25">
      <c r="Y35901" s="501"/>
    </row>
    <row r="35902" spans="25:25" hidden="1" x14ac:dyDescent="0.25">
      <c r="Y35902" s="501"/>
    </row>
    <row r="35903" spans="25:25" hidden="1" x14ac:dyDescent="0.25">
      <c r="Y35903" s="501"/>
    </row>
    <row r="35904" spans="25:25" hidden="1" x14ac:dyDescent="0.25">
      <c r="Y35904" s="501"/>
    </row>
    <row r="35905" spans="25:25" hidden="1" x14ac:dyDescent="0.25">
      <c r="Y35905" s="501"/>
    </row>
    <row r="35906" spans="25:25" hidden="1" x14ac:dyDescent="0.25">
      <c r="Y35906" s="501"/>
    </row>
    <row r="35907" spans="25:25" hidden="1" x14ac:dyDescent="0.25">
      <c r="Y35907" s="501"/>
    </row>
    <row r="35908" spans="25:25" hidden="1" x14ac:dyDescent="0.25">
      <c r="Y35908" s="501"/>
    </row>
    <row r="35909" spans="25:25" hidden="1" x14ac:dyDescent="0.25">
      <c r="Y35909" s="501"/>
    </row>
    <row r="35910" spans="25:25" hidden="1" x14ac:dyDescent="0.25">
      <c r="Y35910" s="501"/>
    </row>
    <row r="35911" spans="25:25" hidden="1" x14ac:dyDescent="0.25">
      <c r="Y35911" s="501"/>
    </row>
    <row r="35912" spans="25:25" hidden="1" x14ac:dyDescent="0.25">
      <c r="Y35912" s="501"/>
    </row>
    <row r="35913" spans="25:25" hidden="1" x14ac:dyDescent="0.25">
      <c r="Y35913" s="501"/>
    </row>
    <row r="35914" spans="25:25" hidden="1" x14ac:dyDescent="0.25">
      <c r="Y35914" s="501"/>
    </row>
    <row r="35915" spans="25:25" hidden="1" x14ac:dyDescent="0.25">
      <c r="Y35915" s="501"/>
    </row>
    <row r="35916" spans="25:25" hidden="1" x14ac:dyDescent="0.25">
      <c r="Y35916" s="501"/>
    </row>
    <row r="35917" spans="25:25" hidden="1" x14ac:dyDescent="0.25">
      <c r="Y35917" s="501"/>
    </row>
    <row r="35918" spans="25:25" hidden="1" x14ac:dyDescent="0.25">
      <c r="Y35918" s="501"/>
    </row>
    <row r="35919" spans="25:25" hidden="1" x14ac:dyDescent="0.25">
      <c r="Y35919" s="501"/>
    </row>
    <row r="35920" spans="25:25" hidden="1" x14ac:dyDescent="0.25">
      <c r="Y35920" s="501"/>
    </row>
    <row r="35921" spans="25:25" hidden="1" x14ac:dyDescent="0.25">
      <c r="Y35921" s="501"/>
    </row>
    <row r="35922" spans="25:25" hidden="1" x14ac:dyDescent="0.25">
      <c r="Y35922" s="501"/>
    </row>
    <row r="35923" spans="25:25" hidden="1" x14ac:dyDescent="0.25">
      <c r="Y35923" s="501"/>
    </row>
    <row r="35924" spans="25:25" hidden="1" x14ac:dyDescent="0.25">
      <c r="Y35924" s="501"/>
    </row>
    <row r="35925" spans="25:25" hidden="1" x14ac:dyDescent="0.25">
      <c r="Y35925" s="501"/>
    </row>
    <row r="35926" spans="25:25" hidden="1" x14ac:dyDescent="0.25">
      <c r="Y35926" s="501"/>
    </row>
    <row r="35927" spans="25:25" hidden="1" x14ac:dyDescent="0.25">
      <c r="Y35927" s="501"/>
    </row>
    <row r="35928" spans="25:25" hidden="1" x14ac:dyDescent="0.25">
      <c r="Y35928" s="501"/>
    </row>
    <row r="35929" spans="25:25" hidden="1" x14ac:dyDescent="0.25">
      <c r="Y35929" s="501"/>
    </row>
    <row r="35930" spans="25:25" hidden="1" x14ac:dyDescent="0.25">
      <c r="Y35930" s="501"/>
    </row>
    <row r="35931" spans="25:25" hidden="1" x14ac:dyDescent="0.25">
      <c r="Y35931" s="501"/>
    </row>
    <row r="35932" spans="25:25" hidden="1" x14ac:dyDescent="0.25">
      <c r="Y35932" s="501"/>
    </row>
    <row r="35933" spans="25:25" hidden="1" x14ac:dyDescent="0.25">
      <c r="Y35933" s="501"/>
    </row>
    <row r="35934" spans="25:25" hidden="1" x14ac:dyDescent="0.25">
      <c r="Y35934" s="501"/>
    </row>
    <row r="35935" spans="25:25" hidden="1" x14ac:dyDescent="0.25">
      <c r="Y35935" s="501"/>
    </row>
    <row r="35936" spans="25:25" hidden="1" x14ac:dyDescent="0.25">
      <c r="Y35936" s="501"/>
    </row>
    <row r="35937" spans="25:25" hidden="1" x14ac:dyDescent="0.25">
      <c r="Y35937" s="501"/>
    </row>
    <row r="35938" spans="25:25" hidden="1" x14ac:dyDescent="0.25">
      <c r="Y35938" s="501"/>
    </row>
    <row r="35939" spans="25:25" hidden="1" x14ac:dyDescent="0.25">
      <c r="Y35939" s="501"/>
    </row>
    <row r="35940" spans="25:25" hidden="1" x14ac:dyDescent="0.25">
      <c r="Y35940" s="501"/>
    </row>
    <row r="35941" spans="25:25" hidden="1" x14ac:dyDescent="0.25">
      <c r="Y35941" s="501"/>
    </row>
    <row r="35942" spans="25:25" hidden="1" x14ac:dyDescent="0.25">
      <c r="Y35942" s="501"/>
    </row>
    <row r="35943" spans="25:25" hidden="1" x14ac:dyDescent="0.25">
      <c r="Y35943" s="501"/>
    </row>
    <row r="35944" spans="25:25" hidden="1" x14ac:dyDescent="0.25">
      <c r="Y35944" s="501"/>
    </row>
    <row r="35945" spans="25:25" hidden="1" x14ac:dyDescent="0.25">
      <c r="Y35945" s="501"/>
    </row>
    <row r="35946" spans="25:25" hidden="1" x14ac:dyDescent="0.25">
      <c r="Y35946" s="501"/>
    </row>
    <row r="35947" spans="25:25" hidden="1" x14ac:dyDescent="0.25">
      <c r="Y35947" s="501"/>
    </row>
    <row r="35948" spans="25:25" hidden="1" x14ac:dyDescent="0.25">
      <c r="Y35948" s="501"/>
    </row>
    <row r="35949" spans="25:25" hidden="1" x14ac:dyDescent="0.25">
      <c r="Y35949" s="501"/>
    </row>
    <row r="35950" spans="25:25" hidden="1" x14ac:dyDescent="0.25">
      <c r="Y35950" s="501"/>
    </row>
    <row r="35951" spans="25:25" hidden="1" x14ac:dyDescent="0.25">
      <c r="Y35951" s="501"/>
    </row>
    <row r="35952" spans="25:25" hidden="1" x14ac:dyDescent="0.25">
      <c r="Y35952" s="501"/>
    </row>
    <row r="35953" spans="25:25" hidden="1" x14ac:dyDescent="0.25">
      <c r="Y35953" s="501"/>
    </row>
    <row r="35954" spans="25:25" hidden="1" x14ac:dyDescent="0.25">
      <c r="Y35954" s="501"/>
    </row>
    <row r="35955" spans="25:25" hidden="1" x14ac:dyDescent="0.25">
      <c r="Y35955" s="501"/>
    </row>
    <row r="35956" spans="25:25" hidden="1" x14ac:dyDescent="0.25">
      <c r="Y35956" s="501"/>
    </row>
    <row r="35957" spans="25:25" hidden="1" x14ac:dyDescent="0.25">
      <c r="Y35957" s="501"/>
    </row>
    <row r="35958" spans="25:25" hidden="1" x14ac:dyDescent="0.25">
      <c r="Y35958" s="501"/>
    </row>
    <row r="35959" spans="25:25" hidden="1" x14ac:dyDescent="0.25">
      <c r="Y35959" s="501"/>
    </row>
    <row r="35960" spans="25:25" hidden="1" x14ac:dyDescent="0.25">
      <c r="Y35960" s="501"/>
    </row>
    <row r="35961" spans="25:25" hidden="1" x14ac:dyDescent="0.25">
      <c r="Y35961" s="501"/>
    </row>
    <row r="35962" spans="25:25" hidden="1" x14ac:dyDescent="0.25">
      <c r="Y35962" s="501"/>
    </row>
    <row r="35963" spans="25:25" hidden="1" x14ac:dyDescent="0.25">
      <c r="Y35963" s="501"/>
    </row>
    <row r="35964" spans="25:25" hidden="1" x14ac:dyDescent="0.25">
      <c r="Y35964" s="501"/>
    </row>
    <row r="35965" spans="25:25" hidden="1" x14ac:dyDescent="0.25">
      <c r="Y35965" s="501"/>
    </row>
    <row r="35966" spans="25:25" hidden="1" x14ac:dyDescent="0.25">
      <c r="Y35966" s="501"/>
    </row>
    <row r="35967" spans="25:25" hidden="1" x14ac:dyDescent="0.25">
      <c r="Y35967" s="501"/>
    </row>
    <row r="35968" spans="25:25" hidden="1" x14ac:dyDescent="0.25">
      <c r="Y35968" s="501"/>
    </row>
    <row r="35969" spans="25:25" hidden="1" x14ac:dyDescent="0.25">
      <c r="Y35969" s="501"/>
    </row>
    <row r="35970" spans="25:25" hidden="1" x14ac:dyDescent="0.25">
      <c r="Y35970" s="501"/>
    </row>
    <row r="35971" spans="25:25" hidden="1" x14ac:dyDescent="0.25">
      <c r="Y35971" s="501"/>
    </row>
    <row r="35972" spans="25:25" hidden="1" x14ac:dyDescent="0.25">
      <c r="Y35972" s="501"/>
    </row>
    <row r="35973" spans="25:25" hidden="1" x14ac:dyDescent="0.25">
      <c r="Y35973" s="501"/>
    </row>
    <row r="35974" spans="25:25" hidden="1" x14ac:dyDescent="0.25">
      <c r="Y35974" s="501"/>
    </row>
    <row r="35975" spans="25:25" hidden="1" x14ac:dyDescent="0.25">
      <c r="Y35975" s="501"/>
    </row>
    <row r="35976" spans="25:25" hidden="1" x14ac:dyDescent="0.25">
      <c r="Y35976" s="501"/>
    </row>
    <row r="35977" spans="25:25" hidden="1" x14ac:dyDescent="0.25">
      <c r="Y35977" s="501"/>
    </row>
    <row r="35978" spans="25:25" hidden="1" x14ac:dyDescent="0.25">
      <c r="Y35978" s="501"/>
    </row>
    <row r="35979" spans="25:25" hidden="1" x14ac:dyDescent="0.25">
      <c r="Y35979" s="501"/>
    </row>
    <row r="35980" spans="25:25" hidden="1" x14ac:dyDescent="0.25">
      <c r="Y35980" s="501"/>
    </row>
    <row r="35981" spans="25:25" hidden="1" x14ac:dyDescent="0.25">
      <c r="Y35981" s="501"/>
    </row>
    <row r="35982" spans="25:25" hidden="1" x14ac:dyDescent="0.25">
      <c r="Y35982" s="501"/>
    </row>
    <row r="35983" spans="25:25" hidden="1" x14ac:dyDescent="0.25">
      <c r="Y35983" s="501"/>
    </row>
    <row r="35984" spans="25:25" hidden="1" x14ac:dyDescent="0.25">
      <c r="Y35984" s="501"/>
    </row>
    <row r="35985" spans="25:25" hidden="1" x14ac:dyDescent="0.25">
      <c r="Y35985" s="501"/>
    </row>
    <row r="35986" spans="25:25" hidden="1" x14ac:dyDescent="0.25">
      <c r="Y35986" s="501"/>
    </row>
    <row r="35987" spans="25:25" hidden="1" x14ac:dyDescent="0.25">
      <c r="Y35987" s="501"/>
    </row>
    <row r="35988" spans="25:25" hidden="1" x14ac:dyDescent="0.25">
      <c r="Y35988" s="501"/>
    </row>
    <row r="35989" spans="25:25" hidden="1" x14ac:dyDescent="0.25">
      <c r="Y35989" s="501"/>
    </row>
    <row r="35990" spans="25:25" hidden="1" x14ac:dyDescent="0.25">
      <c r="Y35990" s="501"/>
    </row>
    <row r="35991" spans="25:25" hidden="1" x14ac:dyDescent="0.25">
      <c r="Y35991" s="501"/>
    </row>
    <row r="35992" spans="25:25" hidden="1" x14ac:dyDescent="0.25">
      <c r="Y35992" s="501"/>
    </row>
    <row r="35993" spans="25:25" hidden="1" x14ac:dyDescent="0.25">
      <c r="Y35993" s="501"/>
    </row>
    <row r="35994" spans="25:25" hidden="1" x14ac:dyDescent="0.25">
      <c r="Y35994" s="501"/>
    </row>
    <row r="35995" spans="25:25" hidden="1" x14ac:dyDescent="0.25">
      <c r="Y35995" s="501"/>
    </row>
    <row r="35996" spans="25:25" hidden="1" x14ac:dyDescent="0.25">
      <c r="Y35996" s="501"/>
    </row>
    <row r="35997" spans="25:25" hidden="1" x14ac:dyDescent="0.25">
      <c r="Y35997" s="501"/>
    </row>
    <row r="35998" spans="25:25" hidden="1" x14ac:dyDescent="0.25">
      <c r="Y35998" s="501"/>
    </row>
    <row r="35999" spans="25:25" hidden="1" x14ac:dyDescent="0.25">
      <c r="Y35999" s="501"/>
    </row>
    <row r="36000" spans="25:25" hidden="1" x14ac:dyDescent="0.25">
      <c r="Y36000" s="501"/>
    </row>
    <row r="36001" spans="25:25" hidden="1" x14ac:dyDescent="0.25">
      <c r="Y36001" s="501"/>
    </row>
    <row r="36002" spans="25:25" hidden="1" x14ac:dyDescent="0.25">
      <c r="Y36002" s="501"/>
    </row>
    <row r="36003" spans="25:25" hidden="1" x14ac:dyDescent="0.25">
      <c r="Y36003" s="501"/>
    </row>
    <row r="36004" spans="25:25" hidden="1" x14ac:dyDescent="0.25">
      <c r="Y36004" s="501"/>
    </row>
    <row r="36005" spans="25:25" hidden="1" x14ac:dyDescent="0.25">
      <c r="Y36005" s="501"/>
    </row>
    <row r="36006" spans="25:25" hidden="1" x14ac:dyDescent="0.25">
      <c r="Y36006" s="501"/>
    </row>
    <row r="36007" spans="25:25" hidden="1" x14ac:dyDescent="0.25">
      <c r="Y36007" s="501"/>
    </row>
    <row r="36008" spans="25:25" hidden="1" x14ac:dyDescent="0.25">
      <c r="Y36008" s="501"/>
    </row>
    <row r="36009" spans="25:25" hidden="1" x14ac:dyDescent="0.25">
      <c r="Y36009" s="501"/>
    </row>
    <row r="36010" spans="25:25" hidden="1" x14ac:dyDescent="0.25">
      <c r="Y36010" s="501"/>
    </row>
    <row r="36011" spans="25:25" hidden="1" x14ac:dyDescent="0.25">
      <c r="Y36011" s="501"/>
    </row>
    <row r="36012" spans="25:25" hidden="1" x14ac:dyDescent="0.25">
      <c r="Y36012" s="501"/>
    </row>
    <row r="36013" spans="25:25" hidden="1" x14ac:dyDescent="0.25">
      <c r="Y36013" s="501"/>
    </row>
    <row r="36014" spans="25:25" hidden="1" x14ac:dyDescent="0.25">
      <c r="Y36014" s="501"/>
    </row>
    <row r="36015" spans="25:25" hidden="1" x14ac:dyDescent="0.25">
      <c r="Y36015" s="501"/>
    </row>
    <row r="36016" spans="25:25" hidden="1" x14ac:dyDescent="0.25">
      <c r="Y36016" s="501"/>
    </row>
    <row r="36017" spans="25:25" hidden="1" x14ac:dyDescent="0.25">
      <c r="Y36017" s="501"/>
    </row>
    <row r="36018" spans="25:25" hidden="1" x14ac:dyDescent="0.25">
      <c r="Y36018" s="501"/>
    </row>
    <row r="36019" spans="25:25" hidden="1" x14ac:dyDescent="0.25">
      <c r="Y36019" s="501"/>
    </row>
    <row r="36020" spans="25:25" hidden="1" x14ac:dyDescent="0.25">
      <c r="Y36020" s="501"/>
    </row>
    <row r="36021" spans="25:25" hidden="1" x14ac:dyDescent="0.25">
      <c r="Y36021" s="501"/>
    </row>
    <row r="36022" spans="25:25" hidden="1" x14ac:dyDescent="0.25">
      <c r="Y36022" s="501"/>
    </row>
    <row r="36023" spans="25:25" hidden="1" x14ac:dyDescent="0.25">
      <c r="Y36023" s="501"/>
    </row>
    <row r="36024" spans="25:25" hidden="1" x14ac:dyDescent="0.25">
      <c r="Y36024" s="501"/>
    </row>
    <row r="36025" spans="25:25" hidden="1" x14ac:dyDescent="0.25">
      <c r="Y36025" s="501"/>
    </row>
    <row r="36026" spans="25:25" hidden="1" x14ac:dyDescent="0.25">
      <c r="Y36026" s="501"/>
    </row>
    <row r="36027" spans="25:25" hidden="1" x14ac:dyDescent="0.25">
      <c r="Y36027" s="501"/>
    </row>
    <row r="36028" spans="25:25" hidden="1" x14ac:dyDescent="0.25">
      <c r="Y36028" s="501"/>
    </row>
    <row r="36029" spans="25:25" hidden="1" x14ac:dyDescent="0.25">
      <c r="Y36029" s="501"/>
    </row>
    <row r="36030" spans="25:25" hidden="1" x14ac:dyDescent="0.25">
      <c r="Y36030" s="501"/>
    </row>
    <row r="36031" spans="25:25" hidden="1" x14ac:dyDescent="0.25">
      <c r="Y36031" s="501"/>
    </row>
    <row r="36032" spans="25:25" hidden="1" x14ac:dyDescent="0.25">
      <c r="Y36032" s="501"/>
    </row>
    <row r="36033" spans="25:25" hidden="1" x14ac:dyDescent="0.25">
      <c r="Y36033" s="501"/>
    </row>
    <row r="36034" spans="25:25" hidden="1" x14ac:dyDescent="0.25">
      <c r="Y36034" s="501"/>
    </row>
    <row r="36035" spans="25:25" hidden="1" x14ac:dyDescent="0.25">
      <c r="Y36035" s="501"/>
    </row>
    <row r="36036" spans="25:25" hidden="1" x14ac:dyDescent="0.25">
      <c r="Y36036" s="501"/>
    </row>
    <row r="36037" spans="25:25" hidden="1" x14ac:dyDescent="0.25">
      <c r="Y36037" s="501"/>
    </row>
    <row r="36038" spans="25:25" hidden="1" x14ac:dyDescent="0.25">
      <c r="Y36038" s="501"/>
    </row>
    <row r="36039" spans="25:25" hidden="1" x14ac:dyDescent="0.25">
      <c r="Y36039" s="501"/>
    </row>
    <row r="36040" spans="25:25" hidden="1" x14ac:dyDescent="0.25">
      <c r="Y36040" s="501"/>
    </row>
    <row r="36041" spans="25:25" hidden="1" x14ac:dyDescent="0.25">
      <c r="Y36041" s="501"/>
    </row>
    <row r="36042" spans="25:25" hidden="1" x14ac:dyDescent="0.25">
      <c r="Y36042" s="501"/>
    </row>
    <row r="36043" spans="25:25" hidden="1" x14ac:dyDescent="0.25">
      <c r="Y36043" s="501"/>
    </row>
    <row r="36044" spans="25:25" hidden="1" x14ac:dyDescent="0.25">
      <c r="Y36044" s="501"/>
    </row>
    <row r="36045" spans="25:25" hidden="1" x14ac:dyDescent="0.25">
      <c r="Y36045" s="501"/>
    </row>
    <row r="36046" spans="25:25" hidden="1" x14ac:dyDescent="0.25">
      <c r="Y36046" s="501"/>
    </row>
    <row r="36047" spans="25:25" hidden="1" x14ac:dyDescent="0.25">
      <c r="Y36047" s="501"/>
    </row>
    <row r="36048" spans="25:25" hidden="1" x14ac:dyDescent="0.25">
      <c r="Y36048" s="501"/>
    </row>
    <row r="36049" spans="25:25" hidden="1" x14ac:dyDescent="0.25">
      <c r="Y36049" s="501"/>
    </row>
    <row r="36050" spans="25:25" hidden="1" x14ac:dyDescent="0.25">
      <c r="Y36050" s="501"/>
    </row>
    <row r="36051" spans="25:25" hidden="1" x14ac:dyDescent="0.25">
      <c r="Y36051" s="501"/>
    </row>
    <row r="36052" spans="25:25" hidden="1" x14ac:dyDescent="0.25">
      <c r="Y36052" s="501"/>
    </row>
    <row r="36053" spans="25:25" hidden="1" x14ac:dyDescent="0.25">
      <c r="Y36053" s="501"/>
    </row>
    <row r="36054" spans="25:25" hidden="1" x14ac:dyDescent="0.25">
      <c r="Y36054" s="501"/>
    </row>
    <row r="36055" spans="25:25" hidden="1" x14ac:dyDescent="0.25">
      <c r="Y36055" s="501"/>
    </row>
    <row r="36056" spans="25:25" hidden="1" x14ac:dyDescent="0.25">
      <c r="Y36056" s="501"/>
    </row>
    <row r="36057" spans="25:25" hidden="1" x14ac:dyDescent="0.25">
      <c r="Y36057" s="501"/>
    </row>
    <row r="36058" spans="25:25" hidden="1" x14ac:dyDescent="0.25">
      <c r="Y36058" s="501"/>
    </row>
    <row r="36059" spans="25:25" hidden="1" x14ac:dyDescent="0.25">
      <c r="Y36059" s="501"/>
    </row>
    <row r="36060" spans="25:25" hidden="1" x14ac:dyDescent="0.25">
      <c r="Y36060" s="501"/>
    </row>
    <row r="36061" spans="25:25" hidden="1" x14ac:dyDescent="0.25">
      <c r="Y36061" s="501"/>
    </row>
    <row r="36062" spans="25:25" hidden="1" x14ac:dyDescent="0.25">
      <c r="Y36062" s="501"/>
    </row>
    <row r="36063" spans="25:25" hidden="1" x14ac:dyDescent="0.25">
      <c r="Y36063" s="501"/>
    </row>
    <row r="36064" spans="25:25" hidden="1" x14ac:dyDescent="0.25">
      <c r="Y36064" s="501"/>
    </row>
    <row r="36065" spans="25:25" hidden="1" x14ac:dyDescent="0.25">
      <c r="Y36065" s="501"/>
    </row>
    <row r="36066" spans="25:25" hidden="1" x14ac:dyDescent="0.25">
      <c r="Y36066" s="501"/>
    </row>
    <row r="36067" spans="25:25" hidden="1" x14ac:dyDescent="0.25">
      <c r="Y36067" s="501"/>
    </row>
    <row r="36068" spans="25:25" hidden="1" x14ac:dyDescent="0.25">
      <c r="Y36068" s="501"/>
    </row>
    <row r="36069" spans="25:25" hidden="1" x14ac:dyDescent="0.25">
      <c r="Y36069" s="501"/>
    </row>
    <row r="36070" spans="25:25" hidden="1" x14ac:dyDescent="0.25">
      <c r="Y36070" s="501"/>
    </row>
    <row r="36071" spans="25:25" hidden="1" x14ac:dyDescent="0.25">
      <c r="Y36071" s="501"/>
    </row>
    <row r="36072" spans="25:25" hidden="1" x14ac:dyDescent="0.25">
      <c r="Y36072" s="501"/>
    </row>
    <row r="36073" spans="25:25" hidden="1" x14ac:dyDescent="0.25">
      <c r="Y36073" s="501"/>
    </row>
    <row r="36074" spans="25:25" hidden="1" x14ac:dyDescent="0.25">
      <c r="Y36074" s="501"/>
    </row>
    <row r="36075" spans="25:25" hidden="1" x14ac:dyDescent="0.25">
      <c r="Y36075" s="501"/>
    </row>
    <row r="36076" spans="25:25" hidden="1" x14ac:dyDescent="0.25">
      <c r="Y36076" s="501"/>
    </row>
    <row r="36077" spans="25:25" hidden="1" x14ac:dyDescent="0.25">
      <c r="Y36077" s="501"/>
    </row>
    <row r="36078" spans="25:25" hidden="1" x14ac:dyDescent="0.25">
      <c r="Y36078" s="501"/>
    </row>
    <row r="36079" spans="25:25" hidden="1" x14ac:dyDescent="0.25">
      <c r="Y36079" s="501"/>
    </row>
    <row r="36080" spans="25:25" hidden="1" x14ac:dyDescent="0.25">
      <c r="Y36080" s="501"/>
    </row>
    <row r="36081" spans="25:25" hidden="1" x14ac:dyDescent="0.25">
      <c r="Y36081" s="501"/>
    </row>
    <row r="36082" spans="25:25" hidden="1" x14ac:dyDescent="0.25">
      <c r="Y36082" s="501"/>
    </row>
    <row r="36083" spans="25:25" hidden="1" x14ac:dyDescent="0.25">
      <c r="Y36083" s="501"/>
    </row>
    <row r="36084" spans="25:25" hidden="1" x14ac:dyDescent="0.25">
      <c r="Y36084" s="501"/>
    </row>
    <row r="36085" spans="25:25" hidden="1" x14ac:dyDescent="0.25">
      <c r="Y36085" s="501"/>
    </row>
    <row r="36086" spans="25:25" hidden="1" x14ac:dyDescent="0.25">
      <c r="Y36086" s="501"/>
    </row>
    <row r="36087" spans="25:25" hidden="1" x14ac:dyDescent="0.25">
      <c r="Y36087" s="501"/>
    </row>
    <row r="36088" spans="25:25" hidden="1" x14ac:dyDescent="0.25">
      <c r="Y36088" s="501"/>
    </row>
    <row r="36089" spans="25:25" hidden="1" x14ac:dyDescent="0.25">
      <c r="Y36089" s="501"/>
    </row>
    <row r="36090" spans="25:25" hidden="1" x14ac:dyDescent="0.25">
      <c r="Y36090" s="501"/>
    </row>
    <row r="36091" spans="25:25" hidden="1" x14ac:dyDescent="0.25">
      <c r="Y36091" s="501"/>
    </row>
    <row r="36092" spans="25:25" hidden="1" x14ac:dyDescent="0.25">
      <c r="Y36092" s="501"/>
    </row>
    <row r="36093" spans="25:25" hidden="1" x14ac:dyDescent="0.25">
      <c r="Y36093" s="501"/>
    </row>
    <row r="36094" spans="25:25" hidden="1" x14ac:dyDescent="0.25">
      <c r="Y36094" s="501"/>
    </row>
    <row r="36095" spans="25:25" hidden="1" x14ac:dyDescent="0.25">
      <c r="Y36095" s="501"/>
    </row>
    <row r="36096" spans="25:25" hidden="1" x14ac:dyDescent="0.25">
      <c r="Y36096" s="501"/>
    </row>
    <row r="36097" spans="25:25" hidden="1" x14ac:dyDescent="0.25">
      <c r="Y36097" s="501"/>
    </row>
    <row r="36098" spans="25:25" hidden="1" x14ac:dyDescent="0.25">
      <c r="Y36098" s="501"/>
    </row>
    <row r="36099" spans="25:25" hidden="1" x14ac:dyDescent="0.25">
      <c r="Y36099" s="501"/>
    </row>
    <row r="36100" spans="25:25" hidden="1" x14ac:dyDescent="0.25">
      <c r="Y36100" s="501"/>
    </row>
    <row r="36101" spans="25:25" hidden="1" x14ac:dyDescent="0.25">
      <c r="Y36101" s="501"/>
    </row>
    <row r="36102" spans="25:25" hidden="1" x14ac:dyDescent="0.25">
      <c r="Y36102" s="501"/>
    </row>
    <row r="36103" spans="25:25" hidden="1" x14ac:dyDescent="0.25">
      <c r="Y36103" s="501"/>
    </row>
    <row r="36104" spans="25:25" hidden="1" x14ac:dyDescent="0.25">
      <c r="Y36104" s="501"/>
    </row>
    <row r="36105" spans="25:25" hidden="1" x14ac:dyDescent="0.25">
      <c r="Y36105" s="501"/>
    </row>
    <row r="36106" spans="25:25" hidden="1" x14ac:dyDescent="0.25">
      <c r="Y36106" s="501"/>
    </row>
    <row r="36107" spans="25:25" hidden="1" x14ac:dyDescent="0.25">
      <c r="Y36107" s="501"/>
    </row>
    <row r="36108" spans="25:25" hidden="1" x14ac:dyDescent="0.25">
      <c r="Y36108" s="501"/>
    </row>
    <row r="36109" spans="25:25" hidden="1" x14ac:dyDescent="0.25">
      <c r="Y36109" s="501"/>
    </row>
    <row r="36110" spans="25:25" hidden="1" x14ac:dyDescent="0.25">
      <c r="Y36110" s="501"/>
    </row>
    <row r="36111" spans="25:25" hidden="1" x14ac:dyDescent="0.25">
      <c r="Y36111" s="501"/>
    </row>
    <row r="36112" spans="25:25" hidden="1" x14ac:dyDescent="0.25">
      <c r="Y36112" s="501"/>
    </row>
    <row r="36113" spans="25:25" hidden="1" x14ac:dyDescent="0.25">
      <c r="Y36113" s="501"/>
    </row>
    <row r="36114" spans="25:25" hidden="1" x14ac:dyDescent="0.25">
      <c r="Y36114" s="501"/>
    </row>
    <row r="36115" spans="25:25" hidden="1" x14ac:dyDescent="0.25">
      <c r="Y36115" s="501"/>
    </row>
    <row r="36116" spans="25:25" hidden="1" x14ac:dyDescent="0.25">
      <c r="Y36116" s="501"/>
    </row>
    <row r="36117" spans="25:25" hidden="1" x14ac:dyDescent="0.25">
      <c r="Y36117" s="501"/>
    </row>
    <row r="36118" spans="25:25" hidden="1" x14ac:dyDescent="0.25">
      <c r="Y36118" s="501"/>
    </row>
    <row r="36119" spans="25:25" hidden="1" x14ac:dyDescent="0.25">
      <c r="Y36119" s="501"/>
    </row>
    <row r="36120" spans="25:25" hidden="1" x14ac:dyDescent="0.25">
      <c r="Y36120" s="501"/>
    </row>
    <row r="36121" spans="25:25" hidden="1" x14ac:dyDescent="0.25">
      <c r="Y36121" s="501"/>
    </row>
    <row r="36122" spans="25:25" hidden="1" x14ac:dyDescent="0.25">
      <c r="Y36122" s="501"/>
    </row>
    <row r="36123" spans="25:25" hidden="1" x14ac:dyDescent="0.25">
      <c r="Y36123" s="501"/>
    </row>
    <row r="36124" spans="25:25" hidden="1" x14ac:dyDescent="0.25">
      <c r="Y36124" s="501"/>
    </row>
    <row r="36125" spans="25:25" hidden="1" x14ac:dyDescent="0.25">
      <c r="Y36125" s="501"/>
    </row>
    <row r="36126" spans="25:25" hidden="1" x14ac:dyDescent="0.25">
      <c r="Y36126" s="501"/>
    </row>
    <row r="36127" spans="25:25" hidden="1" x14ac:dyDescent="0.25">
      <c r="Y36127" s="501"/>
    </row>
    <row r="36128" spans="25:25" hidden="1" x14ac:dyDescent="0.25">
      <c r="Y36128" s="501"/>
    </row>
    <row r="36129" spans="25:25" hidden="1" x14ac:dyDescent="0.25">
      <c r="Y36129" s="501"/>
    </row>
    <row r="36130" spans="25:25" hidden="1" x14ac:dyDescent="0.25">
      <c r="Y36130" s="501"/>
    </row>
    <row r="36131" spans="25:25" hidden="1" x14ac:dyDescent="0.25">
      <c r="Y36131" s="501"/>
    </row>
    <row r="36132" spans="25:25" hidden="1" x14ac:dyDescent="0.25">
      <c r="Y36132" s="501"/>
    </row>
    <row r="36133" spans="25:25" hidden="1" x14ac:dyDescent="0.25">
      <c r="Y36133" s="501"/>
    </row>
    <row r="36134" spans="25:25" hidden="1" x14ac:dyDescent="0.25">
      <c r="Y36134" s="501"/>
    </row>
    <row r="36135" spans="25:25" hidden="1" x14ac:dyDescent="0.25">
      <c r="Y36135" s="501"/>
    </row>
    <row r="36136" spans="25:25" hidden="1" x14ac:dyDescent="0.25">
      <c r="Y36136" s="501"/>
    </row>
    <row r="36137" spans="25:25" hidden="1" x14ac:dyDescent="0.25">
      <c r="Y36137" s="501"/>
    </row>
    <row r="36138" spans="25:25" hidden="1" x14ac:dyDescent="0.25">
      <c r="Y36138" s="501"/>
    </row>
    <row r="36139" spans="25:25" hidden="1" x14ac:dyDescent="0.25">
      <c r="Y36139" s="501"/>
    </row>
    <row r="36140" spans="25:25" hidden="1" x14ac:dyDescent="0.25">
      <c r="Y36140" s="501"/>
    </row>
    <row r="36141" spans="25:25" hidden="1" x14ac:dyDescent="0.25">
      <c r="Y36141" s="501"/>
    </row>
    <row r="36142" spans="25:25" hidden="1" x14ac:dyDescent="0.25">
      <c r="Y36142" s="501"/>
    </row>
    <row r="36143" spans="25:25" hidden="1" x14ac:dyDescent="0.25">
      <c r="Y36143" s="501"/>
    </row>
    <row r="36144" spans="25:25" hidden="1" x14ac:dyDescent="0.25">
      <c r="Y36144" s="501"/>
    </row>
    <row r="36145" spans="25:25" hidden="1" x14ac:dyDescent="0.25">
      <c r="Y36145" s="501"/>
    </row>
    <row r="36146" spans="25:25" hidden="1" x14ac:dyDescent="0.25">
      <c r="Y36146" s="501"/>
    </row>
    <row r="36147" spans="25:25" hidden="1" x14ac:dyDescent="0.25">
      <c r="Y36147" s="501"/>
    </row>
    <row r="36148" spans="25:25" hidden="1" x14ac:dyDescent="0.25">
      <c r="Y36148" s="501"/>
    </row>
    <row r="36149" spans="25:25" hidden="1" x14ac:dyDescent="0.25">
      <c r="Y36149" s="501"/>
    </row>
    <row r="36150" spans="25:25" hidden="1" x14ac:dyDescent="0.25">
      <c r="Y36150" s="501"/>
    </row>
    <row r="36151" spans="25:25" hidden="1" x14ac:dyDescent="0.25">
      <c r="Y36151" s="501"/>
    </row>
    <row r="36152" spans="25:25" hidden="1" x14ac:dyDescent="0.25">
      <c r="Y36152" s="501"/>
    </row>
    <row r="36153" spans="25:25" hidden="1" x14ac:dyDescent="0.25">
      <c r="Y36153" s="501"/>
    </row>
    <row r="36154" spans="25:25" hidden="1" x14ac:dyDescent="0.25">
      <c r="Y36154" s="501"/>
    </row>
    <row r="36155" spans="25:25" hidden="1" x14ac:dyDescent="0.25">
      <c r="Y36155" s="501"/>
    </row>
    <row r="36156" spans="25:25" hidden="1" x14ac:dyDescent="0.25">
      <c r="Y36156" s="501"/>
    </row>
    <row r="36157" spans="25:25" hidden="1" x14ac:dyDescent="0.25">
      <c r="Y36157" s="501"/>
    </row>
    <row r="36158" spans="25:25" hidden="1" x14ac:dyDescent="0.25">
      <c r="Y36158" s="501"/>
    </row>
    <row r="36159" spans="25:25" hidden="1" x14ac:dyDescent="0.25">
      <c r="Y36159" s="501"/>
    </row>
    <row r="36160" spans="25:25" hidden="1" x14ac:dyDescent="0.25">
      <c r="Y36160" s="501"/>
    </row>
    <row r="36161" spans="25:25" hidden="1" x14ac:dyDescent="0.25">
      <c r="Y36161" s="501"/>
    </row>
    <row r="36162" spans="25:25" hidden="1" x14ac:dyDescent="0.25">
      <c r="Y36162" s="501"/>
    </row>
    <row r="36163" spans="25:25" hidden="1" x14ac:dyDescent="0.25">
      <c r="Y36163" s="501"/>
    </row>
    <row r="36164" spans="25:25" hidden="1" x14ac:dyDescent="0.25">
      <c r="Y36164" s="501"/>
    </row>
    <row r="36165" spans="25:25" hidden="1" x14ac:dyDescent="0.25">
      <c r="Y36165" s="501"/>
    </row>
    <row r="36166" spans="25:25" hidden="1" x14ac:dyDescent="0.25">
      <c r="Y36166" s="501"/>
    </row>
    <row r="36167" spans="25:25" hidden="1" x14ac:dyDescent="0.25">
      <c r="Y36167" s="501"/>
    </row>
    <row r="36168" spans="25:25" hidden="1" x14ac:dyDescent="0.25">
      <c r="Y36168" s="501"/>
    </row>
    <row r="36169" spans="25:25" hidden="1" x14ac:dyDescent="0.25">
      <c r="Y36169" s="501"/>
    </row>
    <row r="36170" spans="25:25" hidden="1" x14ac:dyDescent="0.25">
      <c r="Y36170" s="501"/>
    </row>
    <row r="36171" spans="25:25" hidden="1" x14ac:dyDescent="0.25">
      <c r="Y36171" s="501"/>
    </row>
    <row r="36172" spans="25:25" hidden="1" x14ac:dyDescent="0.25">
      <c r="Y36172" s="501"/>
    </row>
    <row r="36173" spans="25:25" hidden="1" x14ac:dyDescent="0.25">
      <c r="Y36173" s="501"/>
    </row>
    <row r="36174" spans="25:25" hidden="1" x14ac:dyDescent="0.25">
      <c r="Y36174" s="501"/>
    </row>
    <row r="36175" spans="25:25" hidden="1" x14ac:dyDescent="0.25">
      <c r="Y36175" s="501"/>
    </row>
    <row r="36176" spans="25:25" hidden="1" x14ac:dyDescent="0.25">
      <c r="Y36176" s="501"/>
    </row>
    <row r="36177" spans="25:25" hidden="1" x14ac:dyDescent="0.25">
      <c r="Y36177" s="501"/>
    </row>
    <row r="36178" spans="25:25" hidden="1" x14ac:dyDescent="0.25">
      <c r="Y36178" s="501"/>
    </row>
    <row r="36179" spans="25:25" hidden="1" x14ac:dyDescent="0.25">
      <c r="Y36179" s="501"/>
    </row>
    <row r="36180" spans="25:25" hidden="1" x14ac:dyDescent="0.25">
      <c r="Y36180" s="501"/>
    </row>
    <row r="36181" spans="25:25" hidden="1" x14ac:dyDescent="0.25">
      <c r="Y36181" s="501"/>
    </row>
    <row r="36182" spans="25:25" hidden="1" x14ac:dyDescent="0.25">
      <c r="Y36182" s="501"/>
    </row>
    <row r="36183" spans="25:25" hidden="1" x14ac:dyDescent="0.25">
      <c r="Y36183" s="501"/>
    </row>
    <row r="36184" spans="25:25" hidden="1" x14ac:dyDescent="0.25">
      <c r="Y36184" s="501"/>
    </row>
    <row r="36185" spans="25:25" hidden="1" x14ac:dyDescent="0.25">
      <c r="Y36185" s="501"/>
    </row>
    <row r="36186" spans="25:25" hidden="1" x14ac:dyDescent="0.25">
      <c r="Y36186" s="501"/>
    </row>
    <row r="36187" spans="25:25" hidden="1" x14ac:dyDescent="0.25">
      <c r="Y36187" s="501"/>
    </row>
    <row r="36188" spans="25:25" hidden="1" x14ac:dyDescent="0.25">
      <c r="Y36188" s="501"/>
    </row>
    <row r="36189" spans="25:25" hidden="1" x14ac:dyDescent="0.25">
      <c r="Y36189" s="501"/>
    </row>
    <row r="36190" spans="25:25" hidden="1" x14ac:dyDescent="0.25">
      <c r="Y36190" s="501"/>
    </row>
    <row r="36191" spans="25:25" hidden="1" x14ac:dyDescent="0.25">
      <c r="Y36191" s="501"/>
    </row>
    <row r="36192" spans="25:25" hidden="1" x14ac:dyDescent="0.25">
      <c r="Y36192" s="501"/>
    </row>
    <row r="36193" spans="25:25" hidden="1" x14ac:dyDescent="0.25">
      <c r="Y36193" s="501"/>
    </row>
    <row r="36194" spans="25:25" hidden="1" x14ac:dyDescent="0.25">
      <c r="Y36194" s="501"/>
    </row>
    <row r="36195" spans="25:25" hidden="1" x14ac:dyDescent="0.25">
      <c r="Y36195" s="501"/>
    </row>
    <row r="36196" spans="25:25" hidden="1" x14ac:dyDescent="0.25">
      <c r="Y36196" s="501"/>
    </row>
    <row r="36197" spans="25:25" hidden="1" x14ac:dyDescent="0.25">
      <c r="Y36197" s="501"/>
    </row>
    <row r="36198" spans="25:25" hidden="1" x14ac:dyDescent="0.25">
      <c r="Y36198" s="501"/>
    </row>
    <row r="36199" spans="25:25" hidden="1" x14ac:dyDescent="0.25">
      <c r="Y36199" s="501"/>
    </row>
    <row r="36200" spans="25:25" hidden="1" x14ac:dyDescent="0.25">
      <c r="Y36200" s="501"/>
    </row>
    <row r="36201" spans="25:25" hidden="1" x14ac:dyDescent="0.25">
      <c r="Y36201" s="501"/>
    </row>
    <row r="36202" spans="25:25" hidden="1" x14ac:dyDescent="0.25">
      <c r="Y36202" s="501"/>
    </row>
    <row r="36203" spans="25:25" hidden="1" x14ac:dyDescent="0.25">
      <c r="Y36203" s="501"/>
    </row>
    <row r="36204" spans="25:25" hidden="1" x14ac:dyDescent="0.25">
      <c r="Y36204" s="501"/>
    </row>
    <row r="36205" spans="25:25" hidden="1" x14ac:dyDescent="0.25">
      <c r="Y36205" s="501"/>
    </row>
    <row r="36206" spans="25:25" hidden="1" x14ac:dyDescent="0.25">
      <c r="Y36206" s="501"/>
    </row>
    <row r="36207" spans="25:25" hidden="1" x14ac:dyDescent="0.25">
      <c r="Y36207" s="501"/>
    </row>
    <row r="36208" spans="25:25" hidden="1" x14ac:dyDescent="0.25">
      <c r="Y36208" s="501"/>
    </row>
    <row r="36209" spans="25:25" hidden="1" x14ac:dyDescent="0.25">
      <c r="Y36209" s="501"/>
    </row>
    <row r="36210" spans="25:25" hidden="1" x14ac:dyDescent="0.25">
      <c r="Y36210" s="501"/>
    </row>
    <row r="36211" spans="25:25" hidden="1" x14ac:dyDescent="0.25">
      <c r="Y36211" s="501"/>
    </row>
    <row r="36212" spans="25:25" hidden="1" x14ac:dyDescent="0.25">
      <c r="Y36212" s="501"/>
    </row>
    <row r="36213" spans="25:25" hidden="1" x14ac:dyDescent="0.25">
      <c r="Y36213" s="501"/>
    </row>
    <row r="36214" spans="25:25" hidden="1" x14ac:dyDescent="0.25">
      <c r="Y36214" s="501"/>
    </row>
    <row r="36215" spans="25:25" hidden="1" x14ac:dyDescent="0.25">
      <c r="Y36215" s="501"/>
    </row>
    <row r="36216" spans="25:25" hidden="1" x14ac:dyDescent="0.25">
      <c r="Y36216" s="501"/>
    </row>
    <row r="36217" spans="25:25" hidden="1" x14ac:dyDescent="0.25">
      <c r="Y36217" s="501"/>
    </row>
    <row r="36218" spans="25:25" hidden="1" x14ac:dyDescent="0.25">
      <c r="Y36218" s="501"/>
    </row>
    <row r="36219" spans="25:25" hidden="1" x14ac:dyDescent="0.25">
      <c r="Y36219" s="501"/>
    </row>
    <row r="36220" spans="25:25" hidden="1" x14ac:dyDescent="0.25">
      <c r="Y36220" s="501"/>
    </row>
    <row r="36221" spans="25:25" hidden="1" x14ac:dyDescent="0.25">
      <c r="Y36221" s="501"/>
    </row>
    <row r="36222" spans="25:25" hidden="1" x14ac:dyDescent="0.25">
      <c r="Y36222" s="501"/>
    </row>
    <row r="36223" spans="25:25" hidden="1" x14ac:dyDescent="0.25">
      <c r="Y36223" s="501"/>
    </row>
    <row r="36224" spans="25:25" hidden="1" x14ac:dyDescent="0.25">
      <c r="Y36224" s="501"/>
    </row>
    <row r="36225" spans="25:25" hidden="1" x14ac:dyDescent="0.25">
      <c r="Y36225" s="501"/>
    </row>
    <row r="36226" spans="25:25" hidden="1" x14ac:dyDescent="0.25">
      <c r="Y36226" s="501"/>
    </row>
    <row r="36227" spans="25:25" hidden="1" x14ac:dyDescent="0.25">
      <c r="Y36227" s="501"/>
    </row>
    <row r="36228" spans="25:25" hidden="1" x14ac:dyDescent="0.25">
      <c r="Y36228" s="501"/>
    </row>
    <row r="36229" spans="25:25" hidden="1" x14ac:dyDescent="0.25">
      <c r="Y36229" s="501"/>
    </row>
    <row r="36230" spans="25:25" hidden="1" x14ac:dyDescent="0.25">
      <c r="Y36230" s="501"/>
    </row>
    <row r="36231" spans="25:25" hidden="1" x14ac:dyDescent="0.25">
      <c r="Y36231" s="501"/>
    </row>
    <row r="36232" spans="25:25" hidden="1" x14ac:dyDescent="0.25">
      <c r="Y36232" s="501"/>
    </row>
    <row r="36233" spans="25:25" hidden="1" x14ac:dyDescent="0.25">
      <c r="Y36233" s="501"/>
    </row>
    <row r="36234" spans="25:25" hidden="1" x14ac:dyDescent="0.25">
      <c r="Y36234" s="501"/>
    </row>
    <row r="36235" spans="25:25" hidden="1" x14ac:dyDescent="0.25">
      <c r="Y36235" s="501"/>
    </row>
    <row r="36236" spans="25:25" hidden="1" x14ac:dyDescent="0.25">
      <c r="Y36236" s="501"/>
    </row>
    <row r="36237" spans="25:25" hidden="1" x14ac:dyDescent="0.25">
      <c r="Y36237" s="501"/>
    </row>
    <row r="36238" spans="25:25" hidden="1" x14ac:dyDescent="0.25">
      <c r="Y36238" s="501"/>
    </row>
    <row r="36239" spans="25:25" hidden="1" x14ac:dyDescent="0.25">
      <c r="Y36239" s="501"/>
    </row>
    <row r="36240" spans="25:25" hidden="1" x14ac:dyDescent="0.25">
      <c r="Y36240" s="501"/>
    </row>
    <row r="36241" spans="25:25" hidden="1" x14ac:dyDescent="0.25">
      <c r="Y36241" s="501"/>
    </row>
    <row r="36242" spans="25:25" hidden="1" x14ac:dyDescent="0.25">
      <c r="Y36242" s="501"/>
    </row>
    <row r="36243" spans="25:25" hidden="1" x14ac:dyDescent="0.25">
      <c r="Y36243" s="501"/>
    </row>
    <row r="36244" spans="25:25" hidden="1" x14ac:dyDescent="0.25">
      <c r="Y36244" s="501"/>
    </row>
    <row r="36245" spans="25:25" hidden="1" x14ac:dyDescent="0.25">
      <c r="Y36245" s="501"/>
    </row>
    <row r="36246" spans="25:25" hidden="1" x14ac:dyDescent="0.25">
      <c r="Y36246" s="501"/>
    </row>
    <row r="36247" spans="25:25" hidden="1" x14ac:dyDescent="0.25">
      <c r="Y36247" s="501"/>
    </row>
    <row r="36248" spans="25:25" hidden="1" x14ac:dyDescent="0.25">
      <c r="Y36248" s="501"/>
    </row>
    <row r="36249" spans="25:25" hidden="1" x14ac:dyDescent="0.25">
      <c r="Y36249" s="501"/>
    </row>
    <row r="36250" spans="25:25" hidden="1" x14ac:dyDescent="0.25">
      <c r="Y36250" s="501"/>
    </row>
    <row r="36251" spans="25:25" hidden="1" x14ac:dyDescent="0.25">
      <c r="Y36251" s="501"/>
    </row>
    <row r="36252" spans="25:25" hidden="1" x14ac:dyDescent="0.25">
      <c r="Y36252" s="501"/>
    </row>
    <row r="36253" spans="25:25" hidden="1" x14ac:dyDescent="0.25">
      <c r="Y36253" s="501"/>
    </row>
    <row r="36254" spans="25:25" hidden="1" x14ac:dyDescent="0.25">
      <c r="Y36254" s="501"/>
    </row>
    <row r="36255" spans="25:25" hidden="1" x14ac:dyDescent="0.25">
      <c r="Y36255" s="501"/>
    </row>
    <row r="36256" spans="25:25" hidden="1" x14ac:dyDescent="0.25">
      <c r="Y36256" s="501"/>
    </row>
    <row r="36257" spans="25:25" hidden="1" x14ac:dyDescent="0.25">
      <c r="Y36257" s="501"/>
    </row>
    <row r="36258" spans="25:25" hidden="1" x14ac:dyDescent="0.25">
      <c r="Y36258" s="501"/>
    </row>
    <row r="36259" spans="25:25" hidden="1" x14ac:dyDescent="0.25">
      <c r="Y36259" s="501"/>
    </row>
    <row r="36260" spans="25:25" hidden="1" x14ac:dyDescent="0.25">
      <c r="Y36260" s="501"/>
    </row>
    <row r="36261" spans="25:25" hidden="1" x14ac:dyDescent="0.25">
      <c r="Y36261" s="501"/>
    </row>
    <row r="36262" spans="25:25" hidden="1" x14ac:dyDescent="0.25">
      <c r="Y36262" s="501"/>
    </row>
    <row r="36263" spans="25:25" hidden="1" x14ac:dyDescent="0.25">
      <c r="Y36263" s="501"/>
    </row>
    <row r="36264" spans="25:25" hidden="1" x14ac:dyDescent="0.25">
      <c r="Y36264" s="501"/>
    </row>
    <row r="36265" spans="25:25" hidden="1" x14ac:dyDescent="0.25">
      <c r="Y36265" s="501"/>
    </row>
    <row r="36266" spans="25:25" hidden="1" x14ac:dyDescent="0.25">
      <c r="Y36266" s="501"/>
    </row>
    <row r="36267" spans="25:25" hidden="1" x14ac:dyDescent="0.25">
      <c r="Y36267" s="501"/>
    </row>
    <row r="36268" spans="25:25" hidden="1" x14ac:dyDescent="0.25">
      <c r="Y36268" s="501"/>
    </row>
    <row r="36269" spans="25:25" hidden="1" x14ac:dyDescent="0.25">
      <c r="Y36269" s="501"/>
    </row>
    <row r="36270" spans="25:25" hidden="1" x14ac:dyDescent="0.25">
      <c r="Y36270" s="501"/>
    </row>
    <row r="36271" spans="25:25" hidden="1" x14ac:dyDescent="0.25">
      <c r="Y36271" s="501"/>
    </row>
    <row r="36272" spans="25:25" hidden="1" x14ac:dyDescent="0.25">
      <c r="Y36272" s="501"/>
    </row>
    <row r="36273" spans="25:25" hidden="1" x14ac:dyDescent="0.25">
      <c r="Y36273" s="501"/>
    </row>
    <row r="36274" spans="25:25" hidden="1" x14ac:dyDescent="0.25">
      <c r="Y36274" s="501"/>
    </row>
    <row r="36275" spans="25:25" hidden="1" x14ac:dyDescent="0.25">
      <c r="Y36275" s="501"/>
    </row>
    <row r="36276" spans="25:25" hidden="1" x14ac:dyDescent="0.25">
      <c r="Y36276" s="501"/>
    </row>
    <row r="36277" spans="25:25" hidden="1" x14ac:dyDescent="0.25">
      <c r="Y36277" s="501"/>
    </row>
    <row r="36278" spans="25:25" hidden="1" x14ac:dyDescent="0.25">
      <c r="Y36278" s="501"/>
    </row>
    <row r="36279" spans="25:25" hidden="1" x14ac:dyDescent="0.25">
      <c r="Y36279" s="501"/>
    </row>
    <row r="36280" spans="25:25" hidden="1" x14ac:dyDescent="0.25">
      <c r="Y36280" s="501"/>
    </row>
    <row r="36281" spans="25:25" hidden="1" x14ac:dyDescent="0.25">
      <c r="Y36281" s="501"/>
    </row>
    <row r="36282" spans="25:25" hidden="1" x14ac:dyDescent="0.25">
      <c r="Y36282" s="501"/>
    </row>
    <row r="36283" spans="25:25" hidden="1" x14ac:dyDescent="0.25">
      <c r="Y36283" s="501"/>
    </row>
    <row r="36284" spans="25:25" hidden="1" x14ac:dyDescent="0.25">
      <c r="Y36284" s="501"/>
    </row>
    <row r="36285" spans="25:25" hidden="1" x14ac:dyDescent="0.25">
      <c r="Y36285" s="501"/>
    </row>
    <row r="36286" spans="25:25" hidden="1" x14ac:dyDescent="0.25">
      <c r="Y36286" s="501"/>
    </row>
    <row r="36287" spans="25:25" hidden="1" x14ac:dyDescent="0.25">
      <c r="Y36287" s="501"/>
    </row>
    <row r="36288" spans="25:25" hidden="1" x14ac:dyDescent="0.25">
      <c r="Y36288" s="501"/>
    </row>
    <row r="36289" spans="25:25" hidden="1" x14ac:dyDescent="0.25">
      <c r="Y36289" s="501"/>
    </row>
    <row r="36290" spans="25:25" hidden="1" x14ac:dyDescent="0.25">
      <c r="Y36290" s="501"/>
    </row>
    <row r="36291" spans="25:25" hidden="1" x14ac:dyDescent="0.25">
      <c r="Y36291" s="501"/>
    </row>
    <row r="36292" spans="25:25" hidden="1" x14ac:dyDescent="0.25">
      <c r="Y36292" s="501"/>
    </row>
    <row r="36293" spans="25:25" hidden="1" x14ac:dyDescent="0.25">
      <c r="Y36293" s="501"/>
    </row>
    <row r="36294" spans="25:25" hidden="1" x14ac:dyDescent="0.25">
      <c r="Y36294" s="501"/>
    </row>
    <row r="36295" spans="25:25" hidden="1" x14ac:dyDescent="0.25">
      <c r="Y36295" s="501"/>
    </row>
    <row r="36296" spans="25:25" hidden="1" x14ac:dyDescent="0.25">
      <c r="Y36296" s="501"/>
    </row>
    <row r="36297" spans="25:25" hidden="1" x14ac:dyDescent="0.25">
      <c r="Y36297" s="501"/>
    </row>
    <row r="36298" spans="25:25" hidden="1" x14ac:dyDescent="0.25">
      <c r="Y36298" s="501"/>
    </row>
    <row r="36299" spans="25:25" hidden="1" x14ac:dyDescent="0.25">
      <c r="Y36299" s="501"/>
    </row>
    <row r="36300" spans="25:25" hidden="1" x14ac:dyDescent="0.25">
      <c r="Y36300" s="501"/>
    </row>
    <row r="36301" spans="25:25" hidden="1" x14ac:dyDescent="0.25">
      <c r="Y36301" s="501"/>
    </row>
    <row r="36302" spans="25:25" hidden="1" x14ac:dyDescent="0.25">
      <c r="Y36302" s="501"/>
    </row>
    <row r="36303" spans="25:25" hidden="1" x14ac:dyDescent="0.25">
      <c r="Y36303" s="501"/>
    </row>
    <row r="36304" spans="25:25" hidden="1" x14ac:dyDescent="0.25">
      <c r="Y36304" s="501"/>
    </row>
    <row r="36305" spans="25:25" hidden="1" x14ac:dyDescent="0.25">
      <c r="Y36305" s="501"/>
    </row>
    <row r="36306" spans="25:25" hidden="1" x14ac:dyDescent="0.25">
      <c r="Y36306" s="501"/>
    </row>
    <row r="36307" spans="25:25" hidden="1" x14ac:dyDescent="0.25">
      <c r="Y36307" s="501"/>
    </row>
    <row r="36308" spans="25:25" hidden="1" x14ac:dyDescent="0.25">
      <c r="Y36308" s="501"/>
    </row>
    <row r="36309" spans="25:25" hidden="1" x14ac:dyDescent="0.25">
      <c r="Y36309" s="501"/>
    </row>
    <row r="36310" spans="25:25" hidden="1" x14ac:dyDescent="0.25">
      <c r="Y36310" s="501"/>
    </row>
    <row r="36311" spans="25:25" hidden="1" x14ac:dyDescent="0.25">
      <c r="Y36311" s="501"/>
    </row>
    <row r="36312" spans="25:25" hidden="1" x14ac:dyDescent="0.25">
      <c r="Y36312" s="501"/>
    </row>
    <row r="36313" spans="25:25" hidden="1" x14ac:dyDescent="0.25">
      <c r="Y36313" s="501"/>
    </row>
    <row r="36314" spans="25:25" hidden="1" x14ac:dyDescent="0.25">
      <c r="Y36314" s="501"/>
    </row>
    <row r="36315" spans="25:25" hidden="1" x14ac:dyDescent="0.25">
      <c r="Y36315" s="501"/>
    </row>
    <row r="36316" spans="25:25" hidden="1" x14ac:dyDescent="0.25">
      <c r="Y36316" s="501"/>
    </row>
    <row r="36317" spans="25:25" hidden="1" x14ac:dyDescent="0.25">
      <c r="Y36317" s="501"/>
    </row>
    <row r="36318" spans="25:25" hidden="1" x14ac:dyDescent="0.25">
      <c r="Y36318" s="501"/>
    </row>
    <row r="36319" spans="25:25" hidden="1" x14ac:dyDescent="0.25">
      <c r="Y36319" s="501"/>
    </row>
    <row r="36320" spans="25:25" hidden="1" x14ac:dyDescent="0.25">
      <c r="Y36320" s="501"/>
    </row>
    <row r="36321" spans="25:25" hidden="1" x14ac:dyDescent="0.25">
      <c r="Y36321" s="501"/>
    </row>
    <row r="36322" spans="25:25" hidden="1" x14ac:dyDescent="0.25">
      <c r="Y36322" s="501"/>
    </row>
    <row r="36323" spans="25:25" hidden="1" x14ac:dyDescent="0.25">
      <c r="Y36323" s="501"/>
    </row>
    <row r="36324" spans="25:25" hidden="1" x14ac:dyDescent="0.25">
      <c r="Y36324" s="501"/>
    </row>
    <row r="36325" spans="25:25" hidden="1" x14ac:dyDescent="0.25">
      <c r="Y36325" s="501"/>
    </row>
    <row r="36326" spans="25:25" hidden="1" x14ac:dyDescent="0.25">
      <c r="Y36326" s="501"/>
    </row>
    <row r="36327" spans="25:25" hidden="1" x14ac:dyDescent="0.25">
      <c r="Y36327" s="501"/>
    </row>
    <row r="36328" spans="25:25" hidden="1" x14ac:dyDescent="0.25">
      <c r="Y36328" s="501"/>
    </row>
    <row r="36329" spans="25:25" hidden="1" x14ac:dyDescent="0.25">
      <c r="Y36329" s="501"/>
    </row>
    <row r="36330" spans="25:25" hidden="1" x14ac:dyDescent="0.25">
      <c r="Y36330" s="501"/>
    </row>
    <row r="36331" spans="25:25" hidden="1" x14ac:dyDescent="0.25">
      <c r="Y36331" s="501"/>
    </row>
    <row r="36332" spans="25:25" hidden="1" x14ac:dyDescent="0.25">
      <c r="Y36332" s="501"/>
    </row>
    <row r="36333" spans="25:25" hidden="1" x14ac:dyDescent="0.25">
      <c r="Y36333" s="501"/>
    </row>
    <row r="36334" spans="25:25" hidden="1" x14ac:dyDescent="0.25">
      <c r="Y36334" s="501"/>
    </row>
    <row r="36335" spans="25:25" hidden="1" x14ac:dyDescent="0.25">
      <c r="Y36335" s="501"/>
    </row>
    <row r="36336" spans="25:25" hidden="1" x14ac:dyDescent="0.25">
      <c r="Y36336" s="501"/>
    </row>
    <row r="36337" spans="25:25" hidden="1" x14ac:dyDescent="0.25">
      <c r="Y36337" s="501"/>
    </row>
    <row r="36338" spans="25:25" hidden="1" x14ac:dyDescent="0.25">
      <c r="Y36338" s="501"/>
    </row>
    <row r="36339" spans="25:25" hidden="1" x14ac:dyDescent="0.25">
      <c r="Y36339" s="501"/>
    </row>
    <row r="36340" spans="25:25" hidden="1" x14ac:dyDescent="0.25">
      <c r="Y36340" s="501"/>
    </row>
    <row r="36341" spans="25:25" hidden="1" x14ac:dyDescent="0.25">
      <c r="Y36341" s="501"/>
    </row>
    <row r="36342" spans="25:25" hidden="1" x14ac:dyDescent="0.25">
      <c r="Y36342" s="501"/>
    </row>
    <row r="36343" spans="25:25" hidden="1" x14ac:dyDescent="0.25">
      <c r="Y36343" s="501"/>
    </row>
    <row r="36344" spans="25:25" hidden="1" x14ac:dyDescent="0.25">
      <c r="Y36344" s="501"/>
    </row>
    <row r="36345" spans="25:25" hidden="1" x14ac:dyDescent="0.25">
      <c r="Y36345" s="501"/>
    </row>
    <row r="36346" spans="25:25" hidden="1" x14ac:dyDescent="0.25">
      <c r="Y36346" s="501"/>
    </row>
    <row r="36347" spans="25:25" hidden="1" x14ac:dyDescent="0.25">
      <c r="Y36347" s="501"/>
    </row>
    <row r="36348" spans="25:25" hidden="1" x14ac:dyDescent="0.25">
      <c r="Y36348" s="501"/>
    </row>
    <row r="36349" spans="25:25" hidden="1" x14ac:dyDescent="0.25">
      <c r="Y36349" s="501"/>
    </row>
    <row r="36350" spans="25:25" hidden="1" x14ac:dyDescent="0.25">
      <c r="Y36350" s="501"/>
    </row>
    <row r="36351" spans="25:25" hidden="1" x14ac:dyDescent="0.25">
      <c r="Y36351" s="501"/>
    </row>
    <row r="36352" spans="25:25" hidden="1" x14ac:dyDescent="0.25">
      <c r="Y36352" s="501"/>
    </row>
    <row r="36353" spans="25:25" hidden="1" x14ac:dyDescent="0.25">
      <c r="Y36353" s="501"/>
    </row>
    <row r="36354" spans="25:25" hidden="1" x14ac:dyDescent="0.25">
      <c r="Y36354" s="501"/>
    </row>
    <row r="36355" spans="25:25" hidden="1" x14ac:dyDescent="0.25">
      <c r="Y36355" s="501"/>
    </row>
    <row r="36356" spans="25:25" hidden="1" x14ac:dyDescent="0.25">
      <c r="Y36356" s="501"/>
    </row>
    <row r="36357" spans="25:25" hidden="1" x14ac:dyDescent="0.25">
      <c r="Y36357" s="501"/>
    </row>
    <row r="36358" spans="25:25" hidden="1" x14ac:dyDescent="0.25">
      <c r="Y36358" s="501"/>
    </row>
    <row r="36359" spans="25:25" hidden="1" x14ac:dyDescent="0.25">
      <c r="Y36359" s="501"/>
    </row>
    <row r="36360" spans="25:25" hidden="1" x14ac:dyDescent="0.25">
      <c r="Y36360" s="501"/>
    </row>
    <row r="36361" spans="25:25" hidden="1" x14ac:dyDescent="0.25">
      <c r="Y36361" s="501"/>
    </row>
    <row r="36362" spans="25:25" hidden="1" x14ac:dyDescent="0.25">
      <c r="Y36362" s="501"/>
    </row>
    <row r="36363" spans="25:25" hidden="1" x14ac:dyDescent="0.25">
      <c r="Y36363" s="501"/>
    </row>
    <row r="36364" spans="25:25" hidden="1" x14ac:dyDescent="0.25">
      <c r="Y36364" s="501"/>
    </row>
    <row r="36365" spans="25:25" hidden="1" x14ac:dyDescent="0.25">
      <c r="Y36365" s="501"/>
    </row>
    <row r="36366" spans="25:25" hidden="1" x14ac:dyDescent="0.25">
      <c r="Y36366" s="501"/>
    </row>
    <row r="36367" spans="25:25" hidden="1" x14ac:dyDescent="0.25">
      <c r="Y36367" s="501"/>
    </row>
    <row r="36368" spans="25:25" hidden="1" x14ac:dyDescent="0.25">
      <c r="Y36368" s="501"/>
    </row>
    <row r="36369" spans="25:25" hidden="1" x14ac:dyDescent="0.25">
      <c r="Y36369" s="501"/>
    </row>
    <row r="36370" spans="25:25" hidden="1" x14ac:dyDescent="0.25">
      <c r="Y36370" s="501"/>
    </row>
    <row r="36371" spans="25:25" hidden="1" x14ac:dyDescent="0.25">
      <c r="Y36371" s="501"/>
    </row>
    <row r="36372" spans="25:25" hidden="1" x14ac:dyDescent="0.25">
      <c r="Y36372" s="501"/>
    </row>
    <row r="36373" spans="25:25" hidden="1" x14ac:dyDescent="0.25">
      <c r="Y36373" s="501"/>
    </row>
    <row r="36374" spans="25:25" hidden="1" x14ac:dyDescent="0.25">
      <c r="Y36374" s="501"/>
    </row>
    <row r="36375" spans="25:25" hidden="1" x14ac:dyDescent="0.25">
      <c r="Y36375" s="501"/>
    </row>
    <row r="36376" spans="25:25" hidden="1" x14ac:dyDescent="0.25">
      <c r="Y36376" s="501"/>
    </row>
    <row r="36377" spans="25:25" hidden="1" x14ac:dyDescent="0.25">
      <c r="Y36377" s="501"/>
    </row>
    <row r="36378" spans="25:25" hidden="1" x14ac:dyDescent="0.25">
      <c r="Y36378" s="501"/>
    </row>
    <row r="36379" spans="25:25" hidden="1" x14ac:dyDescent="0.25">
      <c r="Y36379" s="501"/>
    </row>
    <row r="36380" spans="25:25" hidden="1" x14ac:dyDescent="0.25">
      <c r="Y36380" s="501"/>
    </row>
    <row r="36381" spans="25:25" hidden="1" x14ac:dyDescent="0.25">
      <c r="Y36381" s="501"/>
    </row>
    <row r="36382" spans="25:25" hidden="1" x14ac:dyDescent="0.25">
      <c r="Y36382" s="501"/>
    </row>
    <row r="36383" spans="25:25" hidden="1" x14ac:dyDescent="0.25">
      <c r="Y36383" s="501"/>
    </row>
    <row r="36384" spans="25:25" hidden="1" x14ac:dyDescent="0.25">
      <c r="Y36384" s="501"/>
    </row>
    <row r="36385" spans="25:25" hidden="1" x14ac:dyDescent="0.25">
      <c r="Y36385" s="501"/>
    </row>
    <row r="36386" spans="25:25" hidden="1" x14ac:dyDescent="0.25">
      <c r="Y36386" s="501"/>
    </row>
    <row r="36387" spans="25:25" hidden="1" x14ac:dyDescent="0.25">
      <c r="Y36387" s="501"/>
    </row>
    <row r="36388" spans="25:25" hidden="1" x14ac:dyDescent="0.25">
      <c r="Y36388" s="501"/>
    </row>
    <row r="36389" spans="25:25" hidden="1" x14ac:dyDescent="0.25">
      <c r="Y36389" s="501"/>
    </row>
    <row r="36390" spans="25:25" hidden="1" x14ac:dyDescent="0.25">
      <c r="Y36390" s="501"/>
    </row>
    <row r="36391" spans="25:25" hidden="1" x14ac:dyDescent="0.25">
      <c r="Y36391" s="501"/>
    </row>
    <row r="36392" spans="25:25" hidden="1" x14ac:dyDescent="0.25">
      <c r="Y36392" s="501"/>
    </row>
    <row r="36393" spans="25:25" hidden="1" x14ac:dyDescent="0.25">
      <c r="Y36393" s="501"/>
    </row>
    <row r="36394" spans="25:25" hidden="1" x14ac:dyDescent="0.25">
      <c r="Y36394" s="501"/>
    </row>
    <row r="36395" spans="25:25" hidden="1" x14ac:dyDescent="0.25">
      <c r="Y36395" s="501"/>
    </row>
    <row r="36396" spans="25:25" hidden="1" x14ac:dyDescent="0.25">
      <c r="Y36396" s="501"/>
    </row>
    <row r="36397" spans="25:25" hidden="1" x14ac:dyDescent="0.25">
      <c r="Y36397" s="501"/>
    </row>
    <row r="36398" spans="25:25" hidden="1" x14ac:dyDescent="0.25">
      <c r="Y36398" s="501"/>
    </row>
    <row r="36399" spans="25:25" hidden="1" x14ac:dyDescent="0.25">
      <c r="Y36399" s="501"/>
    </row>
    <row r="36400" spans="25:25" hidden="1" x14ac:dyDescent="0.25">
      <c r="Y36400" s="501"/>
    </row>
    <row r="36401" spans="25:25" hidden="1" x14ac:dyDescent="0.25">
      <c r="Y36401" s="501"/>
    </row>
    <row r="36402" spans="25:25" hidden="1" x14ac:dyDescent="0.25">
      <c r="Y36402" s="501"/>
    </row>
    <row r="36403" spans="25:25" hidden="1" x14ac:dyDescent="0.25">
      <c r="Y36403" s="501"/>
    </row>
    <row r="36404" spans="25:25" hidden="1" x14ac:dyDescent="0.25">
      <c r="Y36404" s="501"/>
    </row>
    <row r="36405" spans="25:25" hidden="1" x14ac:dyDescent="0.25">
      <c r="Y36405" s="501"/>
    </row>
    <row r="36406" spans="25:25" hidden="1" x14ac:dyDescent="0.25">
      <c r="Y36406" s="501"/>
    </row>
    <row r="36407" spans="25:25" hidden="1" x14ac:dyDescent="0.25">
      <c r="Y36407" s="501"/>
    </row>
    <row r="36408" spans="25:25" hidden="1" x14ac:dyDescent="0.25">
      <c r="Y36408" s="501"/>
    </row>
    <row r="36409" spans="25:25" hidden="1" x14ac:dyDescent="0.25">
      <c r="Y36409" s="501"/>
    </row>
    <row r="36410" spans="25:25" hidden="1" x14ac:dyDescent="0.25">
      <c r="Y36410" s="501"/>
    </row>
    <row r="36411" spans="25:25" hidden="1" x14ac:dyDescent="0.25">
      <c r="Y36411" s="501"/>
    </row>
    <row r="36412" spans="25:25" hidden="1" x14ac:dyDescent="0.25">
      <c r="Y36412" s="501"/>
    </row>
    <row r="36413" spans="25:25" hidden="1" x14ac:dyDescent="0.25">
      <c r="Y36413" s="501"/>
    </row>
    <row r="36414" spans="25:25" hidden="1" x14ac:dyDescent="0.25">
      <c r="Y36414" s="501"/>
    </row>
    <row r="36415" spans="25:25" hidden="1" x14ac:dyDescent="0.25">
      <c r="Y36415" s="501"/>
    </row>
    <row r="36416" spans="25:25" hidden="1" x14ac:dyDescent="0.25">
      <c r="Y36416" s="501"/>
    </row>
    <row r="36417" spans="25:25" hidden="1" x14ac:dyDescent="0.25">
      <c r="Y36417" s="501"/>
    </row>
    <row r="36418" spans="25:25" hidden="1" x14ac:dyDescent="0.25">
      <c r="Y36418" s="501"/>
    </row>
    <row r="36419" spans="25:25" hidden="1" x14ac:dyDescent="0.25">
      <c r="Y36419" s="501"/>
    </row>
    <row r="36420" spans="25:25" hidden="1" x14ac:dyDescent="0.25">
      <c r="Y36420" s="501"/>
    </row>
    <row r="36421" spans="25:25" hidden="1" x14ac:dyDescent="0.25">
      <c r="Y36421" s="501"/>
    </row>
    <row r="36422" spans="25:25" hidden="1" x14ac:dyDescent="0.25">
      <c r="Y36422" s="501"/>
    </row>
    <row r="36423" spans="25:25" hidden="1" x14ac:dyDescent="0.25">
      <c r="Y36423" s="501"/>
    </row>
    <row r="36424" spans="25:25" hidden="1" x14ac:dyDescent="0.25">
      <c r="Y36424" s="501"/>
    </row>
    <row r="36425" spans="25:25" hidden="1" x14ac:dyDescent="0.25">
      <c r="Y36425" s="501"/>
    </row>
    <row r="36426" spans="25:25" hidden="1" x14ac:dyDescent="0.25">
      <c r="Y36426" s="501"/>
    </row>
    <row r="36427" spans="25:25" hidden="1" x14ac:dyDescent="0.25">
      <c r="Y36427" s="501"/>
    </row>
    <row r="36428" spans="25:25" hidden="1" x14ac:dyDescent="0.25">
      <c r="Y36428" s="501"/>
    </row>
    <row r="36429" spans="25:25" hidden="1" x14ac:dyDescent="0.25">
      <c r="Y36429" s="501"/>
    </row>
    <row r="36430" spans="25:25" hidden="1" x14ac:dyDescent="0.25">
      <c r="Y36430" s="501"/>
    </row>
    <row r="36431" spans="25:25" hidden="1" x14ac:dyDescent="0.25">
      <c r="Y36431" s="501"/>
    </row>
    <row r="36432" spans="25:25" hidden="1" x14ac:dyDescent="0.25">
      <c r="Y36432" s="501"/>
    </row>
    <row r="36433" spans="25:25" hidden="1" x14ac:dyDescent="0.25">
      <c r="Y36433" s="501"/>
    </row>
    <row r="36434" spans="25:25" hidden="1" x14ac:dyDescent="0.25">
      <c r="Y36434" s="501"/>
    </row>
    <row r="36435" spans="25:25" hidden="1" x14ac:dyDescent="0.25">
      <c r="Y36435" s="501"/>
    </row>
    <row r="36436" spans="25:25" hidden="1" x14ac:dyDescent="0.25">
      <c r="Y36436" s="501"/>
    </row>
    <row r="36437" spans="25:25" hidden="1" x14ac:dyDescent="0.25">
      <c r="Y36437" s="501"/>
    </row>
    <row r="36438" spans="25:25" hidden="1" x14ac:dyDescent="0.25">
      <c r="Y36438" s="501"/>
    </row>
    <row r="36439" spans="25:25" hidden="1" x14ac:dyDescent="0.25">
      <c r="Y36439" s="501"/>
    </row>
    <row r="36440" spans="25:25" hidden="1" x14ac:dyDescent="0.25">
      <c r="Y36440" s="501"/>
    </row>
    <row r="36441" spans="25:25" hidden="1" x14ac:dyDescent="0.25">
      <c r="Y36441" s="501"/>
    </row>
    <row r="36442" spans="25:25" hidden="1" x14ac:dyDescent="0.25">
      <c r="Y36442" s="501"/>
    </row>
    <row r="36443" spans="25:25" hidden="1" x14ac:dyDescent="0.25">
      <c r="Y36443" s="501"/>
    </row>
    <row r="36444" spans="25:25" hidden="1" x14ac:dyDescent="0.25">
      <c r="Y36444" s="501"/>
    </row>
    <row r="36445" spans="25:25" hidden="1" x14ac:dyDescent="0.25">
      <c r="Y36445" s="501"/>
    </row>
    <row r="36446" spans="25:25" hidden="1" x14ac:dyDescent="0.25">
      <c r="Y36446" s="501"/>
    </row>
    <row r="36447" spans="25:25" hidden="1" x14ac:dyDescent="0.25">
      <c r="Y36447" s="501"/>
    </row>
    <row r="36448" spans="25:25" hidden="1" x14ac:dyDescent="0.25">
      <c r="Y36448" s="501"/>
    </row>
    <row r="36449" spans="25:25" hidden="1" x14ac:dyDescent="0.25">
      <c r="Y36449" s="501"/>
    </row>
    <row r="36450" spans="25:25" hidden="1" x14ac:dyDescent="0.25">
      <c r="Y36450" s="501"/>
    </row>
    <row r="36451" spans="25:25" hidden="1" x14ac:dyDescent="0.25">
      <c r="Y36451" s="501"/>
    </row>
    <row r="36452" spans="25:25" hidden="1" x14ac:dyDescent="0.25">
      <c r="Y36452" s="501"/>
    </row>
    <row r="36453" spans="25:25" hidden="1" x14ac:dyDescent="0.25">
      <c r="Y36453" s="501"/>
    </row>
    <row r="36454" spans="25:25" hidden="1" x14ac:dyDescent="0.25">
      <c r="Y36454" s="501"/>
    </row>
    <row r="36455" spans="25:25" hidden="1" x14ac:dyDescent="0.25">
      <c r="Y36455" s="501"/>
    </row>
    <row r="36456" spans="25:25" hidden="1" x14ac:dyDescent="0.25">
      <c r="Y36456" s="501"/>
    </row>
    <row r="36457" spans="25:25" hidden="1" x14ac:dyDescent="0.25">
      <c r="Y36457" s="501"/>
    </row>
    <row r="36458" spans="25:25" hidden="1" x14ac:dyDescent="0.25">
      <c r="Y36458" s="501"/>
    </row>
    <row r="36459" spans="25:25" hidden="1" x14ac:dyDescent="0.25">
      <c r="Y36459" s="501"/>
    </row>
    <row r="36460" spans="25:25" hidden="1" x14ac:dyDescent="0.25">
      <c r="Y36460" s="501"/>
    </row>
    <row r="36461" spans="25:25" hidden="1" x14ac:dyDescent="0.25">
      <c r="Y36461" s="501"/>
    </row>
    <row r="36462" spans="25:25" hidden="1" x14ac:dyDescent="0.25">
      <c r="Y36462" s="501"/>
    </row>
    <row r="36463" spans="25:25" hidden="1" x14ac:dyDescent="0.25">
      <c r="Y36463" s="501"/>
    </row>
    <row r="36464" spans="25:25" hidden="1" x14ac:dyDescent="0.25">
      <c r="Y36464" s="501"/>
    </row>
    <row r="36465" spans="25:25" hidden="1" x14ac:dyDescent="0.25">
      <c r="Y36465" s="501"/>
    </row>
    <row r="36466" spans="25:25" hidden="1" x14ac:dyDescent="0.25">
      <c r="Y36466" s="501"/>
    </row>
    <row r="36467" spans="25:25" hidden="1" x14ac:dyDescent="0.25">
      <c r="Y36467" s="501"/>
    </row>
    <row r="36468" spans="25:25" hidden="1" x14ac:dyDescent="0.25">
      <c r="Y36468" s="501"/>
    </row>
    <row r="36469" spans="25:25" hidden="1" x14ac:dyDescent="0.25">
      <c r="Y36469" s="501"/>
    </row>
    <row r="36470" spans="25:25" hidden="1" x14ac:dyDescent="0.25">
      <c r="Y36470" s="501"/>
    </row>
    <row r="36471" spans="25:25" hidden="1" x14ac:dyDescent="0.25">
      <c r="Y36471" s="501"/>
    </row>
    <row r="36472" spans="25:25" hidden="1" x14ac:dyDescent="0.25">
      <c r="Y36472" s="501"/>
    </row>
    <row r="36473" spans="25:25" hidden="1" x14ac:dyDescent="0.25">
      <c r="Y36473" s="501"/>
    </row>
    <row r="36474" spans="25:25" hidden="1" x14ac:dyDescent="0.25">
      <c r="Y36474" s="501"/>
    </row>
    <row r="36475" spans="25:25" hidden="1" x14ac:dyDescent="0.25">
      <c r="Y36475" s="501"/>
    </row>
    <row r="36476" spans="25:25" hidden="1" x14ac:dyDescent="0.25">
      <c r="Y36476" s="501"/>
    </row>
    <row r="36477" spans="25:25" hidden="1" x14ac:dyDescent="0.25">
      <c r="Y36477" s="501"/>
    </row>
    <row r="36478" spans="25:25" hidden="1" x14ac:dyDescent="0.25">
      <c r="Y36478" s="501"/>
    </row>
    <row r="36479" spans="25:25" hidden="1" x14ac:dyDescent="0.25">
      <c r="Y36479" s="501"/>
    </row>
    <row r="36480" spans="25:25" hidden="1" x14ac:dyDescent="0.25">
      <c r="Y36480" s="501"/>
    </row>
    <row r="36481" spans="25:25" hidden="1" x14ac:dyDescent="0.25">
      <c r="Y36481" s="501"/>
    </row>
    <row r="36482" spans="25:25" hidden="1" x14ac:dyDescent="0.25">
      <c r="Y36482" s="501"/>
    </row>
    <row r="36483" spans="25:25" hidden="1" x14ac:dyDescent="0.25">
      <c r="Y36483" s="501"/>
    </row>
    <row r="36484" spans="25:25" hidden="1" x14ac:dyDescent="0.25">
      <c r="Y36484" s="501"/>
    </row>
    <row r="36485" spans="25:25" hidden="1" x14ac:dyDescent="0.25">
      <c r="Y36485" s="501"/>
    </row>
    <row r="36486" spans="25:25" hidden="1" x14ac:dyDescent="0.25">
      <c r="Y36486" s="501"/>
    </row>
    <row r="36487" spans="25:25" hidden="1" x14ac:dyDescent="0.25">
      <c r="Y36487" s="501"/>
    </row>
    <row r="36488" spans="25:25" hidden="1" x14ac:dyDescent="0.25">
      <c r="Y36488" s="501"/>
    </row>
    <row r="36489" spans="25:25" hidden="1" x14ac:dyDescent="0.25">
      <c r="Y36489" s="501"/>
    </row>
    <row r="36490" spans="25:25" hidden="1" x14ac:dyDescent="0.25">
      <c r="Y36490" s="501"/>
    </row>
    <row r="36491" spans="25:25" hidden="1" x14ac:dyDescent="0.25">
      <c r="Y36491" s="501"/>
    </row>
    <row r="36492" spans="25:25" hidden="1" x14ac:dyDescent="0.25">
      <c r="Y36492" s="501"/>
    </row>
    <row r="36493" spans="25:25" hidden="1" x14ac:dyDescent="0.25">
      <c r="Y36493" s="501"/>
    </row>
    <row r="36494" spans="25:25" hidden="1" x14ac:dyDescent="0.25">
      <c r="Y36494" s="501"/>
    </row>
    <row r="36495" spans="25:25" hidden="1" x14ac:dyDescent="0.25">
      <c r="Y36495" s="501"/>
    </row>
    <row r="36496" spans="25:25" hidden="1" x14ac:dyDescent="0.25">
      <c r="Y36496" s="501"/>
    </row>
    <row r="36497" spans="25:25" hidden="1" x14ac:dyDescent="0.25">
      <c r="Y36497" s="501"/>
    </row>
    <row r="36498" spans="25:25" hidden="1" x14ac:dyDescent="0.25">
      <c r="Y36498" s="501"/>
    </row>
    <row r="36499" spans="25:25" hidden="1" x14ac:dyDescent="0.25">
      <c r="Y36499" s="501"/>
    </row>
    <row r="36500" spans="25:25" hidden="1" x14ac:dyDescent="0.25">
      <c r="Y36500" s="501"/>
    </row>
    <row r="36501" spans="25:25" hidden="1" x14ac:dyDescent="0.25">
      <c r="Y36501" s="501"/>
    </row>
    <row r="36502" spans="25:25" hidden="1" x14ac:dyDescent="0.25">
      <c r="Y36502" s="501"/>
    </row>
    <row r="36503" spans="25:25" hidden="1" x14ac:dyDescent="0.25">
      <c r="Y36503" s="501"/>
    </row>
    <row r="36504" spans="25:25" hidden="1" x14ac:dyDescent="0.25">
      <c r="Y36504" s="501"/>
    </row>
    <row r="36505" spans="25:25" hidden="1" x14ac:dyDescent="0.25">
      <c r="Y36505" s="501"/>
    </row>
    <row r="36506" spans="25:25" hidden="1" x14ac:dyDescent="0.25">
      <c r="Y36506" s="501"/>
    </row>
    <row r="36507" spans="25:25" hidden="1" x14ac:dyDescent="0.25">
      <c r="Y36507" s="501"/>
    </row>
    <row r="36508" spans="25:25" hidden="1" x14ac:dyDescent="0.25">
      <c r="Y36508" s="501"/>
    </row>
    <row r="36509" spans="25:25" hidden="1" x14ac:dyDescent="0.25">
      <c r="Y36509" s="501"/>
    </row>
    <row r="36510" spans="25:25" hidden="1" x14ac:dyDescent="0.25">
      <c r="Y36510" s="501"/>
    </row>
    <row r="36511" spans="25:25" hidden="1" x14ac:dyDescent="0.25">
      <c r="Y36511" s="501"/>
    </row>
    <row r="36512" spans="25:25" hidden="1" x14ac:dyDescent="0.25">
      <c r="Y36512" s="501"/>
    </row>
    <row r="36513" spans="25:25" hidden="1" x14ac:dyDescent="0.25">
      <c r="Y36513" s="501"/>
    </row>
    <row r="36514" spans="25:25" hidden="1" x14ac:dyDescent="0.25">
      <c r="Y36514" s="501"/>
    </row>
    <row r="36515" spans="25:25" hidden="1" x14ac:dyDescent="0.25">
      <c r="Y36515" s="501"/>
    </row>
    <row r="36516" spans="25:25" hidden="1" x14ac:dyDescent="0.25">
      <c r="Y36516" s="501"/>
    </row>
    <row r="36517" spans="25:25" hidden="1" x14ac:dyDescent="0.25">
      <c r="Y36517" s="501"/>
    </row>
    <row r="36518" spans="25:25" hidden="1" x14ac:dyDescent="0.25">
      <c r="Y36518" s="501"/>
    </row>
    <row r="36519" spans="25:25" hidden="1" x14ac:dyDescent="0.25">
      <c r="Y36519" s="501"/>
    </row>
    <row r="36520" spans="25:25" hidden="1" x14ac:dyDescent="0.25">
      <c r="Y36520" s="501"/>
    </row>
    <row r="36521" spans="25:25" hidden="1" x14ac:dyDescent="0.25">
      <c r="Y36521" s="501"/>
    </row>
    <row r="36522" spans="25:25" hidden="1" x14ac:dyDescent="0.25">
      <c r="Y36522" s="501"/>
    </row>
    <row r="36523" spans="25:25" hidden="1" x14ac:dyDescent="0.25">
      <c r="Y36523" s="501"/>
    </row>
    <row r="36524" spans="25:25" hidden="1" x14ac:dyDescent="0.25">
      <c r="Y36524" s="501"/>
    </row>
    <row r="36525" spans="25:25" hidden="1" x14ac:dyDescent="0.25">
      <c r="Y36525" s="501"/>
    </row>
    <row r="36526" spans="25:25" hidden="1" x14ac:dyDescent="0.25">
      <c r="Y36526" s="501"/>
    </row>
    <row r="36527" spans="25:25" hidden="1" x14ac:dyDescent="0.25">
      <c r="Y36527" s="501"/>
    </row>
    <row r="36528" spans="25:25" hidden="1" x14ac:dyDescent="0.25">
      <c r="Y36528" s="501"/>
    </row>
    <row r="36529" spans="25:25" hidden="1" x14ac:dyDescent="0.25">
      <c r="Y36529" s="501"/>
    </row>
    <row r="36530" spans="25:25" hidden="1" x14ac:dyDescent="0.25">
      <c r="Y36530" s="501"/>
    </row>
    <row r="36531" spans="25:25" hidden="1" x14ac:dyDescent="0.25">
      <c r="Y36531" s="501"/>
    </row>
    <row r="36532" spans="25:25" hidden="1" x14ac:dyDescent="0.25">
      <c r="Y36532" s="501"/>
    </row>
    <row r="36533" spans="25:25" hidden="1" x14ac:dyDescent="0.25">
      <c r="Y36533" s="501"/>
    </row>
    <row r="36534" spans="25:25" hidden="1" x14ac:dyDescent="0.25">
      <c r="Y36534" s="501"/>
    </row>
    <row r="36535" spans="25:25" hidden="1" x14ac:dyDescent="0.25">
      <c r="Y36535" s="501"/>
    </row>
    <row r="36536" spans="25:25" hidden="1" x14ac:dyDescent="0.25">
      <c r="Y36536" s="501"/>
    </row>
    <row r="36537" spans="25:25" hidden="1" x14ac:dyDescent="0.25">
      <c r="Y36537" s="501"/>
    </row>
    <row r="36538" spans="25:25" hidden="1" x14ac:dyDescent="0.25">
      <c r="Y36538" s="501"/>
    </row>
    <row r="36539" spans="25:25" hidden="1" x14ac:dyDescent="0.25">
      <c r="Y36539" s="501"/>
    </row>
    <row r="36540" spans="25:25" hidden="1" x14ac:dyDescent="0.25">
      <c r="Y36540" s="501"/>
    </row>
    <row r="36541" spans="25:25" hidden="1" x14ac:dyDescent="0.25">
      <c r="Y36541" s="501"/>
    </row>
    <row r="36542" spans="25:25" hidden="1" x14ac:dyDescent="0.25">
      <c r="Y36542" s="501"/>
    </row>
    <row r="36543" spans="25:25" hidden="1" x14ac:dyDescent="0.25">
      <c r="Y36543" s="501"/>
    </row>
    <row r="36544" spans="25:25" hidden="1" x14ac:dyDescent="0.25">
      <c r="Y36544" s="501"/>
    </row>
    <row r="36545" spans="25:25" hidden="1" x14ac:dyDescent="0.25">
      <c r="Y36545" s="501"/>
    </row>
    <row r="36546" spans="25:25" hidden="1" x14ac:dyDescent="0.25">
      <c r="Y36546" s="501"/>
    </row>
    <row r="36547" spans="25:25" hidden="1" x14ac:dyDescent="0.25">
      <c r="Y36547" s="501"/>
    </row>
    <row r="36548" spans="25:25" hidden="1" x14ac:dyDescent="0.25">
      <c r="Y36548" s="501"/>
    </row>
    <row r="36549" spans="25:25" hidden="1" x14ac:dyDescent="0.25">
      <c r="Y36549" s="501"/>
    </row>
    <row r="36550" spans="25:25" hidden="1" x14ac:dyDescent="0.25">
      <c r="Y36550" s="501"/>
    </row>
    <row r="36551" spans="25:25" hidden="1" x14ac:dyDescent="0.25">
      <c r="Y36551" s="501"/>
    </row>
    <row r="36552" spans="25:25" hidden="1" x14ac:dyDescent="0.25">
      <c r="Y36552" s="501"/>
    </row>
    <row r="36553" spans="25:25" hidden="1" x14ac:dyDescent="0.25">
      <c r="Y36553" s="501"/>
    </row>
    <row r="36554" spans="25:25" hidden="1" x14ac:dyDescent="0.25">
      <c r="Y36554" s="501"/>
    </row>
    <row r="36555" spans="25:25" hidden="1" x14ac:dyDescent="0.25">
      <c r="Y36555" s="501"/>
    </row>
    <row r="36556" spans="25:25" hidden="1" x14ac:dyDescent="0.25">
      <c r="Y36556" s="501"/>
    </row>
    <row r="36557" spans="25:25" hidden="1" x14ac:dyDescent="0.25">
      <c r="Y36557" s="501"/>
    </row>
    <row r="36558" spans="25:25" hidden="1" x14ac:dyDescent="0.25">
      <c r="Y36558" s="501"/>
    </row>
    <row r="36559" spans="25:25" hidden="1" x14ac:dyDescent="0.25">
      <c r="Y36559" s="501"/>
    </row>
    <row r="36560" spans="25:25" hidden="1" x14ac:dyDescent="0.25">
      <c r="Y36560" s="501"/>
    </row>
    <row r="36561" spans="25:25" hidden="1" x14ac:dyDescent="0.25">
      <c r="Y36561" s="501"/>
    </row>
    <row r="36562" spans="25:25" hidden="1" x14ac:dyDescent="0.25">
      <c r="Y36562" s="501"/>
    </row>
    <row r="36563" spans="25:25" hidden="1" x14ac:dyDescent="0.25">
      <c r="Y36563" s="501"/>
    </row>
    <row r="36564" spans="25:25" hidden="1" x14ac:dyDescent="0.25">
      <c r="Y36564" s="501"/>
    </row>
    <row r="36565" spans="25:25" hidden="1" x14ac:dyDescent="0.25">
      <c r="Y36565" s="501"/>
    </row>
    <row r="36566" spans="25:25" hidden="1" x14ac:dyDescent="0.25">
      <c r="Y36566" s="501"/>
    </row>
    <row r="36567" spans="25:25" hidden="1" x14ac:dyDescent="0.25">
      <c r="Y36567" s="501"/>
    </row>
    <row r="36568" spans="25:25" hidden="1" x14ac:dyDescent="0.25">
      <c r="Y36568" s="501"/>
    </row>
    <row r="36569" spans="25:25" hidden="1" x14ac:dyDescent="0.25">
      <c r="Y36569" s="501"/>
    </row>
    <row r="36570" spans="25:25" hidden="1" x14ac:dyDescent="0.25">
      <c r="Y36570" s="501"/>
    </row>
    <row r="36571" spans="25:25" hidden="1" x14ac:dyDescent="0.25">
      <c r="Y36571" s="501"/>
    </row>
    <row r="36572" spans="25:25" hidden="1" x14ac:dyDescent="0.25">
      <c r="Y36572" s="501"/>
    </row>
    <row r="36573" spans="25:25" hidden="1" x14ac:dyDescent="0.25">
      <c r="Y36573" s="501"/>
    </row>
    <row r="36574" spans="25:25" hidden="1" x14ac:dyDescent="0.25">
      <c r="Y36574" s="501"/>
    </row>
    <row r="36575" spans="25:25" hidden="1" x14ac:dyDescent="0.25">
      <c r="Y36575" s="501"/>
    </row>
    <row r="36576" spans="25:25" hidden="1" x14ac:dyDescent="0.25">
      <c r="Y36576" s="501"/>
    </row>
    <row r="36577" spans="25:25" hidden="1" x14ac:dyDescent="0.25">
      <c r="Y36577" s="501"/>
    </row>
    <row r="36578" spans="25:25" hidden="1" x14ac:dyDescent="0.25">
      <c r="Y36578" s="501"/>
    </row>
    <row r="36579" spans="25:25" hidden="1" x14ac:dyDescent="0.25">
      <c r="Y36579" s="501"/>
    </row>
    <row r="36580" spans="25:25" hidden="1" x14ac:dyDescent="0.25">
      <c r="Y36580" s="501"/>
    </row>
    <row r="36581" spans="25:25" hidden="1" x14ac:dyDescent="0.25">
      <c r="Y36581" s="501"/>
    </row>
    <row r="36582" spans="25:25" hidden="1" x14ac:dyDescent="0.25">
      <c r="Y36582" s="501"/>
    </row>
    <row r="36583" spans="25:25" hidden="1" x14ac:dyDescent="0.25">
      <c r="Y36583" s="501"/>
    </row>
    <row r="36584" spans="25:25" hidden="1" x14ac:dyDescent="0.25">
      <c r="Y36584" s="501"/>
    </row>
    <row r="36585" spans="25:25" hidden="1" x14ac:dyDescent="0.25">
      <c r="Y36585" s="501"/>
    </row>
    <row r="36586" spans="25:25" hidden="1" x14ac:dyDescent="0.25">
      <c r="Y36586" s="501"/>
    </row>
    <row r="36587" spans="25:25" hidden="1" x14ac:dyDescent="0.25">
      <c r="Y36587" s="501"/>
    </row>
    <row r="36588" spans="25:25" hidden="1" x14ac:dyDescent="0.25">
      <c r="Y36588" s="501"/>
    </row>
    <row r="36589" spans="25:25" hidden="1" x14ac:dyDescent="0.25">
      <c r="Y36589" s="501"/>
    </row>
    <row r="36590" spans="25:25" hidden="1" x14ac:dyDescent="0.25">
      <c r="Y36590" s="501"/>
    </row>
    <row r="36591" spans="25:25" hidden="1" x14ac:dyDescent="0.25">
      <c r="Y36591" s="501"/>
    </row>
    <row r="36592" spans="25:25" hidden="1" x14ac:dyDescent="0.25">
      <c r="Y36592" s="501"/>
    </row>
    <row r="36593" spans="25:25" hidden="1" x14ac:dyDescent="0.25">
      <c r="Y36593" s="501"/>
    </row>
    <row r="36594" spans="25:25" hidden="1" x14ac:dyDescent="0.25">
      <c r="Y36594" s="501"/>
    </row>
    <row r="36595" spans="25:25" hidden="1" x14ac:dyDescent="0.25">
      <c r="Y36595" s="501"/>
    </row>
    <row r="36596" spans="25:25" hidden="1" x14ac:dyDescent="0.25">
      <c r="Y36596" s="501"/>
    </row>
    <row r="36597" spans="25:25" hidden="1" x14ac:dyDescent="0.25">
      <c r="Y36597" s="501"/>
    </row>
    <row r="36598" spans="25:25" hidden="1" x14ac:dyDescent="0.25">
      <c r="Y36598" s="501"/>
    </row>
    <row r="36599" spans="25:25" hidden="1" x14ac:dyDescent="0.25">
      <c r="Y36599" s="501"/>
    </row>
    <row r="36600" spans="25:25" hidden="1" x14ac:dyDescent="0.25">
      <c r="Y36600" s="501"/>
    </row>
    <row r="36601" spans="25:25" hidden="1" x14ac:dyDescent="0.25">
      <c r="Y36601" s="501"/>
    </row>
    <row r="36602" spans="25:25" hidden="1" x14ac:dyDescent="0.25">
      <c r="Y36602" s="501"/>
    </row>
    <row r="36603" spans="25:25" hidden="1" x14ac:dyDescent="0.25">
      <c r="Y36603" s="501"/>
    </row>
    <row r="36604" spans="25:25" hidden="1" x14ac:dyDescent="0.25">
      <c r="Y36604" s="501"/>
    </row>
    <row r="36605" spans="25:25" hidden="1" x14ac:dyDescent="0.25">
      <c r="Y36605" s="501"/>
    </row>
    <row r="36606" spans="25:25" hidden="1" x14ac:dyDescent="0.25">
      <c r="Y36606" s="501"/>
    </row>
    <row r="36607" spans="25:25" hidden="1" x14ac:dyDescent="0.25">
      <c r="Y36607" s="501"/>
    </row>
    <row r="36608" spans="25:25" hidden="1" x14ac:dyDescent="0.25">
      <c r="Y36608" s="501"/>
    </row>
    <row r="36609" spans="25:25" hidden="1" x14ac:dyDescent="0.25">
      <c r="Y36609" s="501"/>
    </row>
    <row r="36610" spans="25:25" hidden="1" x14ac:dyDescent="0.25">
      <c r="Y36610" s="501"/>
    </row>
    <row r="36611" spans="25:25" hidden="1" x14ac:dyDescent="0.25">
      <c r="Y36611" s="501"/>
    </row>
    <row r="36612" spans="25:25" hidden="1" x14ac:dyDescent="0.25">
      <c r="Y36612" s="501"/>
    </row>
    <row r="36613" spans="25:25" hidden="1" x14ac:dyDescent="0.25">
      <c r="Y36613" s="501"/>
    </row>
    <row r="36614" spans="25:25" hidden="1" x14ac:dyDescent="0.25">
      <c r="Y36614" s="501"/>
    </row>
    <row r="36615" spans="25:25" hidden="1" x14ac:dyDescent="0.25">
      <c r="Y36615" s="501"/>
    </row>
    <row r="36616" spans="25:25" hidden="1" x14ac:dyDescent="0.25">
      <c r="Y36616" s="501"/>
    </row>
    <row r="36617" spans="25:25" hidden="1" x14ac:dyDescent="0.25">
      <c r="Y36617" s="501"/>
    </row>
    <row r="36618" spans="25:25" hidden="1" x14ac:dyDescent="0.25">
      <c r="Y36618" s="501"/>
    </row>
    <row r="36619" spans="25:25" hidden="1" x14ac:dyDescent="0.25">
      <c r="Y36619" s="501"/>
    </row>
    <row r="36620" spans="25:25" hidden="1" x14ac:dyDescent="0.25">
      <c r="Y36620" s="501"/>
    </row>
    <row r="36621" spans="25:25" hidden="1" x14ac:dyDescent="0.25">
      <c r="Y36621" s="501"/>
    </row>
    <row r="36622" spans="25:25" hidden="1" x14ac:dyDescent="0.25">
      <c r="Y36622" s="501"/>
    </row>
    <row r="36623" spans="25:25" hidden="1" x14ac:dyDescent="0.25">
      <c r="Y36623" s="501"/>
    </row>
    <row r="36624" spans="25:25" hidden="1" x14ac:dyDescent="0.25">
      <c r="Y36624" s="501"/>
    </row>
    <row r="36625" spans="25:25" hidden="1" x14ac:dyDescent="0.25">
      <c r="Y36625" s="501"/>
    </row>
    <row r="36626" spans="25:25" hidden="1" x14ac:dyDescent="0.25">
      <c r="Y36626" s="501"/>
    </row>
    <row r="36627" spans="25:25" hidden="1" x14ac:dyDescent="0.25">
      <c r="Y36627" s="501"/>
    </row>
    <row r="36628" spans="25:25" hidden="1" x14ac:dyDescent="0.25">
      <c r="Y36628" s="501"/>
    </row>
    <row r="36629" spans="25:25" hidden="1" x14ac:dyDescent="0.25">
      <c r="Y36629" s="501"/>
    </row>
    <row r="36630" spans="25:25" hidden="1" x14ac:dyDescent="0.25">
      <c r="Y36630" s="501"/>
    </row>
    <row r="36631" spans="25:25" hidden="1" x14ac:dyDescent="0.25">
      <c r="Y36631" s="501"/>
    </row>
    <row r="36632" spans="25:25" hidden="1" x14ac:dyDescent="0.25">
      <c r="Y36632" s="501"/>
    </row>
    <row r="36633" spans="25:25" hidden="1" x14ac:dyDescent="0.25">
      <c r="Y36633" s="501"/>
    </row>
    <row r="36634" spans="25:25" hidden="1" x14ac:dyDescent="0.25">
      <c r="Y36634" s="501"/>
    </row>
    <row r="36635" spans="25:25" hidden="1" x14ac:dyDescent="0.25">
      <c r="Y36635" s="501"/>
    </row>
    <row r="36636" spans="25:25" hidden="1" x14ac:dyDescent="0.25">
      <c r="Y36636" s="501"/>
    </row>
    <row r="36637" spans="25:25" hidden="1" x14ac:dyDescent="0.25">
      <c r="Y36637" s="501"/>
    </row>
    <row r="36638" spans="25:25" hidden="1" x14ac:dyDescent="0.25">
      <c r="Y36638" s="501"/>
    </row>
    <row r="36639" spans="25:25" hidden="1" x14ac:dyDescent="0.25">
      <c r="Y36639" s="501"/>
    </row>
    <row r="36640" spans="25:25" hidden="1" x14ac:dyDescent="0.25">
      <c r="Y36640" s="501"/>
    </row>
    <row r="36641" spans="25:25" hidden="1" x14ac:dyDescent="0.25">
      <c r="Y36641" s="501"/>
    </row>
    <row r="36642" spans="25:25" hidden="1" x14ac:dyDescent="0.25">
      <c r="Y36642" s="501"/>
    </row>
    <row r="36643" spans="25:25" hidden="1" x14ac:dyDescent="0.25">
      <c r="Y36643" s="501"/>
    </row>
    <row r="36644" spans="25:25" hidden="1" x14ac:dyDescent="0.25">
      <c r="Y36644" s="501"/>
    </row>
    <row r="36645" spans="25:25" hidden="1" x14ac:dyDescent="0.25">
      <c r="Y36645" s="501"/>
    </row>
    <row r="36646" spans="25:25" hidden="1" x14ac:dyDescent="0.25">
      <c r="Y36646" s="501"/>
    </row>
    <row r="36647" spans="25:25" hidden="1" x14ac:dyDescent="0.25">
      <c r="Y36647" s="501"/>
    </row>
    <row r="36648" spans="25:25" hidden="1" x14ac:dyDescent="0.25">
      <c r="Y36648" s="501"/>
    </row>
    <row r="36649" spans="25:25" hidden="1" x14ac:dyDescent="0.25">
      <c r="Y36649" s="501"/>
    </row>
    <row r="36650" spans="25:25" hidden="1" x14ac:dyDescent="0.25">
      <c r="Y36650" s="501"/>
    </row>
    <row r="36651" spans="25:25" hidden="1" x14ac:dyDescent="0.25">
      <c r="Y36651" s="501"/>
    </row>
    <row r="36652" spans="25:25" hidden="1" x14ac:dyDescent="0.25">
      <c r="Y36652" s="501"/>
    </row>
    <row r="36653" spans="25:25" hidden="1" x14ac:dyDescent="0.25">
      <c r="Y36653" s="501"/>
    </row>
    <row r="36654" spans="25:25" hidden="1" x14ac:dyDescent="0.25">
      <c r="Y36654" s="501"/>
    </row>
    <row r="36655" spans="25:25" hidden="1" x14ac:dyDescent="0.25">
      <c r="Y36655" s="501"/>
    </row>
    <row r="36656" spans="25:25" hidden="1" x14ac:dyDescent="0.25">
      <c r="Y36656" s="501"/>
    </row>
    <row r="36657" spans="25:25" hidden="1" x14ac:dyDescent="0.25">
      <c r="Y36657" s="501"/>
    </row>
    <row r="36658" spans="25:25" hidden="1" x14ac:dyDescent="0.25">
      <c r="Y36658" s="501"/>
    </row>
    <row r="36659" spans="25:25" hidden="1" x14ac:dyDescent="0.25">
      <c r="Y36659" s="501"/>
    </row>
    <row r="36660" spans="25:25" hidden="1" x14ac:dyDescent="0.25">
      <c r="Y36660" s="501"/>
    </row>
    <row r="36661" spans="25:25" hidden="1" x14ac:dyDescent="0.25">
      <c r="Y36661" s="501"/>
    </row>
    <row r="36662" spans="25:25" hidden="1" x14ac:dyDescent="0.25">
      <c r="Y36662" s="501"/>
    </row>
    <row r="36663" spans="25:25" hidden="1" x14ac:dyDescent="0.25">
      <c r="Y36663" s="501"/>
    </row>
    <row r="36664" spans="25:25" hidden="1" x14ac:dyDescent="0.25">
      <c r="Y36664" s="501"/>
    </row>
    <row r="36665" spans="25:25" hidden="1" x14ac:dyDescent="0.25">
      <c r="Y36665" s="501"/>
    </row>
    <row r="36666" spans="25:25" hidden="1" x14ac:dyDescent="0.25">
      <c r="Y36666" s="501"/>
    </row>
    <row r="36667" spans="25:25" hidden="1" x14ac:dyDescent="0.25">
      <c r="Y36667" s="501"/>
    </row>
    <row r="36668" spans="25:25" hidden="1" x14ac:dyDescent="0.25">
      <c r="Y36668" s="501"/>
    </row>
    <row r="36669" spans="25:25" hidden="1" x14ac:dyDescent="0.25">
      <c r="Y36669" s="501"/>
    </row>
    <row r="36670" spans="25:25" hidden="1" x14ac:dyDescent="0.25">
      <c r="Y36670" s="501"/>
    </row>
    <row r="36671" spans="25:25" hidden="1" x14ac:dyDescent="0.25">
      <c r="Y36671" s="501"/>
    </row>
    <row r="36672" spans="25:25" hidden="1" x14ac:dyDescent="0.25">
      <c r="Y36672" s="501"/>
    </row>
    <row r="36673" spans="25:25" hidden="1" x14ac:dyDescent="0.25">
      <c r="Y36673" s="501"/>
    </row>
    <row r="36674" spans="25:25" hidden="1" x14ac:dyDescent="0.25">
      <c r="Y36674" s="501"/>
    </row>
    <row r="36675" spans="25:25" hidden="1" x14ac:dyDescent="0.25">
      <c r="Y36675" s="501"/>
    </row>
    <row r="36676" spans="25:25" hidden="1" x14ac:dyDescent="0.25">
      <c r="Y36676" s="501"/>
    </row>
    <row r="36677" spans="25:25" hidden="1" x14ac:dyDescent="0.25">
      <c r="Y36677" s="501"/>
    </row>
    <row r="36678" spans="25:25" hidden="1" x14ac:dyDescent="0.25">
      <c r="Y36678" s="501"/>
    </row>
    <row r="36679" spans="25:25" hidden="1" x14ac:dyDescent="0.25">
      <c r="Y36679" s="501"/>
    </row>
    <row r="36680" spans="25:25" hidden="1" x14ac:dyDescent="0.25">
      <c r="Y36680" s="501"/>
    </row>
    <row r="36681" spans="25:25" hidden="1" x14ac:dyDescent="0.25">
      <c r="Y36681" s="501"/>
    </row>
    <row r="36682" spans="25:25" hidden="1" x14ac:dyDescent="0.25">
      <c r="Y36682" s="501"/>
    </row>
    <row r="36683" spans="25:25" hidden="1" x14ac:dyDescent="0.25">
      <c r="Y36683" s="501"/>
    </row>
    <row r="36684" spans="25:25" hidden="1" x14ac:dyDescent="0.25">
      <c r="Y36684" s="501"/>
    </row>
    <row r="36685" spans="25:25" hidden="1" x14ac:dyDescent="0.25">
      <c r="Y36685" s="501"/>
    </row>
    <row r="36686" spans="25:25" hidden="1" x14ac:dyDescent="0.25">
      <c r="Y36686" s="501"/>
    </row>
    <row r="36687" spans="25:25" hidden="1" x14ac:dyDescent="0.25">
      <c r="Y36687" s="501"/>
    </row>
    <row r="36688" spans="25:25" hidden="1" x14ac:dyDescent="0.25">
      <c r="Y36688" s="501"/>
    </row>
    <row r="36689" spans="25:25" hidden="1" x14ac:dyDescent="0.25">
      <c r="Y36689" s="501"/>
    </row>
    <row r="36690" spans="25:25" hidden="1" x14ac:dyDescent="0.25">
      <c r="Y36690" s="501"/>
    </row>
    <row r="36691" spans="25:25" hidden="1" x14ac:dyDescent="0.25">
      <c r="Y36691" s="501"/>
    </row>
    <row r="36692" spans="25:25" hidden="1" x14ac:dyDescent="0.25">
      <c r="Y36692" s="501"/>
    </row>
    <row r="36693" spans="25:25" hidden="1" x14ac:dyDescent="0.25">
      <c r="Y36693" s="501"/>
    </row>
    <row r="36694" spans="25:25" hidden="1" x14ac:dyDescent="0.25">
      <c r="Y36694" s="501"/>
    </row>
    <row r="36695" spans="25:25" hidden="1" x14ac:dyDescent="0.25">
      <c r="Y36695" s="501"/>
    </row>
    <row r="36696" spans="25:25" hidden="1" x14ac:dyDescent="0.25">
      <c r="Y36696" s="501"/>
    </row>
    <row r="36697" spans="25:25" hidden="1" x14ac:dyDescent="0.25">
      <c r="Y36697" s="501"/>
    </row>
    <row r="36698" spans="25:25" hidden="1" x14ac:dyDescent="0.25">
      <c r="Y36698" s="501"/>
    </row>
    <row r="36699" spans="25:25" hidden="1" x14ac:dyDescent="0.25">
      <c r="Y36699" s="501"/>
    </row>
    <row r="36700" spans="25:25" hidden="1" x14ac:dyDescent="0.25">
      <c r="Y36700" s="501"/>
    </row>
    <row r="36701" spans="25:25" hidden="1" x14ac:dyDescent="0.25">
      <c r="Y36701" s="501"/>
    </row>
    <row r="36702" spans="25:25" hidden="1" x14ac:dyDescent="0.25">
      <c r="Y36702" s="501"/>
    </row>
    <row r="36703" spans="25:25" hidden="1" x14ac:dyDescent="0.25">
      <c r="Y36703" s="501"/>
    </row>
    <row r="36704" spans="25:25" hidden="1" x14ac:dyDescent="0.25">
      <c r="Y36704" s="501"/>
    </row>
    <row r="36705" spans="25:25" hidden="1" x14ac:dyDescent="0.25">
      <c r="Y36705" s="501"/>
    </row>
    <row r="36706" spans="25:25" hidden="1" x14ac:dyDescent="0.25">
      <c r="Y36706" s="501"/>
    </row>
    <row r="36707" spans="25:25" hidden="1" x14ac:dyDescent="0.25">
      <c r="Y36707" s="501"/>
    </row>
    <row r="36708" spans="25:25" hidden="1" x14ac:dyDescent="0.25">
      <c r="Y36708" s="501"/>
    </row>
    <row r="36709" spans="25:25" hidden="1" x14ac:dyDescent="0.25">
      <c r="Y36709" s="501"/>
    </row>
    <row r="36710" spans="25:25" hidden="1" x14ac:dyDescent="0.25">
      <c r="Y36710" s="501"/>
    </row>
    <row r="36711" spans="25:25" hidden="1" x14ac:dyDescent="0.25">
      <c r="Y36711" s="501"/>
    </row>
    <row r="36712" spans="25:25" hidden="1" x14ac:dyDescent="0.25">
      <c r="Y36712" s="501"/>
    </row>
    <row r="36713" spans="25:25" hidden="1" x14ac:dyDescent="0.25">
      <c r="Y36713" s="501"/>
    </row>
    <row r="36714" spans="25:25" hidden="1" x14ac:dyDescent="0.25">
      <c r="Y36714" s="501"/>
    </row>
    <row r="36715" spans="25:25" hidden="1" x14ac:dyDescent="0.25">
      <c r="Y36715" s="501"/>
    </row>
    <row r="36716" spans="25:25" hidden="1" x14ac:dyDescent="0.25">
      <c r="Y36716" s="501"/>
    </row>
    <row r="36717" spans="25:25" hidden="1" x14ac:dyDescent="0.25">
      <c r="Y36717" s="501"/>
    </row>
    <row r="36718" spans="25:25" hidden="1" x14ac:dyDescent="0.25">
      <c r="Y36718" s="501"/>
    </row>
    <row r="36719" spans="25:25" hidden="1" x14ac:dyDescent="0.25">
      <c r="Y36719" s="501"/>
    </row>
    <row r="36720" spans="25:25" hidden="1" x14ac:dyDescent="0.25">
      <c r="Y36720" s="501"/>
    </row>
    <row r="36721" spans="25:25" hidden="1" x14ac:dyDescent="0.25">
      <c r="Y36721" s="501"/>
    </row>
    <row r="36722" spans="25:25" hidden="1" x14ac:dyDescent="0.25">
      <c r="Y36722" s="501"/>
    </row>
    <row r="36723" spans="25:25" hidden="1" x14ac:dyDescent="0.25">
      <c r="Y36723" s="501"/>
    </row>
    <row r="36724" spans="25:25" hidden="1" x14ac:dyDescent="0.25">
      <c r="Y36724" s="501"/>
    </row>
    <row r="36725" spans="25:25" hidden="1" x14ac:dyDescent="0.25">
      <c r="Y36725" s="501"/>
    </row>
    <row r="36726" spans="25:25" hidden="1" x14ac:dyDescent="0.25">
      <c r="Y36726" s="501"/>
    </row>
    <row r="36727" spans="25:25" hidden="1" x14ac:dyDescent="0.25">
      <c r="Y36727" s="501"/>
    </row>
    <row r="36728" spans="25:25" hidden="1" x14ac:dyDescent="0.25">
      <c r="Y36728" s="501"/>
    </row>
    <row r="36729" spans="25:25" hidden="1" x14ac:dyDescent="0.25">
      <c r="Y36729" s="501"/>
    </row>
    <row r="36730" spans="25:25" hidden="1" x14ac:dyDescent="0.25">
      <c r="Y36730" s="501"/>
    </row>
    <row r="36731" spans="25:25" hidden="1" x14ac:dyDescent="0.25">
      <c r="Y36731" s="501"/>
    </row>
    <row r="36732" spans="25:25" hidden="1" x14ac:dyDescent="0.25">
      <c r="Y36732" s="501"/>
    </row>
    <row r="36733" spans="25:25" hidden="1" x14ac:dyDescent="0.25">
      <c r="Y36733" s="501"/>
    </row>
    <row r="36734" spans="25:25" hidden="1" x14ac:dyDescent="0.25">
      <c r="Y36734" s="501"/>
    </row>
    <row r="36735" spans="25:25" hidden="1" x14ac:dyDescent="0.25">
      <c r="Y36735" s="501"/>
    </row>
    <row r="36736" spans="25:25" hidden="1" x14ac:dyDescent="0.25">
      <c r="Y36736" s="501"/>
    </row>
    <row r="36737" spans="25:25" hidden="1" x14ac:dyDescent="0.25">
      <c r="Y36737" s="501"/>
    </row>
    <row r="36738" spans="25:25" hidden="1" x14ac:dyDescent="0.25">
      <c r="Y36738" s="501"/>
    </row>
    <row r="36739" spans="25:25" hidden="1" x14ac:dyDescent="0.25">
      <c r="Y36739" s="501"/>
    </row>
    <row r="36740" spans="25:25" hidden="1" x14ac:dyDescent="0.25">
      <c r="Y36740" s="501"/>
    </row>
    <row r="36741" spans="25:25" hidden="1" x14ac:dyDescent="0.25">
      <c r="Y36741" s="501"/>
    </row>
    <row r="36742" spans="25:25" hidden="1" x14ac:dyDescent="0.25">
      <c r="Y36742" s="501"/>
    </row>
    <row r="36743" spans="25:25" hidden="1" x14ac:dyDescent="0.25">
      <c r="Y36743" s="501"/>
    </row>
    <row r="36744" spans="25:25" hidden="1" x14ac:dyDescent="0.25">
      <c r="Y36744" s="501"/>
    </row>
    <row r="36745" spans="25:25" hidden="1" x14ac:dyDescent="0.25">
      <c r="Y36745" s="501"/>
    </row>
    <row r="36746" spans="25:25" hidden="1" x14ac:dyDescent="0.25">
      <c r="Y36746" s="501"/>
    </row>
    <row r="36747" spans="25:25" hidden="1" x14ac:dyDescent="0.25">
      <c r="Y36747" s="501"/>
    </row>
    <row r="36748" spans="25:25" hidden="1" x14ac:dyDescent="0.25">
      <c r="Y36748" s="501"/>
    </row>
    <row r="36749" spans="25:25" hidden="1" x14ac:dyDescent="0.25">
      <c r="Y36749" s="501"/>
    </row>
    <row r="36750" spans="25:25" hidden="1" x14ac:dyDescent="0.25">
      <c r="Y36750" s="501"/>
    </row>
    <row r="36751" spans="25:25" hidden="1" x14ac:dyDescent="0.25">
      <c r="Y36751" s="501"/>
    </row>
    <row r="36752" spans="25:25" hidden="1" x14ac:dyDescent="0.25">
      <c r="Y36752" s="501"/>
    </row>
    <row r="36753" spans="25:25" hidden="1" x14ac:dyDescent="0.25">
      <c r="Y36753" s="501"/>
    </row>
    <row r="36754" spans="25:25" hidden="1" x14ac:dyDescent="0.25">
      <c r="Y36754" s="501"/>
    </row>
    <row r="36755" spans="25:25" hidden="1" x14ac:dyDescent="0.25">
      <c r="Y36755" s="501"/>
    </row>
    <row r="36756" spans="25:25" hidden="1" x14ac:dyDescent="0.25">
      <c r="Y36756" s="501"/>
    </row>
    <row r="36757" spans="25:25" hidden="1" x14ac:dyDescent="0.25">
      <c r="Y36757" s="501"/>
    </row>
    <row r="36758" spans="25:25" hidden="1" x14ac:dyDescent="0.25">
      <c r="Y36758" s="501"/>
    </row>
    <row r="36759" spans="25:25" hidden="1" x14ac:dyDescent="0.25">
      <c r="Y36759" s="501"/>
    </row>
    <row r="36760" spans="25:25" hidden="1" x14ac:dyDescent="0.25">
      <c r="Y36760" s="501"/>
    </row>
    <row r="36761" spans="25:25" hidden="1" x14ac:dyDescent="0.25">
      <c r="Y36761" s="501"/>
    </row>
    <row r="36762" spans="25:25" hidden="1" x14ac:dyDescent="0.25">
      <c r="Y36762" s="501"/>
    </row>
    <row r="36763" spans="25:25" hidden="1" x14ac:dyDescent="0.25">
      <c r="Y36763" s="501"/>
    </row>
    <row r="36764" spans="25:25" hidden="1" x14ac:dyDescent="0.25">
      <c r="Y36764" s="501"/>
    </row>
    <row r="36765" spans="25:25" hidden="1" x14ac:dyDescent="0.25">
      <c r="Y36765" s="501"/>
    </row>
    <row r="36766" spans="25:25" hidden="1" x14ac:dyDescent="0.25">
      <c r="Y36766" s="501"/>
    </row>
    <row r="36767" spans="25:25" hidden="1" x14ac:dyDescent="0.25">
      <c r="Y36767" s="501"/>
    </row>
    <row r="36768" spans="25:25" hidden="1" x14ac:dyDescent="0.25">
      <c r="Y36768" s="501"/>
    </row>
    <row r="36769" spans="25:25" hidden="1" x14ac:dyDescent="0.25">
      <c r="Y36769" s="501"/>
    </row>
    <row r="36770" spans="25:25" hidden="1" x14ac:dyDescent="0.25">
      <c r="Y36770" s="501"/>
    </row>
    <row r="36771" spans="25:25" hidden="1" x14ac:dyDescent="0.25">
      <c r="Y36771" s="501"/>
    </row>
    <row r="36772" spans="25:25" hidden="1" x14ac:dyDescent="0.25">
      <c r="Y36772" s="501"/>
    </row>
    <row r="36773" spans="25:25" hidden="1" x14ac:dyDescent="0.25">
      <c r="Y36773" s="501"/>
    </row>
    <row r="36774" spans="25:25" hidden="1" x14ac:dyDescent="0.25">
      <c r="Y36774" s="501"/>
    </row>
    <row r="36775" spans="25:25" hidden="1" x14ac:dyDescent="0.25">
      <c r="Y36775" s="501"/>
    </row>
    <row r="36776" spans="25:25" hidden="1" x14ac:dyDescent="0.25">
      <c r="Y36776" s="501"/>
    </row>
    <row r="36777" spans="25:25" hidden="1" x14ac:dyDescent="0.25">
      <c r="Y36777" s="501"/>
    </row>
    <row r="36778" spans="25:25" hidden="1" x14ac:dyDescent="0.25">
      <c r="Y36778" s="501"/>
    </row>
    <row r="36779" spans="25:25" hidden="1" x14ac:dyDescent="0.25">
      <c r="Y36779" s="501"/>
    </row>
    <row r="36780" spans="25:25" hidden="1" x14ac:dyDescent="0.25">
      <c r="Y36780" s="501"/>
    </row>
    <row r="36781" spans="25:25" hidden="1" x14ac:dyDescent="0.25">
      <c r="Y36781" s="501"/>
    </row>
    <row r="36782" spans="25:25" hidden="1" x14ac:dyDescent="0.25">
      <c r="Y36782" s="501"/>
    </row>
    <row r="36783" spans="25:25" hidden="1" x14ac:dyDescent="0.25">
      <c r="Y36783" s="501"/>
    </row>
    <row r="36784" spans="25:25" hidden="1" x14ac:dyDescent="0.25">
      <c r="Y36784" s="501"/>
    </row>
    <row r="36785" spans="25:25" hidden="1" x14ac:dyDescent="0.25">
      <c r="Y36785" s="501"/>
    </row>
    <row r="36786" spans="25:25" hidden="1" x14ac:dyDescent="0.25">
      <c r="Y36786" s="501"/>
    </row>
    <row r="36787" spans="25:25" hidden="1" x14ac:dyDescent="0.25">
      <c r="Y36787" s="501"/>
    </row>
    <row r="36788" spans="25:25" hidden="1" x14ac:dyDescent="0.25">
      <c r="Y36788" s="501"/>
    </row>
    <row r="36789" spans="25:25" hidden="1" x14ac:dyDescent="0.25">
      <c r="Y36789" s="501"/>
    </row>
    <row r="36790" spans="25:25" hidden="1" x14ac:dyDescent="0.25">
      <c r="Y36790" s="501"/>
    </row>
    <row r="36791" spans="25:25" hidden="1" x14ac:dyDescent="0.25">
      <c r="Y36791" s="501"/>
    </row>
    <row r="36792" spans="25:25" hidden="1" x14ac:dyDescent="0.25">
      <c r="Y36792" s="501"/>
    </row>
    <row r="36793" spans="25:25" hidden="1" x14ac:dyDescent="0.25">
      <c r="Y36793" s="501"/>
    </row>
    <row r="36794" spans="25:25" hidden="1" x14ac:dyDescent="0.25">
      <c r="Y36794" s="501"/>
    </row>
    <row r="36795" spans="25:25" hidden="1" x14ac:dyDescent="0.25">
      <c r="Y36795" s="501"/>
    </row>
    <row r="36796" spans="25:25" hidden="1" x14ac:dyDescent="0.25">
      <c r="Y36796" s="501"/>
    </row>
    <row r="36797" spans="25:25" hidden="1" x14ac:dyDescent="0.25">
      <c r="Y36797" s="501"/>
    </row>
    <row r="36798" spans="25:25" hidden="1" x14ac:dyDescent="0.25">
      <c r="Y36798" s="501"/>
    </row>
    <row r="36799" spans="25:25" hidden="1" x14ac:dyDescent="0.25">
      <c r="Y36799" s="501"/>
    </row>
    <row r="36800" spans="25:25" hidden="1" x14ac:dyDescent="0.25">
      <c r="Y36800" s="501"/>
    </row>
    <row r="36801" spans="25:25" hidden="1" x14ac:dyDescent="0.25">
      <c r="Y36801" s="501"/>
    </row>
    <row r="36802" spans="25:25" hidden="1" x14ac:dyDescent="0.25">
      <c r="Y36802" s="501"/>
    </row>
    <row r="36803" spans="25:25" hidden="1" x14ac:dyDescent="0.25">
      <c r="Y36803" s="501"/>
    </row>
    <row r="36804" spans="25:25" hidden="1" x14ac:dyDescent="0.25">
      <c r="Y36804" s="501"/>
    </row>
    <row r="36805" spans="25:25" hidden="1" x14ac:dyDescent="0.25">
      <c r="Y36805" s="501"/>
    </row>
    <row r="36806" spans="25:25" hidden="1" x14ac:dyDescent="0.25">
      <c r="Y36806" s="501"/>
    </row>
    <row r="36807" spans="25:25" hidden="1" x14ac:dyDescent="0.25">
      <c r="Y36807" s="501"/>
    </row>
    <row r="36808" spans="25:25" hidden="1" x14ac:dyDescent="0.25">
      <c r="Y36808" s="501"/>
    </row>
    <row r="36809" spans="25:25" hidden="1" x14ac:dyDescent="0.25">
      <c r="Y36809" s="501"/>
    </row>
    <row r="36810" spans="25:25" hidden="1" x14ac:dyDescent="0.25">
      <c r="Y36810" s="501"/>
    </row>
    <row r="36811" spans="25:25" hidden="1" x14ac:dyDescent="0.25">
      <c r="Y36811" s="501"/>
    </row>
    <row r="36812" spans="25:25" hidden="1" x14ac:dyDescent="0.25">
      <c r="Y36812" s="501"/>
    </row>
    <row r="36813" spans="25:25" hidden="1" x14ac:dyDescent="0.25">
      <c r="Y36813" s="501"/>
    </row>
    <row r="36814" spans="25:25" hidden="1" x14ac:dyDescent="0.25">
      <c r="Y36814" s="501"/>
    </row>
    <row r="36815" spans="25:25" hidden="1" x14ac:dyDescent="0.25">
      <c r="Y36815" s="501"/>
    </row>
    <row r="36816" spans="25:25" hidden="1" x14ac:dyDescent="0.25">
      <c r="Y36816" s="501"/>
    </row>
    <row r="36817" spans="25:25" hidden="1" x14ac:dyDescent="0.25">
      <c r="Y36817" s="501"/>
    </row>
    <row r="36818" spans="25:25" hidden="1" x14ac:dyDescent="0.25">
      <c r="Y36818" s="501"/>
    </row>
    <row r="36819" spans="25:25" hidden="1" x14ac:dyDescent="0.25">
      <c r="Y36819" s="501"/>
    </row>
    <row r="36820" spans="25:25" hidden="1" x14ac:dyDescent="0.25">
      <c r="Y36820" s="501"/>
    </row>
    <row r="36821" spans="25:25" hidden="1" x14ac:dyDescent="0.25">
      <c r="Y36821" s="501"/>
    </row>
    <row r="36822" spans="25:25" hidden="1" x14ac:dyDescent="0.25">
      <c r="Y36822" s="501"/>
    </row>
    <row r="36823" spans="25:25" hidden="1" x14ac:dyDescent="0.25">
      <c r="Y36823" s="501"/>
    </row>
    <row r="36824" spans="25:25" hidden="1" x14ac:dyDescent="0.25">
      <c r="Y36824" s="501"/>
    </row>
    <row r="36825" spans="25:25" hidden="1" x14ac:dyDescent="0.25">
      <c r="Y36825" s="501"/>
    </row>
    <row r="36826" spans="25:25" hidden="1" x14ac:dyDescent="0.25">
      <c r="Y36826" s="501"/>
    </row>
    <row r="36827" spans="25:25" hidden="1" x14ac:dyDescent="0.25">
      <c r="Y36827" s="501"/>
    </row>
    <row r="36828" spans="25:25" hidden="1" x14ac:dyDescent="0.25">
      <c r="Y36828" s="501"/>
    </row>
    <row r="36829" spans="25:25" hidden="1" x14ac:dyDescent="0.25">
      <c r="Y36829" s="501"/>
    </row>
    <row r="36830" spans="25:25" hidden="1" x14ac:dyDescent="0.25">
      <c r="Y36830" s="501"/>
    </row>
    <row r="36831" spans="25:25" hidden="1" x14ac:dyDescent="0.25">
      <c r="Y36831" s="501"/>
    </row>
    <row r="36832" spans="25:25" hidden="1" x14ac:dyDescent="0.25">
      <c r="Y36832" s="501"/>
    </row>
    <row r="36833" spans="25:25" hidden="1" x14ac:dyDescent="0.25">
      <c r="Y36833" s="501"/>
    </row>
    <row r="36834" spans="25:25" hidden="1" x14ac:dyDescent="0.25">
      <c r="Y36834" s="501"/>
    </row>
    <row r="36835" spans="25:25" hidden="1" x14ac:dyDescent="0.25">
      <c r="Y36835" s="501"/>
    </row>
    <row r="36836" spans="25:25" hidden="1" x14ac:dyDescent="0.25">
      <c r="Y36836" s="501"/>
    </row>
    <row r="36837" spans="25:25" hidden="1" x14ac:dyDescent="0.25">
      <c r="Y36837" s="501"/>
    </row>
    <row r="36838" spans="25:25" hidden="1" x14ac:dyDescent="0.25">
      <c r="Y36838" s="501"/>
    </row>
    <row r="36839" spans="25:25" hidden="1" x14ac:dyDescent="0.25">
      <c r="Y36839" s="501"/>
    </row>
    <row r="36840" spans="25:25" hidden="1" x14ac:dyDescent="0.25">
      <c r="Y36840" s="501"/>
    </row>
    <row r="36841" spans="25:25" hidden="1" x14ac:dyDescent="0.25">
      <c r="Y36841" s="501"/>
    </row>
    <row r="36842" spans="25:25" hidden="1" x14ac:dyDescent="0.25">
      <c r="Y36842" s="501"/>
    </row>
    <row r="36843" spans="25:25" hidden="1" x14ac:dyDescent="0.25">
      <c r="Y36843" s="501"/>
    </row>
    <row r="36844" spans="25:25" hidden="1" x14ac:dyDescent="0.25">
      <c r="Y36844" s="501"/>
    </row>
    <row r="36845" spans="25:25" hidden="1" x14ac:dyDescent="0.25">
      <c r="Y36845" s="501"/>
    </row>
    <row r="36846" spans="25:25" hidden="1" x14ac:dyDescent="0.25">
      <c r="Y36846" s="501"/>
    </row>
    <row r="36847" spans="25:25" hidden="1" x14ac:dyDescent="0.25">
      <c r="Y36847" s="501"/>
    </row>
    <row r="36848" spans="25:25" hidden="1" x14ac:dyDescent="0.25">
      <c r="Y36848" s="501"/>
    </row>
    <row r="36849" spans="25:25" hidden="1" x14ac:dyDescent="0.25">
      <c r="Y36849" s="501"/>
    </row>
    <row r="36850" spans="25:25" hidden="1" x14ac:dyDescent="0.25">
      <c r="Y36850" s="501"/>
    </row>
    <row r="36851" spans="25:25" hidden="1" x14ac:dyDescent="0.25">
      <c r="Y36851" s="501"/>
    </row>
    <row r="36852" spans="25:25" hidden="1" x14ac:dyDescent="0.25">
      <c r="Y36852" s="501"/>
    </row>
    <row r="36853" spans="25:25" hidden="1" x14ac:dyDescent="0.25">
      <c r="Y36853" s="501"/>
    </row>
    <row r="36854" spans="25:25" hidden="1" x14ac:dyDescent="0.25">
      <c r="Y36854" s="501"/>
    </row>
    <row r="36855" spans="25:25" hidden="1" x14ac:dyDescent="0.25">
      <c r="Y36855" s="501"/>
    </row>
    <row r="36856" spans="25:25" hidden="1" x14ac:dyDescent="0.25">
      <c r="Y36856" s="501"/>
    </row>
    <row r="36857" spans="25:25" hidden="1" x14ac:dyDescent="0.25">
      <c r="Y36857" s="501"/>
    </row>
    <row r="36858" spans="25:25" hidden="1" x14ac:dyDescent="0.25">
      <c r="Y36858" s="501"/>
    </row>
    <row r="36859" spans="25:25" hidden="1" x14ac:dyDescent="0.25">
      <c r="Y36859" s="501"/>
    </row>
    <row r="36860" spans="25:25" hidden="1" x14ac:dyDescent="0.25">
      <c r="Y36860" s="501"/>
    </row>
    <row r="36861" spans="25:25" hidden="1" x14ac:dyDescent="0.25">
      <c r="Y36861" s="501"/>
    </row>
    <row r="36862" spans="25:25" hidden="1" x14ac:dyDescent="0.25">
      <c r="Y36862" s="501"/>
    </row>
    <row r="36863" spans="25:25" hidden="1" x14ac:dyDescent="0.25">
      <c r="Y36863" s="501"/>
    </row>
    <row r="36864" spans="25:25" hidden="1" x14ac:dyDescent="0.25">
      <c r="Y36864" s="501"/>
    </row>
    <row r="36865" spans="25:25" hidden="1" x14ac:dyDescent="0.25">
      <c r="Y36865" s="501"/>
    </row>
    <row r="36866" spans="25:25" hidden="1" x14ac:dyDescent="0.25">
      <c r="Y36866" s="501"/>
    </row>
    <row r="36867" spans="25:25" hidden="1" x14ac:dyDescent="0.25">
      <c r="Y36867" s="501"/>
    </row>
    <row r="36868" spans="25:25" hidden="1" x14ac:dyDescent="0.25">
      <c r="Y36868" s="501"/>
    </row>
    <row r="36869" spans="25:25" hidden="1" x14ac:dyDescent="0.25">
      <c r="Y36869" s="501"/>
    </row>
    <row r="36870" spans="25:25" hidden="1" x14ac:dyDescent="0.25">
      <c r="Y36870" s="501"/>
    </row>
    <row r="36871" spans="25:25" hidden="1" x14ac:dyDescent="0.25">
      <c r="Y36871" s="501"/>
    </row>
    <row r="36872" spans="25:25" hidden="1" x14ac:dyDescent="0.25">
      <c r="Y36872" s="501"/>
    </row>
    <row r="36873" spans="25:25" hidden="1" x14ac:dyDescent="0.25">
      <c r="Y36873" s="501"/>
    </row>
    <row r="36874" spans="25:25" hidden="1" x14ac:dyDescent="0.25">
      <c r="Y36874" s="501"/>
    </row>
    <row r="36875" spans="25:25" hidden="1" x14ac:dyDescent="0.25">
      <c r="Y36875" s="501"/>
    </row>
    <row r="36876" spans="25:25" hidden="1" x14ac:dyDescent="0.25">
      <c r="Y36876" s="501"/>
    </row>
    <row r="36877" spans="25:25" hidden="1" x14ac:dyDescent="0.25">
      <c r="Y36877" s="501"/>
    </row>
    <row r="36878" spans="25:25" hidden="1" x14ac:dyDescent="0.25">
      <c r="Y36878" s="501"/>
    </row>
    <row r="36879" spans="25:25" hidden="1" x14ac:dyDescent="0.25">
      <c r="Y36879" s="501"/>
    </row>
    <row r="36880" spans="25:25" hidden="1" x14ac:dyDescent="0.25">
      <c r="Y36880" s="501"/>
    </row>
    <row r="36881" spans="25:25" hidden="1" x14ac:dyDescent="0.25">
      <c r="Y36881" s="501"/>
    </row>
    <row r="36882" spans="25:25" hidden="1" x14ac:dyDescent="0.25">
      <c r="Y36882" s="501"/>
    </row>
    <row r="36883" spans="25:25" hidden="1" x14ac:dyDescent="0.25">
      <c r="Y36883" s="501"/>
    </row>
    <row r="36884" spans="25:25" hidden="1" x14ac:dyDescent="0.25">
      <c r="Y36884" s="501"/>
    </row>
    <row r="36885" spans="25:25" hidden="1" x14ac:dyDescent="0.25">
      <c r="Y36885" s="501"/>
    </row>
    <row r="36886" spans="25:25" hidden="1" x14ac:dyDescent="0.25">
      <c r="Y36886" s="501"/>
    </row>
    <row r="36887" spans="25:25" hidden="1" x14ac:dyDescent="0.25">
      <c r="Y36887" s="501"/>
    </row>
    <row r="36888" spans="25:25" hidden="1" x14ac:dyDescent="0.25">
      <c r="Y36888" s="501"/>
    </row>
    <row r="36889" spans="25:25" hidden="1" x14ac:dyDescent="0.25">
      <c r="Y36889" s="501"/>
    </row>
    <row r="36890" spans="25:25" hidden="1" x14ac:dyDescent="0.25">
      <c r="Y36890" s="501"/>
    </row>
    <row r="36891" spans="25:25" hidden="1" x14ac:dyDescent="0.25">
      <c r="Y36891" s="501"/>
    </row>
    <row r="36892" spans="25:25" hidden="1" x14ac:dyDescent="0.25">
      <c r="Y36892" s="501"/>
    </row>
    <row r="36893" spans="25:25" hidden="1" x14ac:dyDescent="0.25">
      <c r="Y36893" s="501"/>
    </row>
    <row r="36894" spans="25:25" hidden="1" x14ac:dyDescent="0.25">
      <c r="Y36894" s="501"/>
    </row>
    <row r="36895" spans="25:25" hidden="1" x14ac:dyDescent="0.25">
      <c r="Y36895" s="501"/>
    </row>
    <row r="36896" spans="25:25" hidden="1" x14ac:dyDescent="0.25">
      <c r="Y36896" s="501"/>
    </row>
    <row r="36897" spans="25:25" hidden="1" x14ac:dyDescent="0.25">
      <c r="Y36897" s="501"/>
    </row>
    <row r="36898" spans="25:25" hidden="1" x14ac:dyDescent="0.25">
      <c r="Y36898" s="501"/>
    </row>
    <row r="36899" spans="25:25" hidden="1" x14ac:dyDescent="0.25">
      <c r="Y36899" s="501"/>
    </row>
    <row r="36900" spans="25:25" hidden="1" x14ac:dyDescent="0.25">
      <c r="Y36900" s="501"/>
    </row>
    <row r="36901" spans="25:25" hidden="1" x14ac:dyDescent="0.25">
      <c r="Y36901" s="501"/>
    </row>
    <row r="36902" spans="25:25" hidden="1" x14ac:dyDescent="0.25">
      <c r="Y36902" s="501"/>
    </row>
    <row r="36903" spans="25:25" hidden="1" x14ac:dyDescent="0.25">
      <c r="Y36903" s="501"/>
    </row>
    <row r="36904" spans="25:25" hidden="1" x14ac:dyDescent="0.25">
      <c r="Y36904" s="501"/>
    </row>
    <row r="36905" spans="25:25" hidden="1" x14ac:dyDescent="0.25">
      <c r="Y36905" s="501"/>
    </row>
    <row r="36906" spans="25:25" hidden="1" x14ac:dyDescent="0.25">
      <c r="Y36906" s="501"/>
    </row>
    <row r="36907" spans="25:25" hidden="1" x14ac:dyDescent="0.25">
      <c r="Y36907" s="501"/>
    </row>
    <row r="36908" spans="25:25" hidden="1" x14ac:dyDescent="0.25">
      <c r="Y36908" s="501"/>
    </row>
    <row r="36909" spans="25:25" hidden="1" x14ac:dyDescent="0.25">
      <c r="Y36909" s="501"/>
    </row>
    <row r="36910" spans="25:25" hidden="1" x14ac:dyDescent="0.25">
      <c r="Y36910" s="501"/>
    </row>
    <row r="36911" spans="25:25" hidden="1" x14ac:dyDescent="0.25">
      <c r="Y36911" s="501"/>
    </row>
    <row r="36912" spans="25:25" hidden="1" x14ac:dyDescent="0.25">
      <c r="Y36912" s="501"/>
    </row>
    <row r="36913" spans="25:25" hidden="1" x14ac:dyDescent="0.25">
      <c r="Y36913" s="501"/>
    </row>
    <row r="36914" spans="25:25" hidden="1" x14ac:dyDescent="0.25">
      <c r="Y36914" s="501"/>
    </row>
    <row r="36915" spans="25:25" hidden="1" x14ac:dyDescent="0.25">
      <c r="Y36915" s="501"/>
    </row>
    <row r="36916" spans="25:25" hidden="1" x14ac:dyDescent="0.25">
      <c r="Y36916" s="501"/>
    </row>
    <row r="36917" spans="25:25" hidden="1" x14ac:dyDescent="0.25">
      <c r="Y36917" s="501"/>
    </row>
    <row r="36918" spans="25:25" hidden="1" x14ac:dyDescent="0.25">
      <c r="Y36918" s="501"/>
    </row>
    <row r="36919" spans="25:25" hidden="1" x14ac:dyDescent="0.25">
      <c r="Y36919" s="501"/>
    </row>
    <row r="36920" spans="25:25" hidden="1" x14ac:dyDescent="0.25">
      <c r="Y36920" s="501"/>
    </row>
    <row r="36921" spans="25:25" hidden="1" x14ac:dyDescent="0.25">
      <c r="Y36921" s="501"/>
    </row>
    <row r="36922" spans="25:25" hidden="1" x14ac:dyDescent="0.25">
      <c r="Y36922" s="501"/>
    </row>
    <row r="36923" spans="25:25" hidden="1" x14ac:dyDescent="0.25">
      <c r="Y36923" s="501"/>
    </row>
    <row r="36924" spans="25:25" hidden="1" x14ac:dyDescent="0.25">
      <c r="Y36924" s="501"/>
    </row>
    <row r="36925" spans="25:25" hidden="1" x14ac:dyDescent="0.25">
      <c r="Y36925" s="501"/>
    </row>
    <row r="36926" spans="25:25" hidden="1" x14ac:dyDescent="0.25">
      <c r="Y36926" s="501"/>
    </row>
    <row r="36927" spans="25:25" hidden="1" x14ac:dyDescent="0.25">
      <c r="Y36927" s="501"/>
    </row>
    <row r="36928" spans="25:25" hidden="1" x14ac:dyDescent="0.25">
      <c r="Y36928" s="501"/>
    </row>
    <row r="36929" spans="25:25" hidden="1" x14ac:dyDescent="0.25">
      <c r="Y36929" s="501"/>
    </row>
    <row r="36930" spans="25:25" hidden="1" x14ac:dyDescent="0.25">
      <c r="Y36930" s="501"/>
    </row>
    <row r="36931" spans="25:25" hidden="1" x14ac:dyDescent="0.25">
      <c r="Y36931" s="501"/>
    </row>
    <row r="36932" spans="25:25" hidden="1" x14ac:dyDescent="0.25">
      <c r="Y36932" s="501"/>
    </row>
    <row r="36933" spans="25:25" hidden="1" x14ac:dyDescent="0.25">
      <c r="Y36933" s="501"/>
    </row>
    <row r="36934" spans="25:25" hidden="1" x14ac:dyDescent="0.25">
      <c r="Y36934" s="501"/>
    </row>
    <row r="36935" spans="25:25" hidden="1" x14ac:dyDescent="0.25">
      <c r="Y36935" s="501"/>
    </row>
    <row r="36936" spans="25:25" hidden="1" x14ac:dyDescent="0.25">
      <c r="Y36936" s="501"/>
    </row>
    <row r="36937" spans="25:25" hidden="1" x14ac:dyDescent="0.25">
      <c r="Y36937" s="501"/>
    </row>
    <row r="36938" spans="25:25" hidden="1" x14ac:dyDescent="0.25">
      <c r="Y36938" s="501"/>
    </row>
    <row r="36939" spans="25:25" hidden="1" x14ac:dyDescent="0.25">
      <c r="Y36939" s="501"/>
    </row>
    <row r="36940" spans="25:25" hidden="1" x14ac:dyDescent="0.25">
      <c r="Y36940" s="501"/>
    </row>
    <row r="36941" spans="25:25" hidden="1" x14ac:dyDescent="0.25">
      <c r="Y36941" s="501"/>
    </row>
    <row r="36942" spans="25:25" hidden="1" x14ac:dyDescent="0.25">
      <c r="Y36942" s="501"/>
    </row>
    <row r="36943" spans="25:25" hidden="1" x14ac:dyDescent="0.25">
      <c r="Y36943" s="501"/>
    </row>
    <row r="36944" spans="25:25" hidden="1" x14ac:dyDescent="0.25">
      <c r="Y36944" s="501"/>
    </row>
    <row r="36945" spans="25:25" hidden="1" x14ac:dyDescent="0.25">
      <c r="Y36945" s="501"/>
    </row>
    <row r="36946" spans="25:25" hidden="1" x14ac:dyDescent="0.25">
      <c r="Y36946" s="501"/>
    </row>
    <row r="36947" spans="25:25" hidden="1" x14ac:dyDescent="0.25">
      <c r="Y36947" s="501"/>
    </row>
    <row r="36948" spans="25:25" hidden="1" x14ac:dyDescent="0.25">
      <c r="Y36948" s="501"/>
    </row>
    <row r="36949" spans="25:25" hidden="1" x14ac:dyDescent="0.25">
      <c r="Y36949" s="501"/>
    </row>
    <row r="36950" spans="25:25" hidden="1" x14ac:dyDescent="0.25">
      <c r="Y36950" s="501"/>
    </row>
    <row r="36951" spans="25:25" hidden="1" x14ac:dyDescent="0.25">
      <c r="Y36951" s="501"/>
    </row>
    <row r="36952" spans="25:25" hidden="1" x14ac:dyDescent="0.25">
      <c r="Y36952" s="501"/>
    </row>
    <row r="36953" spans="25:25" hidden="1" x14ac:dyDescent="0.25">
      <c r="Y36953" s="501"/>
    </row>
    <row r="36954" spans="25:25" hidden="1" x14ac:dyDescent="0.25">
      <c r="Y36954" s="501"/>
    </row>
    <row r="36955" spans="25:25" hidden="1" x14ac:dyDescent="0.25">
      <c r="Y36955" s="501"/>
    </row>
    <row r="36956" spans="25:25" hidden="1" x14ac:dyDescent="0.25">
      <c r="Y36956" s="501"/>
    </row>
    <row r="36957" spans="25:25" hidden="1" x14ac:dyDescent="0.25">
      <c r="Y36957" s="501"/>
    </row>
    <row r="36958" spans="25:25" hidden="1" x14ac:dyDescent="0.25">
      <c r="Y36958" s="501"/>
    </row>
    <row r="36959" spans="25:25" hidden="1" x14ac:dyDescent="0.25">
      <c r="Y36959" s="501"/>
    </row>
    <row r="36960" spans="25:25" hidden="1" x14ac:dyDescent="0.25">
      <c r="Y36960" s="501"/>
    </row>
    <row r="36961" spans="25:25" hidden="1" x14ac:dyDescent="0.25">
      <c r="Y36961" s="501"/>
    </row>
    <row r="36962" spans="25:25" hidden="1" x14ac:dyDescent="0.25">
      <c r="Y36962" s="501"/>
    </row>
    <row r="36963" spans="25:25" hidden="1" x14ac:dyDescent="0.25">
      <c r="Y36963" s="501"/>
    </row>
    <row r="36964" spans="25:25" hidden="1" x14ac:dyDescent="0.25">
      <c r="Y36964" s="501"/>
    </row>
    <row r="36965" spans="25:25" hidden="1" x14ac:dyDescent="0.25">
      <c r="Y36965" s="501"/>
    </row>
    <row r="36966" spans="25:25" hidden="1" x14ac:dyDescent="0.25">
      <c r="Y36966" s="501"/>
    </row>
    <row r="36967" spans="25:25" hidden="1" x14ac:dyDescent="0.25">
      <c r="Y36967" s="501"/>
    </row>
    <row r="36968" spans="25:25" hidden="1" x14ac:dyDescent="0.25">
      <c r="Y36968" s="501"/>
    </row>
    <row r="36969" spans="25:25" hidden="1" x14ac:dyDescent="0.25">
      <c r="Y36969" s="501"/>
    </row>
    <row r="36970" spans="25:25" hidden="1" x14ac:dyDescent="0.25">
      <c r="Y36970" s="501"/>
    </row>
    <row r="36971" spans="25:25" hidden="1" x14ac:dyDescent="0.25">
      <c r="Y36971" s="501"/>
    </row>
    <row r="36972" spans="25:25" hidden="1" x14ac:dyDescent="0.25">
      <c r="Y36972" s="501"/>
    </row>
    <row r="36973" spans="25:25" hidden="1" x14ac:dyDescent="0.25">
      <c r="Y36973" s="501"/>
    </row>
    <row r="36974" spans="25:25" hidden="1" x14ac:dyDescent="0.25">
      <c r="Y36974" s="501"/>
    </row>
    <row r="36975" spans="25:25" hidden="1" x14ac:dyDescent="0.25">
      <c r="Y36975" s="501"/>
    </row>
    <row r="36976" spans="25:25" hidden="1" x14ac:dyDescent="0.25">
      <c r="Y36976" s="501"/>
    </row>
    <row r="36977" spans="25:25" hidden="1" x14ac:dyDescent="0.25">
      <c r="Y36977" s="501"/>
    </row>
    <row r="36978" spans="25:25" hidden="1" x14ac:dyDescent="0.25">
      <c r="Y36978" s="501"/>
    </row>
    <row r="36979" spans="25:25" hidden="1" x14ac:dyDescent="0.25">
      <c r="Y36979" s="501"/>
    </row>
    <row r="36980" spans="25:25" hidden="1" x14ac:dyDescent="0.25">
      <c r="Y36980" s="501"/>
    </row>
    <row r="36981" spans="25:25" hidden="1" x14ac:dyDescent="0.25">
      <c r="Y36981" s="501"/>
    </row>
    <row r="36982" spans="25:25" hidden="1" x14ac:dyDescent="0.25">
      <c r="Y36982" s="501"/>
    </row>
    <row r="36983" spans="25:25" hidden="1" x14ac:dyDescent="0.25">
      <c r="Y36983" s="501"/>
    </row>
    <row r="36984" spans="25:25" hidden="1" x14ac:dyDescent="0.25">
      <c r="Y36984" s="501"/>
    </row>
    <row r="36985" spans="25:25" hidden="1" x14ac:dyDescent="0.25">
      <c r="Y36985" s="501"/>
    </row>
    <row r="36986" spans="25:25" hidden="1" x14ac:dyDescent="0.25">
      <c r="Y36986" s="501"/>
    </row>
    <row r="36987" spans="25:25" hidden="1" x14ac:dyDescent="0.25">
      <c r="Y36987" s="501"/>
    </row>
    <row r="36988" spans="25:25" hidden="1" x14ac:dyDescent="0.25">
      <c r="Y36988" s="501"/>
    </row>
    <row r="36989" spans="25:25" hidden="1" x14ac:dyDescent="0.25">
      <c r="Y36989" s="501"/>
    </row>
    <row r="36990" spans="25:25" hidden="1" x14ac:dyDescent="0.25">
      <c r="Y36990" s="501"/>
    </row>
    <row r="36991" spans="25:25" hidden="1" x14ac:dyDescent="0.25">
      <c r="Y36991" s="501"/>
    </row>
    <row r="36992" spans="25:25" hidden="1" x14ac:dyDescent="0.25">
      <c r="Y36992" s="501"/>
    </row>
    <row r="36993" spans="25:25" hidden="1" x14ac:dyDescent="0.25">
      <c r="Y36993" s="501"/>
    </row>
    <row r="36994" spans="25:25" hidden="1" x14ac:dyDescent="0.25">
      <c r="Y36994" s="501"/>
    </row>
    <row r="36995" spans="25:25" hidden="1" x14ac:dyDescent="0.25">
      <c r="Y36995" s="501"/>
    </row>
    <row r="36996" spans="25:25" hidden="1" x14ac:dyDescent="0.25">
      <c r="Y36996" s="501"/>
    </row>
    <row r="36997" spans="25:25" hidden="1" x14ac:dyDescent="0.25">
      <c r="Y36997" s="501"/>
    </row>
    <row r="36998" spans="25:25" hidden="1" x14ac:dyDescent="0.25">
      <c r="Y36998" s="501"/>
    </row>
    <row r="36999" spans="25:25" hidden="1" x14ac:dyDescent="0.25">
      <c r="Y36999" s="501"/>
    </row>
    <row r="37000" spans="25:25" hidden="1" x14ac:dyDescent="0.25">
      <c r="Y37000" s="501"/>
    </row>
    <row r="37001" spans="25:25" hidden="1" x14ac:dyDescent="0.25">
      <c r="Y37001" s="501"/>
    </row>
    <row r="37002" spans="25:25" hidden="1" x14ac:dyDescent="0.25">
      <c r="Y37002" s="501"/>
    </row>
    <row r="37003" spans="25:25" hidden="1" x14ac:dyDescent="0.25">
      <c r="Y37003" s="501"/>
    </row>
    <row r="37004" spans="25:25" hidden="1" x14ac:dyDescent="0.25">
      <c r="Y37004" s="501"/>
    </row>
    <row r="37005" spans="25:25" hidden="1" x14ac:dyDescent="0.25">
      <c r="Y37005" s="501"/>
    </row>
    <row r="37006" spans="25:25" hidden="1" x14ac:dyDescent="0.25">
      <c r="Y37006" s="501"/>
    </row>
    <row r="37007" spans="25:25" hidden="1" x14ac:dyDescent="0.25">
      <c r="Y37007" s="501"/>
    </row>
    <row r="37008" spans="25:25" hidden="1" x14ac:dyDescent="0.25">
      <c r="Y37008" s="501"/>
    </row>
    <row r="37009" spans="25:25" hidden="1" x14ac:dyDescent="0.25">
      <c r="Y37009" s="501"/>
    </row>
    <row r="37010" spans="25:25" hidden="1" x14ac:dyDescent="0.25">
      <c r="Y37010" s="501"/>
    </row>
    <row r="37011" spans="25:25" hidden="1" x14ac:dyDescent="0.25">
      <c r="Y37011" s="501"/>
    </row>
    <row r="37012" spans="25:25" hidden="1" x14ac:dyDescent="0.25">
      <c r="Y37012" s="501"/>
    </row>
    <row r="37013" spans="25:25" hidden="1" x14ac:dyDescent="0.25">
      <c r="Y37013" s="501"/>
    </row>
    <row r="37014" spans="25:25" hidden="1" x14ac:dyDescent="0.25">
      <c r="Y37014" s="501"/>
    </row>
    <row r="37015" spans="25:25" hidden="1" x14ac:dyDescent="0.25">
      <c r="Y37015" s="501"/>
    </row>
    <row r="37016" spans="25:25" hidden="1" x14ac:dyDescent="0.25">
      <c r="Y37016" s="501"/>
    </row>
    <row r="37017" spans="25:25" hidden="1" x14ac:dyDescent="0.25">
      <c r="Y37017" s="501"/>
    </row>
    <row r="37018" spans="25:25" hidden="1" x14ac:dyDescent="0.25">
      <c r="Y37018" s="501"/>
    </row>
    <row r="37019" spans="25:25" hidden="1" x14ac:dyDescent="0.25">
      <c r="Y37019" s="501"/>
    </row>
    <row r="37020" spans="25:25" hidden="1" x14ac:dyDescent="0.25">
      <c r="Y37020" s="501"/>
    </row>
    <row r="37021" spans="25:25" hidden="1" x14ac:dyDescent="0.25">
      <c r="Y37021" s="501"/>
    </row>
    <row r="37022" spans="25:25" hidden="1" x14ac:dyDescent="0.25">
      <c r="Y37022" s="501"/>
    </row>
    <row r="37023" spans="25:25" hidden="1" x14ac:dyDescent="0.25">
      <c r="Y37023" s="501"/>
    </row>
    <row r="37024" spans="25:25" hidden="1" x14ac:dyDescent="0.25">
      <c r="Y37024" s="501"/>
    </row>
    <row r="37025" spans="25:25" hidden="1" x14ac:dyDescent="0.25">
      <c r="Y37025" s="501"/>
    </row>
    <row r="37026" spans="25:25" hidden="1" x14ac:dyDescent="0.25">
      <c r="Y37026" s="501"/>
    </row>
    <row r="37027" spans="25:25" hidden="1" x14ac:dyDescent="0.25">
      <c r="Y37027" s="501"/>
    </row>
    <row r="37028" spans="25:25" hidden="1" x14ac:dyDescent="0.25">
      <c r="Y37028" s="501"/>
    </row>
    <row r="37029" spans="25:25" hidden="1" x14ac:dyDescent="0.25">
      <c r="Y37029" s="501"/>
    </row>
    <row r="37030" spans="25:25" hidden="1" x14ac:dyDescent="0.25">
      <c r="Y37030" s="501"/>
    </row>
    <row r="37031" spans="25:25" hidden="1" x14ac:dyDescent="0.25">
      <c r="Y37031" s="501"/>
    </row>
    <row r="37032" spans="25:25" hidden="1" x14ac:dyDescent="0.25">
      <c r="Y37032" s="501"/>
    </row>
    <row r="37033" spans="25:25" hidden="1" x14ac:dyDescent="0.25">
      <c r="Y37033" s="501"/>
    </row>
    <row r="37034" spans="25:25" hidden="1" x14ac:dyDescent="0.25">
      <c r="Y37034" s="501"/>
    </row>
    <row r="37035" spans="25:25" hidden="1" x14ac:dyDescent="0.25">
      <c r="Y37035" s="501"/>
    </row>
    <row r="37036" spans="25:25" hidden="1" x14ac:dyDescent="0.25">
      <c r="Y37036" s="501"/>
    </row>
    <row r="37037" spans="25:25" hidden="1" x14ac:dyDescent="0.25">
      <c r="Y37037" s="501"/>
    </row>
    <row r="37038" spans="25:25" hidden="1" x14ac:dyDescent="0.25">
      <c r="Y37038" s="501"/>
    </row>
    <row r="37039" spans="25:25" hidden="1" x14ac:dyDescent="0.25">
      <c r="Y37039" s="501"/>
    </row>
    <row r="37040" spans="25:25" hidden="1" x14ac:dyDescent="0.25">
      <c r="Y37040" s="501"/>
    </row>
    <row r="37041" spans="25:25" hidden="1" x14ac:dyDescent="0.25">
      <c r="Y37041" s="501"/>
    </row>
    <row r="37042" spans="25:25" hidden="1" x14ac:dyDescent="0.25">
      <c r="Y37042" s="501"/>
    </row>
    <row r="37043" spans="25:25" hidden="1" x14ac:dyDescent="0.25">
      <c r="Y37043" s="501"/>
    </row>
    <row r="37044" spans="25:25" hidden="1" x14ac:dyDescent="0.25">
      <c r="Y37044" s="501"/>
    </row>
    <row r="37045" spans="25:25" hidden="1" x14ac:dyDescent="0.25">
      <c r="Y37045" s="501"/>
    </row>
    <row r="37046" spans="25:25" hidden="1" x14ac:dyDescent="0.25">
      <c r="Y37046" s="501"/>
    </row>
    <row r="37047" spans="25:25" hidden="1" x14ac:dyDescent="0.25">
      <c r="Y37047" s="501"/>
    </row>
    <row r="37048" spans="25:25" hidden="1" x14ac:dyDescent="0.25">
      <c r="Y37048" s="501"/>
    </row>
    <row r="37049" spans="25:25" hidden="1" x14ac:dyDescent="0.25">
      <c r="Y37049" s="501"/>
    </row>
    <row r="37050" spans="25:25" hidden="1" x14ac:dyDescent="0.25">
      <c r="Y37050" s="501"/>
    </row>
    <row r="37051" spans="25:25" hidden="1" x14ac:dyDescent="0.25">
      <c r="Y37051" s="501"/>
    </row>
    <row r="37052" spans="25:25" hidden="1" x14ac:dyDescent="0.25">
      <c r="Y37052" s="501"/>
    </row>
    <row r="37053" spans="25:25" hidden="1" x14ac:dyDescent="0.25">
      <c r="Y37053" s="501"/>
    </row>
    <row r="37054" spans="25:25" hidden="1" x14ac:dyDescent="0.25">
      <c r="Y37054" s="501"/>
    </row>
    <row r="37055" spans="25:25" hidden="1" x14ac:dyDescent="0.25">
      <c r="Y37055" s="501"/>
    </row>
    <row r="37056" spans="25:25" hidden="1" x14ac:dyDescent="0.25">
      <c r="Y37056" s="501"/>
    </row>
    <row r="37057" spans="25:25" hidden="1" x14ac:dyDescent="0.25">
      <c r="Y37057" s="501"/>
    </row>
    <row r="37058" spans="25:25" hidden="1" x14ac:dyDescent="0.25">
      <c r="Y37058" s="501"/>
    </row>
    <row r="37059" spans="25:25" hidden="1" x14ac:dyDescent="0.25">
      <c r="Y37059" s="501"/>
    </row>
    <row r="37060" spans="25:25" hidden="1" x14ac:dyDescent="0.25">
      <c r="Y37060" s="501"/>
    </row>
    <row r="37061" spans="25:25" hidden="1" x14ac:dyDescent="0.25">
      <c r="Y37061" s="501"/>
    </row>
    <row r="37062" spans="25:25" hidden="1" x14ac:dyDescent="0.25">
      <c r="Y37062" s="501"/>
    </row>
    <row r="37063" spans="25:25" hidden="1" x14ac:dyDescent="0.25">
      <c r="Y37063" s="501"/>
    </row>
    <row r="37064" spans="25:25" hidden="1" x14ac:dyDescent="0.25">
      <c r="Y37064" s="501"/>
    </row>
    <row r="37065" spans="25:25" hidden="1" x14ac:dyDescent="0.25">
      <c r="Y37065" s="501"/>
    </row>
    <row r="37066" spans="25:25" hidden="1" x14ac:dyDescent="0.25">
      <c r="Y37066" s="501"/>
    </row>
    <row r="37067" spans="25:25" hidden="1" x14ac:dyDescent="0.25">
      <c r="Y37067" s="501"/>
    </row>
    <row r="37068" spans="25:25" hidden="1" x14ac:dyDescent="0.25">
      <c r="Y37068" s="501"/>
    </row>
    <row r="37069" spans="25:25" hidden="1" x14ac:dyDescent="0.25">
      <c r="Y37069" s="501"/>
    </row>
    <row r="37070" spans="25:25" hidden="1" x14ac:dyDescent="0.25">
      <c r="Y37070" s="501"/>
    </row>
    <row r="37071" spans="25:25" hidden="1" x14ac:dyDescent="0.25">
      <c r="Y37071" s="501"/>
    </row>
    <row r="37072" spans="25:25" hidden="1" x14ac:dyDescent="0.25">
      <c r="Y37072" s="501"/>
    </row>
    <row r="37073" spans="25:25" hidden="1" x14ac:dyDescent="0.25">
      <c r="Y37073" s="501"/>
    </row>
    <row r="37074" spans="25:25" hidden="1" x14ac:dyDescent="0.25">
      <c r="Y37074" s="501"/>
    </row>
    <row r="37075" spans="25:25" hidden="1" x14ac:dyDescent="0.25">
      <c r="Y37075" s="501"/>
    </row>
    <row r="37076" spans="25:25" hidden="1" x14ac:dyDescent="0.25">
      <c r="Y37076" s="501"/>
    </row>
    <row r="37077" spans="25:25" hidden="1" x14ac:dyDescent="0.25">
      <c r="Y37077" s="501"/>
    </row>
    <row r="37078" spans="25:25" hidden="1" x14ac:dyDescent="0.25">
      <c r="Y37078" s="501"/>
    </row>
    <row r="37079" spans="25:25" hidden="1" x14ac:dyDescent="0.25">
      <c r="Y37079" s="501"/>
    </row>
    <row r="37080" spans="25:25" hidden="1" x14ac:dyDescent="0.25">
      <c r="Y37080" s="501"/>
    </row>
    <row r="37081" spans="25:25" hidden="1" x14ac:dyDescent="0.25">
      <c r="Y37081" s="501"/>
    </row>
    <row r="37082" spans="25:25" hidden="1" x14ac:dyDescent="0.25">
      <c r="Y37082" s="501"/>
    </row>
    <row r="37083" spans="25:25" hidden="1" x14ac:dyDescent="0.25">
      <c r="Y37083" s="501"/>
    </row>
    <row r="37084" spans="25:25" hidden="1" x14ac:dyDescent="0.25">
      <c r="Y37084" s="501"/>
    </row>
    <row r="37085" spans="25:25" hidden="1" x14ac:dyDescent="0.25">
      <c r="Y37085" s="501"/>
    </row>
    <row r="37086" spans="25:25" hidden="1" x14ac:dyDescent="0.25">
      <c r="Y37086" s="501"/>
    </row>
    <row r="37087" spans="25:25" hidden="1" x14ac:dyDescent="0.25">
      <c r="Y37087" s="501"/>
    </row>
    <row r="37088" spans="25:25" hidden="1" x14ac:dyDescent="0.25">
      <c r="Y37088" s="501"/>
    </row>
    <row r="37089" spans="25:25" hidden="1" x14ac:dyDescent="0.25">
      <c r="Y37089" s="501"/>
    </row>
    <row r="37090" spans="25:25" hidden="1" x14ac:dyDescent="0.25">
      <c r="Y37090" s="501"/>
    </row>
    <row r="37091" spans="25:25" hidden="1" x14ac:dyDescent="0.25">
      <c r="Y37091" s="501"/>
    </row>
    <row r="37092" spans="25:25" hidden="1" x14ac:dyDescent="0.25">
      <c r="Y37092" s="501"/>
    </row>
    <row r="37093" spans="25:25" hidden="1" x14ac:dyDescent="0.25">
      <c r="Y37093" s="501"/>
    </row>
    <row r="37094" spans="25:25" hidden="1" x14ac:dyDescent="0.25">
      <c r="Y37094" s="501"/>
    </row>
    <row r="37095" spans="25:25" hidden="1" x14ac:dyDescent="0.25">
      <c r="Y37095" s="501"/>
    </row>
    <row r="37096" spans="25:25" hidden="1" x14ac:dyDescent="0.25">
      <c r="Y37096" s="501"/>
    </row>
    <row r="37097" spans="25:25" hidden="1" x14ac:dyDescent="0.25">
      <c r="Y37097" s="501"/>
    </row>
    <row r="37098" spans="25:25" hidden="1" x14ac:dyDescent="0.25">
      <c r="Y37098" s="501"/>
    </row>
    <row r="37099" spans="25:25" hidden="1" x14ac:dyDescent="0.25">
      <c r="Y37099" s="501"/>
    </row>
    <row r="37100" spans="25:25" hidden="1" x14ac:dyDescent="0.25">
      <c r="Y37100" s="501"/>
    </row>
    <row r="37101" spans="25:25" hidden="1" x14ac:dyDescent="0.25">
      <c r="Y37101" s="501"/>
    </row>
    <row r="37102" spans="25:25" hidden="1" x14ac:dyDescent="0.25">
      <c r="Y37102" s="501"/>
    </row>
    <row r="37103" spans="25:25" hidden="1" x14ac:dyDescent="0.25">
      <c r="Y37103" s="501"/>
    </row>
    <row r="37104" spans="25:25" hidden="1" x14ac:dyDescent="0.25">
      <c r="Y37104" s="501"/>
    </row>
    <row r="37105" spans="25:25" hidden="1" x14ac:dyDescent="0.25">
      <c r="Y37105" s="501"/>
    </row>
    <row r="37106" spans="25:25" hidden="1" x14ac:dyDescent="0.25">
      <c r="Y37106" s="501"/>
    </row>
    <row r="37107" spans="25:25" hidden="1" x14ac:dyDescent="0.25">
      <c r="Y37107" s="501"/>
    </row>
    <row r="37108" spans="25:25" hidden="1" x14ac:dyDescent="0.25">
      <c r="Y37108" s="501"/>
    </row>
    <row r="37109" spans="25:25" hidden="1" x14ac:dyDescent="0.25">
      <c r="Y37109" s="501"/>
    </row>
    <row r="37110" spans="25:25" hidden="1" x14ac:dyDescent="0.25">
      <c r="Y37110" s="501"/>
    </row>
    <row r="37111" spans="25:25" hidden="1" x14ac:dyDescent="0.25">
      <c r="Y37111" s="501"/>
    </row>
    <row r="37112" spans="25:25" hidden="1" x14ac:dyDescent="0.25">
      <c r="Y37112" s="501"/>
    </row>
    <row r="37113" spans="25:25" hidden="1" x14ac:dyDescent="0.25">
      <c r="Y37113" s="501"/>
    </row>
    <row r="37114" spans="25:25" hidden="1" x14ac:dyDescent="0.25">
      <c r="Y37114" s="501"/>
    </row>
    <row r="37115" spans="25:25" hidden="1" x14ac:dyDescent="0.25">
      <c r="Y37115" s="501"/>
    </row>
    <row r="37116" spans="25:25" hidden="1" x14ac:dyDescent="0.25">
      <c r="Y37116" s="501"/>
    </row>
    <row r="37117" spans="25:25" hidden="1" x14ac:dyDescent="0.25">
      <c r="Y37117" s="501"/>
    </row>
    <row r="37118" spans="25:25" hidden="1" x14ac:dyDescent="0.25">
      <c r="Y37118" s="501"/>
    </row>
    <row r="37119" spans="25:25" hidden="1" x14ac:dyDescent="0.25">
      <c r="Y37119" s="501"/>
    </row>
    <row r="37120" spans="25:25" hidden="1" x14ac:dyDescent="0.25">
      <c r="Y37120" s="501"/>
    </row>
    <row r="37121" spans="25:25" hidden="1" x14ac:dyDescent="0.25">
      <c r="Y37121" s="501"/>
    </row>
    <row r="37122" spans="25:25" hidden="1" x14ac:dyDescent="0.25">
      <c r="Y37122" s="501"/>
    </row>
    <row r="37123" spans="25:25" hidden="1" x14ac:dyDescent="0.25">
      <c r="Y37123" s="501"/>
    </row>
    <row r="37124" spans="25:25" hidden="1" x14ac:dyDescent="0.25">
      <c r="Y37124" s="501"/>
    </row>
    <row r="37125" spans="25:25" hidden="1" x14ac:dyDescent="0.25">
      <c r="Y37125" s="501"/>
    </row>
    <row r="37126" spans="25:25" hidden="1" x14ac:dyDescent="0.25">
      <c r="Y37126" s="501"/>
    </row>
    <row r="37127" spans="25:25" hidden="1" x14ac:dyDescent="0.25">
      <c r="Y37127" s="501"/>
    </row>
    <row r="37128" spans="25:25" hidden="1" x14ac:dyDescent="0.25">
      <c r="Y37128" s="501"/>
    </row>
    <row r="37129" spans="25:25" hidden="1" x14ac:dyDescent="0.25">
      <c r="Y37129" s="501"/>
    </row>
    <row r="37130" spans="25:25" hidden="1" x14ac:dyDescent="0.25">
      <c r="Y37130" s="501"/>
    </row>
    <row r="37131" spans="25:25" hidden="1" x14ac:dyDescent="0.25">
      <c r="Y37131" s="501"/>
    </row>
    <row r="37132" spans="25:25" hidden="1" x14ac:dyDescent="0.25">
      <c r="Y37132" s="501"/>
    </row>
    <row r="37133" spans="25:25" hidden="1" x14ac:dyDescent="0.25">
      <c r="Y37133" s="501"/>
    </row>
    <row r="37134" spans="25:25" hidden="1" x14ac:dyDescent="0.25">
      <c r="Y37134" s="501"/>
    </row>
    <row r="37135" spans="25:25" hidden="1" x14ac:dyDescent="0.25">
      <c r="Y37135" s="501"/>
    </row>
    <row r="37136" spans="25:25" hidden="1" x14ac:dyDescent="0.25">
      <c r="Y37136" s="501"/>
    </row>
    <row r="37137" spans="25:25" hidden="1" x14ac:dyDescent="0.25">
      <c r="Y37137" s="501"/>
    </row>
    <row r="37138" spans="25:25" hidden="1" x14ac:dyDescent="0.25">
      <c r="Y37138" s="501"/>
    </row>
    <row r="37139" spans="25:25" hidden="1" x14ac:dyDescent="0.25">
      <c r="Y37139" s="501"/>
    </row>
    <row r="37140" spans="25:25" hidden="1" x14ac:dyDescent="0.25">
      <c r="Y37140" s="501"/>
    </row>
    <row r="37141" spans="25:25" hidden="1" x14ac:dyDescent="0.25">
      <c r="Y37141" s="501"/>
    </row>
    <row r="37142" spans="25:25" hidden="1" x14ac:dyDescent="0.25">
      <c r="Y37142" s="501"/>
    </row>
    <row r="37143" spans="25:25" hidden="1" x14ac:dyDescent="0.25">
      <c r="Y37143" s="501"/>
    </row>
    <row r="37144" spans="25:25" hidden="1" x14ac:dyDescent="0.25">
      <c r="Y37144" s="501"/>
    </row>
    <row r="37145" spans="25:25" hidden="1" x14ac:dyDescent="0.25">
      <c r="Y37145" s="501"/>
    </row>
    <row r="37146" spans="25:25" hidden="1" x14ac:dyDescent="0.25">
      <c r="Y37146" s="501"/>
    </row>
    <row r="37147" spans="25:25" hidden="1" x14ac:dyDescent="0.25">
      <c r="Y37147" s="501"/>
    </row>
    <row r="37148" spans="25:25" hidden="1" x14ac:dyDescent="0.25">
      <c r="Y37148" s="501"/>
    </row>
    <row r="37149" spans="25:25" hidden="1" x14ac:dyDescent="0.25">
      <c r="Y37149" s="501"/>
    </row>
    <row r="37150" spans="25:25" hidden="1" x14ac:dyDescent="0.25">
      <c r="Y37150" s="501"/>
    </row>
    <row r="37151" spans="25:25" hidden="1" x14ac:dyDescent="0.25">
      <c r="Y37151" s="501"/>
    </row>
    <row r="37152" spans="25:25" hidden="1" x14ac:dyDescent="0.25">
      <c r="Y37152" s="501"/>
    </row>
    <row r="37153" spans="25:25" hidden="1" x14ac:dyDescent="0.25">
      <c r="Y37153" s="501"/>
    </row>
    <row r="37154" spans="25:25" hidden="1" x14ac:dyDescent="0.25">
      <c r="Y37154" s="501"/>
    </row>
    <row r="37155" spans="25:25" hidden="1" x14ac:dyDescent="0.25">
      <c r="Y37155" s="501"/>
    </row>
    <row r="37156" spans="25:25" hidden="1" x14ac:dyDescent="0.25">
      <c r="Y37156" s="501"/>
    </row>
    <row r="37157" spans="25:25" hidden="1" x14ac:dyDescent="0.25">
      <c r="Y37157" s="501"/>
    </row>
    <row r="37158" spans="25:25" hidden="1" x14ac:dyDescent="0.25">
      <c r="Y37158" s="501"/>
    </row>
    <row r="37159" spans="25:25" hidden="1" x14ac:dyDescent="0.25">
      <c r="Y37159" s="501"/>
    </row>
    <row r="37160" spans="25:25" hidden="1" x14ac:dyDescent="0.25">
      <c r="Y37160" s="501"/>
    </row>
    <row r="37161" spans="25:25" hidden="1" x14ac:dyDescent="0.25">
      <c r="Y37161" s="501"/>
    </row>
    <row r="37162" spans="25:25" hidden="1" x14ac:dyDescent="0.25">
      <c r="Y37162" s="501"/>
    </row>
    <row r="37163" spans="25:25" hidden="1" x14ac:dyDescent="0.25">
      <c r="Y37163" s="501"/>
    </row>
    <row r="37164" spans="25:25" hidden="1" x14ac:dyDescent="0.25">
      <c r="Y37164" s="501"/>
    </row>
    <row r="37165" spans="25:25" hidden="1" x14ac:dyDescent="0.25">
      <c r="Y37165" s="501"/>
    </row>
    <row r="37166" spans="25:25" hidden="1" x14ac:dyDescent="0.25">
      <c r="Y37166" s="501"/>
    </row>
    <row r="37167" spans="25:25" hidden="1" x14ac:dyDescent="0.25">
      <c r="Y37167" s="501"/>
    </row>
    <row r="37168" spans="25:25" hidden="1" x14ac:dyDescent="0.25">
      <c r="Y37168" s="501"/>
    </row>
    <row r="37169" spans="25:25" hidden="1" x14ac:dyDescent="0.25">
      <c r="Y37169" s="501"/>
    </row>
    <row r="37170" spans="25:25" hidden="1" x14ac:dyDescent="0.25">
      <c r="Y37170" s="501"/>
    </row>
    <row r="37171" spans="25:25" hidden="1" x14ac:dyDescent="0.25">
      <c r="Y37171" s="501"/>
    </row>
    <row r="37172" spans="25:25" hidden="1" x14ac:dyDescent="0.25">
      <c r="Y37172" s="501"/>
    </row>
    <row r="37173" spans="25:25" hidden="1" x14ac:dyDescent="0.25">
      <c r="Y37173" s="501"/>
    </row>
    <row r="37174" spans="25:25" hidden="1" x14ac:dyDescent="0.25">
      <c r="Y37174" s="501"/>
    </row>
    <row r="37175" spans="25:25" hidden="1" x14ac:dyDescent="0.25">
      <c r="Y37175" s="501"/>
    </row>
    <row r="37176" spans="25:25" hidden="1" x14ac:dyDescent="0.25">
      <c r="Y37176" s="501"/>
    </row>
    <row r="37177" spans="25:25" hidden="1" x14ac:dyDescent="0.25">
      <c r="Y37177" s="501"/>
    </row>
    <row r="37178" spans="25:25" hidden="1" x14ac:dyDescent="0.25">
      <c r="Y37178" s="501"/>
    </row>
    <row r="37179" spans="25:25" hidden="1" x14ac:dyDescent="0.25">
      <c r="Y37179" s="501"/>
    </row>
    <row r="37180" spans="25:25" hidden="1" x14ac:dyDescent="0.25">
      <c r="Y37180" s="501"/>
    </row>
    <row r="37181" spans="25:25" hidden="1" x14ac:dyDescent="0.25">
      <c r="Y37181" s="501"/>
    </row>
    <row r="37182" spans="25:25" hidden="1" x14ac:dyDescent="0.25">
      <c r="Y37182" s="501"/>
    </row>
    <row r="37183" spans="25:25" hidden="1" x14ac:dyDescent="0.25">
      <c r="Y37183" s="501"/>
    </row>
    <row r="37184" spans="25:25" hidden="1" x14ac:dyDescent="0.25">
      <c r="Y37184" s="501"/>
    </row>
    <row r="37185" spans="25:25" hidden="1" x14ac:dyDescent="0.25">
      <c r="Y37185" s="501"/>
    </row>
    <row r="37186" spans="25:25" hidden="1" x14ac:dyDescent="0.25">
      <c r="Y37186" s="501"/>
    </row>
    <row r="37187" spans="25:25" hidden="1" x14ac:dyDescent="0.25">
      <c r="Y37187" s="501"/>
    </row>
    <row r="37188" spans="25:25" hidden="1" x14ac:dyDescent="0.25">
      <c r="Y37188" s="501"/>
    </row>
    <row r="37189" spans="25:25" hidden="1" x14ac:dyDescent="0.25">
      <c r="Y37189" s="501"/>
    </row>
    <row r="37190" spans="25:25" hidden="1" x14ac:dyDescent="0.25">
      <c r="Y37190" s="501"/>
    </row>
    <row r="37191" spans="25:25" hidden="1" x14ac:dyDescent="0.25">
      <c r="Y37191" s="501"/>
    </row>
    <row r="37192" spans="25:25" hidden="1" x14ac:dyDescent="0.25">
      <c r="Y37192" s="501"/>
    </row>
    <row r="37193" spans="25:25" hidden="1" x14ac:dyDescent="0.25">
      <c r="Y37193" s="501"/>
    </row>
    <row r="37194" spans="25:25" hidden="1" x14ac:dyDescent="0.25">
      <c r="Y37194" s="501"/>
    </row>
    <row r="37195" spans="25:25" hidden="1" x14ac:dyDescent="0.25">
      <c r="Y37195" s="501"/>
    </row>
    <row r="37196" spans="25:25" hidden="1" x14ac:dyDescent="0.25">
      <c r="Y37196" s="501"/>
    </row>
    <row r="37197" spans="25:25" hidden="1" x14ac:dyDescent="0.25">
      <c r="Y37197" s="501"/>
    </row>
    <row r="37198" spans="25:25" hidden="1" x14ac:dyDescent="0.25">
      <c r="Y37198" s="501"/>
    </row>
    <row r="37199" spans="25:25" hidden="1" x14ac:dyDescent="0.25">
      <c r="Y37199" s="501"/>
    </row>
    <row r="37200" spans="25:25" hidden="1" x14ac:dyDescent="0.25">
      <c r="Y37200" s="501"/>
    </row>
    <row r="37201" spans="25:25" hidden="1" x14ac:dyDescent="0.25">
      <c r="Y37201" s="501"/>
    </row>
    <row r="37202" spans="25:25" hidden="1" x14ac:dyDescent="0.25">
      <c r="Y37202" s="501"/>
    </row>
    <row r="37203" spans="25:25" hidden="1" x14ac:dyDescent="0.25">
      <c r="Y37203" s="501"/>
    </row>
    <row r="37204" spans="25:25" hidden="1" x14ac:dyDescent="0.25">
      <c r="Y37204" s="501"/>
    </row>
    <row r="37205" spans="25:25" hidden="1" x14ac:dyDescent="0.25">
      <c r="Y37205" s="501"/>
    </row>
    <row r="37206" spans="25:25" hidden="1" x14ac:dyDescent="0.25">
      <c r="Y37206" s="501"/>
    </row>
    <row r="37207" spans="25:25" hidden="1" x14ac:dyDescent="0.25">
      <c r="Y37207" s="501"/>
    </row>
    <row r="37208" spans="25:25" hidden="1" x14ac:dyDescent="0.25">
      <c r="Y37208" s="501"/>
    </row>
    <row r="37209" spans="25:25" hidden="1" x14ac:dyDescent="0.25">
      <c r="Y37209" s="501"/>
    </row>
    <row r="37210" spans="25:25" hidden="1" x14ac:dyDescent="0.25">
      <c r="Y37210" s="501"/>
    </row>
    <row r="37211" spans="25:25" hidden="1" x14ac:dyDescent="0.25">
      <c r="Y37211" s="501"/>
    </row>
    <row r="37212" spans="25:25" hidden="1" x14ac:dyDescent="0.25">
      <c r="Y37212" s="501"/>
    </row>
    <row r="37213" spans="25:25" hidden="1" x14ac:dyDescent="0.25">
      <c r="Y37213" s="501"/>
    </row>
    <row r="37214" spans="25:25" hidden="1" x14ac:dyDescent="0.25">
      <c r="Y37214" s="501"/>
    </row>
    <row r="37215" spans="25:25" hidden="1" x14ac:dyDescent="0.25">
      <c r="Y37215" s="501"/>
    </row>
    <row r="37216" spans="25:25" hidden="1" x14ac:dyDescent="0.25">
      <c r="Y37216" s="501"/>
    </row>
    <row r="37217" spans="25:25" hidden="1" x14ac:dyDescent="0.25">
      <c r="Y37217" s="501"/>
    </row>
    <row r="37218" spans="25:25" hidden="1" x14ac:dyDescent="0.25">
      <c r="Y37218" s="501"/>
    </row>
    <row r="37219" spans="25:25" hidden="1" x14ac:dyDescent="0.25">
      <c r="Y37219" s="501"/>
    </row>
    <row r="37220" spans="25:25" hidden="1" x14ac:dyDescent="0.25">
      <c r="Y37220" s="501"/>
    </row>
    <row r="37221" spans="25:25" hidden="1" x14ac:dyDescent="0.25">
      <c r="Y37221" s="501"/>
    </row>
    <row r="37222" spans="25:25" hidden="1" x14ac:dyDescent="0.25">
      <c r="Y37222" s="501"/>
    </row>
    <row r="37223" spans="25:25" hidden="1" x14ac:dyDescent="0.25">
      <c r="Y37223" s="501"/>
    </row>
    <row r="37224" spans="25:25" hidden="1" x14ac:dyDescent="0.25">
      <c r="Y37224" s="501"/>
    </row>
    <row r="37225" spans="25:25" hidden="1" x14ac:dyDescent="0.25">
      <c r="Y37225" s="501"/>
    </row>
    <row r="37226" spans="25:25" hidden="1" x14ac:dyDescent="0.25">
      <c r="Y37226" s="501"/>
    </row>
    <row r="37227" spans="25:25" hidden="1" x14ac:dyDescent="0.25">
      <c r="Y37227" s="501"/>
    </row>
    <row r="37228" spans="25:25" hidden="1" x14ac:dyDescent="0.25">
      <c r="Y37228" s="501"/>
    </row>
    <row r="37229" spans="25:25" hidden="1" x14ac:dyDescent="0.25">
      <c r="Y37229" s="501"/>
    </row>
    <row r="37230" spans="25:25" hidden="1" x14ac:dyDescent="0.25">
      <c r="Y37230" s="501"/>
    </row>
    <row r="37231" spans="25:25" hidden="1" x14ac:dyDescent="0.25">
      <c r="Y37231" s="501"/>
    </row>
    <row r="37232" spans="25:25" hidden="1" x14ac:dyDescent="0.25">
      <c r="Y37232" s="501"/>
    </row>
    <row r="37233" spans="25:25" hidden="1" x14ac:dyDescent="0.25">
      <c r="Y37233" s="501"/>
    </row>
    <row r="37234" spans="25:25" hidden="1" x14ac:dyDescent="0.25">
      <c r="Y37234" s="501"/>
    </row>
    <row r="37235" spans="25:25" hidden="1" x14ac:dyDescent="0.25">
      <c r="Y37235" s="501"/>
    </row>
    <row r="37236" spans="25:25" hidden="1" x14ac:dyDescent="0.25">
      <c r="Y37236" s="501"/>
    </row>
    <row r="37237" spans="25:25" hidden="1" x14ac:dyDescent="0.25">
      <c r="Y37237" s="501"/>
    </row>
    <row r="37238" spans="25:25" hidden="1" x14ac:dyDescent="0.25">
      <c r="Y37238" s="501"/>
    </row>
    <row r="37239" spans="25:25" hidden="1" x14ac:dyDescent="0.25">
      <c r="Y37239" s="501"/>
    </row>
    <row r="37240" spans="25:25" hidden="1" x14ac:dyDescent="0.25">
      <c r="Y37240" s="501"/>
    </row>
    <row r="37241" spans="25:25" hidden="1" x14ac:dyDescent="0.25">
      <c r="Y37241" s="501"/>
    </row>
    <row r="37242" spans="25:25" hidden="1" x14ac:dyDescent="0.25">
      <c r="Y37242" s="501"/>
    </row>
    <row r="37243" spans="25:25" hidden="1" x14ac:dyDescent="0.25">
      <c r="Y37243" s="501"/>
    </row>
    <row r="37244" spans="25:25" hidden="1" x14ac:dyDescent="0.25">
      <c r="Y37244" s="501"/>
    </row>
    <row r="37245" spans="25:25" hidden="1" x14ac:dyDescent="0.25">
      <c r="Y37245" s="501"/>
    </row>
    <row r="37246" spans="25:25" hidden="1" x14ac:dyDescent="0.25">
      <c r="Y37246" s="501"/>
    </row>
    <row r="37247" spans="25:25" hidden="1" x14ac:dyDescent="0.25">
      <c r="Y37247" s="501"/>
    </row>
    <row r="37248" spans="25:25" hidden="1" x14ac:dyDescent="0.25">
      <c r="Y37248" s="501"/>
    </row>
    <row r="37249" spans="25:25" hidden="1" x14ac:dyDescent="0.25">
      <c r="Y37249" s="501"/>
    </row>
    <row r="37250" spans="25:25" hidden="1" x14ac:dyDescent="0.25">
      <c r="Y37250" s="501"/>
    </row>
    <row r="37251" spans="25:25" hidden="1" x14ac:dyDescent="0.25">
      <c r="Y37251" s="501"/>
    </row>
    <row r="37252" spans="25:25" hidden="1" x14ac:dyDescent="0.25">
      <c r="Y37252" s="501"/>
    </row>
    <row r="37253" spans="25:25" hidden="1" x14ac:dyDescent="0.25">
      <c r="Y37253" s="501"/>
    </row>
    <row r="37254" spans="25:25" hidden="1" x14ac:dyDescent="0.25">
      <c r="Y37254" s="501"/>
    </row>
    <row r="37255" spans="25:25" hidden="1" x14ac:dyDescent="0.25">
      <c r="Y37255" s="501"/>
    </row>
    <row r="37256" spans="25:25" hidden="1" x14ac:dyDescent="0.25">
      <c r="Y37256" s="501"/>
    </row>
    <row r="37257" spans="25:25" hidden="1" x14ac:dyDescent="0.25">
      <c r="Y37257" s="501"/>
    </row>
    <row r="37258" spans="25:25" hidden="1" x14ac:dyDescent="0.25">
      <c r="Y37258" s="501"/>
    </row>
    <row r="37259" spans="25:25" hidden="1" x14ac:dyDescent="0.25">
      <c r="Y37259" s="501"/>
    </row>
    <row r="37260" spans="25:25" hidden="1" x14ac:dyDescent="0.25">
      <c r="Y37260" s="501"/>
    </row>
    <row r="37261" spans="25:25" hidden="1" x14ac:dyDescent="0.25">
      <c r="Y37261" s="501"/>
    </row>
    <row r="37262" spans="25:25" hidden="1" x14ac:dyDescent="0.25">
      <c r="Y37262" s="501"/>
    </row>
    <row r="37263" spans="25:25" hidden="1" x14ac:dyDescent="0.25">
      <c r="Y37263" s="501"/>
    </row>
    <row r="37264" spans="25:25" hidden="1" x14ac:dyDescent="0.25">
      <c r="Y37264" s="501"/>
    </row>
    <row r="37265" spans="25:25" hidden="1" x14ac:dyDescent="0.25">
      <c r="Y37265" s="501"/>
    </row>
    <row r="37266" spans="25:25" hidden="1" x14ac:dyDescent="0.25">
      <c r="Y37266" s="501"/>
    </row>
    <row r="37267" spans="25:25" hidden="1" x14ac:dyDescent="0.25">
      <c r="Y37267" s="501"/>
    </row>
    <row r="37268" spans="25:25" hidden="1" x14ac:dyDescent="0.25">
      <c r="Y37268" s="501"/>
    </row>
    <row r="37269" spans="25:25" hidden="1" x14ac:dyDescent="0.25">
      <c r="Y37269" s="501"/>
    </row>
    <row r="37270" spans="25:25" hidden="1" x14ac:dyDescent="0.25">
      <c r="Y37270" s="501"/>
    </row>
    <row r="37271" spans="25:25" hidden="1" x14ac:dyDescent="0.25">
      <c r="Y37271" s="501"/>
    </row>
    <row r="37272" spans="25:25" hidden="1" x14ac:dyDescent="0.25">
      <c r="Y37272" s="501"/>
    </row>
    <row r="37273" spans="25:25" hidden="1" x14ac:dyDescent="0.25">
      <c r="Y37273" s="501"/>
    </row>
    <row r="37274" spans="25:25" hidden="1" x14ac:dyDescent="0.25">
      <c r="Y37274" s="501"/>
    </row>
    <row r="37275" spans="25:25" hidden="1" x14ac:dyDescent="0.25">
      <c r="Y37275" s="501"/>
    </row>
    <row r="37276" spans="25:25" hidden="1" x14ac:dyDescent="0.25">
      <c r="Y37276" s="501"/>
    </row>
    <row r="37277" spans="25:25" hidden="1" x14ac:dyDescent="0.25">
      <c r="Y37277" s="501"/>
    </row>
    <row r="37278" spans="25:25" hidden="1" x14ac:dyDescent="0.25">
      <c r="Y37278" s="501"/>
    </row>
    <row r="37279" spans="25:25" hidden="1" x14ac:dyDescent="0.25">
      <c r="Y37279" s="501"/>
    </row>
    <row r="37280" spans="25:25" hidden="1" x14ac:dyDescent="0.25">
      <c r="Y37280" s="501"/>
    </row>
    <row r="37281" spans="25:25" hidden="1" x14ac:dyDescent="0.25">
      <c r="Y37281" s="501"/>
    </row>
    <row r="37282" spans="25:25" hidden="1" x14ac:dyDescent="0.25">
      <c r="Y37282" s="501"/>
    </row>
    <row r="37283" spans="25:25" hidden="1" x14ac:dyDescent="0.25">
      <c r="Y37283" s="501"/>
    </row>
    <row r="37284" spans="25:25" hidden="1" x14ac:dyDescent="0.25">
      <c r="Y37284" s="501"/>
    </row>
    <row r="37285" spans="25:25" hidden="1" x14ac:dyDescent="0.25">
      <c r="Y37285" s="501"/>
    </row>
    <row r="37286" spans="25:25" hidden="1" x14ac:dyDescent="0.25">
      <c r="Y37286" s="501"/>
    </row>
    <row r="37287" spans="25:25" hidden="1" x14ac:dyDescent="0.25">
      <c r="Y37287" s="501"/>
    </row>
    <row r="37288" spans="25:25" hidden="1" x14ac:dyDescent="0.25">
      <c r="Y37288" s="501"/>
    </row>
    <row r="37289" spans="25:25" hidden="1" x14ac:dyDescent="0.25">
      <c r="Y37289" s="501"/>
    </row>
    <row r="37290" spans="25:25" hidden="1" x14ac:dyDescent="0.25">
      <c r="Y37290" s="501"/>
    </row>
    <row r="37291" spans="25:25" hidden="1" x14ac:dyDescent="0.25">
      <c r="Y37291" s="501"/>
    </row>
    <row r="37292" spans="25:25" hidden="1" x14ac:dyDescent="0.25">
      <c r="Y37292" s="501"/>
    </row>
    <row r="37293" spans="25:25" hidden="1" x14ac:dyDescent="0.25">
      <c r="Y37293" s="501"/>
    </row>
    <row r="37294" spans="25:25" hidden="1" x14ac:dyDescent="0.25">
      <c r="Y37294" s="501"/>
    </row>
    <row r="37295" spans="25:25" hidden="1" x14ac:dyDescent="0.25">
      <c r="Y37295" s="501"/>
    </row>
    <row r="37296" spans="25:25" hidden="1" x14ac:dyDescent="0.25">
      <c r="Y37296" s="501"/>
    </row>
    <row r="37297" spans="25:25" hidden="1" x14ac:dyDescent="0.25">
      <c r="Y37297" s="501"/>
    </row>
    <row r="37298" spans="25:25" hidden="1" x14ac:dyDescent="0.25">
      <c r="Y37298" s="501"/>
    </row>
    <row r="37299" spans="25:25" hidden="1" x14ac:dyDescent="0.25">
      <c r="Y37299" s="501"/>
    </row>
    <row r="37300" spans="25:25" hidden="1" x14ac:dyDescent="0.25">
      <c r="Y37300" s="501"/>
    </row>
    <row r="37301" spans="25:25" hidden="1" x14ac:dyDescent="0.25">
      <c r="Y37301" s="501"/>
    </row>
    <row r="37302" spans="25:25" hidden="1" x14ac:dyDescent="0.25">
      <c r="Y37302" s="501"/>
    </row>
    <row r="37303" spans="25:25" hidden="1" x14ac:dyDescent="0.25">
      <c r="Y37303" s="501"/>
    </row>
    <row r="37304" spans="25:25" hidden="1" x14ac:dyDescent="0.25">
      <c r="Y37304" s="501"/>
    </row>
    <row r="37305" spans="25:25" hidden="1" x14ac:dyDescent="0.25">
      <c r="Y37305" s="501"/>
    </row>
    <row r="37306" spans="25:25" hidden="1" x14ac:dyDescent="0.25">
      <c r="Y37306" s="501"/>
    </row>
    <row r="37307" spans="25:25" hidden="1" x14ac:dyDescent="0.25">
      <c r="Y37307" s="501"/>
    </row>
    <row r="37308" spans="25:25" hidden="1" x14ac:dyDescent="0.25">
      <c r="Y37308" s="501"/>
    </row>
    <row r="37309" spans="25:25" hidden="1" x14ac:dyDescent="0.25">
      <c r="Y37309" s="501"/>
    </row>
    <row r="37310" spans="25:25" hidden="1" x14ac:dyDescent="0.25">
      <c r="Y37310" s="501"/>
    </row>
    <row r="37311" spans="25:25" hidden="1" x14ac:dyDescent="0.25">
      <c r="Y37311" s="501"/>
    </row>
    <row r="37312" spans="25:25" hidden="1" x14ac:dyDescent="0.25">
      <c r="Y37312" s="501"/>
    </row>
    <row r="37313" spans="25:25" hidden="1" x14ac:dyDescent="0.25">
      <c r="Y37313" s="501"/>
    </row>
    <row r="37314" spans="25:25" hidden="1" x14ac:dyDescent="0.25">
      <c r="Y37314" s="501"/>
    </row>
    <row r="37315" spans="25:25" hidden="1" x14ac:dyDescent="0.25">
      <c r="Y37315" s="501"/>
    </row>
    <row r="37316" spans="25:25" hidden="1" x14ac:dyDescent="0.25">
      <c r="Y37316" s="501"/>
    </row>
    <row r="37317" spans="25:25" hidden="1" x14ac:dyDescent="0.25">
      <c r="Y37317" s="501"/>
    </row>
    <row r="37318" spans="25:25" hidden="1" x14ac:dyDescent="0.25">
      <c r="Y37318" s="501"/>
    </row>
    <row r="37319" spans="25:25" hidden="1" x14ac:dyDescent="0.25">
      <c r="Y37319" s="501"/>
    </row>
    <row r="37320" spans="25:25" hidden="1" x14ac:dyDescent="0.25">
      <c r="Y37320" s="501"/>
    </row>
    <row r="37321" spans="25:25" hidden="1" x14ac:dyDescent="0.25">
      <c r="Y37321" s="501"/>
    </row>
    <row r="37322" spans="25:25" hidden="1" x14ac:dyDescent="0.25">
      <c r="Y37322" s="501"/>
    </row>
    <row r="37323" spans="25:25" hidden="1" x14ac:dyDescent="0.25">
      <c r="Y37323" s="501"/>
    </row>
    <row r="37324" spans="25:25" hidden="1" x14ac:dyDescent="0.25">
      <c r="Y37324" s="501"/>
    </row>
    <row r="37325" spans="25:25" hidden="1" x14ac:dyDescent="0.25">
      <c r="Y37325" s="501"/>
    </row>
    <row r="37326" spans="25:25" hidden="1" x14ac:dyDescent="0.25">
      <c r="Y37326" s="501"/>
    </row>
    <row r="37327" spans="25:25" hidden="1" x14ac:dyDescent="0.25">
      <c r="Y37327" s="501"/>
    </row>
    <row r="37328" spans="25:25" hidden="1" x14ac:dyDescent="0.25">
      <c r="Y37328" s="501"/>
    </row>
    <row r="37329" spans="25:25" hidden="1" x14ac:dyDescent="0.25">
      <c r="Y37329" s="501"/>
    </row>
    <row r="37330" spans="25:25" hidden="1" x14ac:dyDescent="0.25">
      <c r="Y37330" s="501"/>
    </row>
    <row r="37331" spans="25:25" hidden="1" x14ac:dyDescent="0.25">
      <c r="Y37331" s="501"/>
    </row>
    <row r="37332" spans="25:25" hidden="1" x14ac:dyDescent="0.25">
      <c r="Y37332" s="501"/>
    </row>
    <row r="37333" spans="25:25" hidden="1" x14ac:dyDescent="0.25">
      <c r="Y37333" s="501"/>
    </row>
    <row r="37334" spans="25:25" hidden="1" x14ac:dyDescent="0.25">
      <c r="Y37334" s="501"/>
    </row>
    <row r="37335" spans="25:25" hidden="1" x14ac:dyDescent="0.25">
      <c r="Y37335" s="501"/>
    </row>
    <row r="37336" spans="25:25" hidden="1" x14ac:dyDescent="0.25">
      <c r="Y37336" s="501"/>
    </row>
    <row r="37337" spans="25:25" hidden="1" x14ac:dyDescent="0.25">
      <c r="Y37337" s="501"/>
    </row>
    <row r="37338" spans="25:25" hidden="1" x14ac:dyDescent="0.25">
      <c r="Y37338" s="501"/>
    </row>
    <row r="37339" spans="25:25" hidden="1" x14ac:dyDescent="0.25">
      <c r="Y37339" s="501"/>
    </row>
    <row r="37340" spans="25:25" hidden="1" x14ac:dyDescent="0.25">
      <c r="Y37340" s="501"/>
    </row>
    <row r="37341" spans="25:25" hidden="1" x14ac:dyDescent="0.25">
      <c r="Y37341" s="501"/>
    </row>
    <row r="37342" spans="25:25" hidden="1" x14ac:dyDescent="0.25">
      <c r="Y37342" s="501"/>
    </row>
    <row r="37343" spans="25:25" hidden="1" x14ac:dyDescent="0.25">
      <c r="Y37343" s="501"/>
    </row>
    <row r="37344" spans="25:25" hidden="1" x14ac:dyDescent="0.25">
      <c r="Y37344" s="501"/>
    </row>
    <row r="37345" spans="25:25" hidden="1" x14ac:dyDescent="0.25">
      <c r="Y37345" s="501"/>
    </row>
    <row r="37346" spans="25:25" hidden="1" x14ac:dyDescent="0.25">
      <c r="Y37346" s="501"/>
    </row>
    <row r="37347" spans="25:25" hidden="1" x14ac:dyDescent="0.25">
      <c r="Y37347" s="501"/>
    </row>
    <row r="37348" spans="25:25" hidden="1" x14ac:dyDescent="0.25">
      <c r="Y37348" s="501"/>
    </row>
    <row r="37349" spans="25:25" hidden="1" x14ac:dyDescent="0.25">
      <c r="Y37349" s="501"/>
    </row>
    <row r="37350" spans="25:25" hidden="1" x14ac:dyDescent="0.25">
      <c r="Y37350" s="501"/>
    </row>
    <row r="37351" spans="25:25" hidden="1" x14ac:dyDescent="0.25">
      <c r="Y37351" s="501"/>
    </row>
    <row r="37352" spans="25:25" hidden="1" x14ac:dyDescent="0.25">
      <c r="Y37352" s="501"/>
    </row>
    <row r="37353" spans="25:25" hidden="1" x14ac:dyDescent="0.25">
      <c r="Y37353" s="501"/>
    </row>
    <row r="37354" spans="25:25" hidden="1" x14ac:dyDescent="0.25">
      <c r="Y37354" s="501"/>
    </row>
    <row r="37355" spans="25:25" hidden="1" x14ac:dyDescent="0.25">
      <c r="Y37355" s="501"/>
    </row>
    <row r="37356" spans="25:25" hidden="1" x14ac:dyDescent="0.25">
      <c r="Y37356" s="501"/>
    </row>
    <row r="37357" spans="25:25" hidden="1" x14ac:dyDescent="0.25">
      <c r="Y37357" s="501"/>
    </row>
    <row r="37358" spans="25:25" hidden="1" x14ac:dyDescent="0.25">
      <c r="Y37358" s="501"/>
    </row>
    <row r="37359" spans="25:25" hidden="1" x14ac:dyDescent="0.25">
      <c r="Y37359" s="501"/>
    </row>
    <row r="37360" spans="25:25" hidden="1" x14ac:dyDescent="0.25">
      <c r="Y37360" s="501"/>
    </row>
    <row r="37361" spans="25:25" hidden="1" x14ac:dyDescent="0.25">
      <c r="Y37361" s="501"/>
    </row>
    <row r="37362" spans="25:25" hidden="1" x14ac:dyDescent="0.25">
      <c r="Y37362" s="501"/>
    </row>
    <row r="37363" spans="25:25" hidden="1" x14ac:dyDescent="0.25">
      <c r="Y37363" s="501"/>
    </row>
    <row r="37364" spans="25:25" hidden="1" x14ac:dyDescent="0.25">
      <c r="Y37364" s="501"/>
    </row>
    <row r="37365" spans="25:25" hidden="1" x14ac:dyDescent="0.25">
      <c r="Y37365" s="501"/>
    </row>
    <row r="37366" spans="25:25" hidden="1" x14ac:dyDescent="0.25">
      <c r="Y37366" s="501"/>
    </row>
    <row r="37367" spans="25:25" hidden="1" x14ac:dyDescent="0.25">
      <c r="Y37367" s="501"/>
    </row>
    <row r="37368" spans="25:25" hidden="1" x14ac:dyDescent="0.25">
      <c r="Y37368" s="501"/>
    </row>
    <row r="37369" spans="25:25" hidden="1" x14ac:dyDescent="0.25">
      <c r="Y37369" s="501"/>
    </row>
    <row r="37370" spans="25:25" hidden="1" x14ac:dyDescent="0.25">
      <c r="Y37370" s="501"/>
    </row>
    <row r="37371" spans="25:25" hidden="1" x14ac:dyDescent="0.25">
      <c r="Y37371" s="501"/>
    </row>
    <row r="37372" spans="25:25" hidden="1" x14ac:dyDescent="0.25">
      <c r="Y37372" s="501"/>
    </row>
    <row r="37373" spans="25:25" hidden="1" x14ac:dyDescent="0.25">
      <c r="Y37373" s="501"/>
    </row>
    <row r="37374" spans="25:25" hidden="1" x14ac:dyDescent="0.25">
      <c r="Y37374" s="501"/>
    </row>
    <row r="37375" spans="25:25" hidden="1" x14ac:dyDescent="0.25">
      <c r="Y37375" s="501"/>
    </row>
    <row r="37376" spans="25:25" hidden="1" x14ac:dyDescent="0.25">
      <c r="Y37376" s="501"/>
    </row>
    <row r="37377" spans="25:25" hidden="1" x14ac:dyDescent="0.25">
      <c r="Y37377" s="501"/>
    </row>
    <row r="37378" spans="25:25" hidden="1" x14ac:dyDescent="0.25">
      <c r="Y37378" s="501"/>
    </row>
    <row r="37379" spans="25:25" hidden="1" x14ac:dyDescent="0.25">
      <c r="Y37379" s="501"/>
    </row>
    <row r="37380" spans="25:25" hidden="1" x14ac:dyDescent="0.25">
      <c r="Y37380" s="501"/>
    </row>
    <row r="37381" spans="25:25" hidden="1" x14ac:dyDescent="0.25">
      <c r="Y37381" s="501"/>
    </row>
    <row r="37382" spans="25:25" hidden="1" x14ac:dyDescent="0.25">
      <c r="Y37382" s="501"/>
    </row>
    <row r="37383" spans="25:25" hidden="1" x14ac:dyDescent="0.25">
      <c r="Y37383" s="501"/>
    </row>
    <row r="37384" spans="25:25" hidden="1" x14ac:dyDescent="0.25">
      <c r="Y37384" s="501"/>
    </row>
    <row r="37385" spans="25:25" hidden="1" x14ac:dyDescent="0.25">
      <c r="Y37385" s="501"/>
    </row>
    <row r="37386" spans="25:25" hidden="1" x14ac:dyDescent="0.25">
      <c r="Y37386" s="501"/>
    </row>
    <row r="37387" spans="25:25" hidden="1" x14ac:dyDescent="0.25">
      <c r="Y37387" s="501"/>
    </row>
    <row r="37388" spans="25:25" hidden="1" x14ac:dyDescent="0.25">
      <c r="Y37388" s="501"/>
    </row>
    <row r="37389" spans="25:25" hidden="1" x14ac:dyDescent="0.25">
      <c r="Y37389" s="501"/>
    </row>
    <row r="37390" spans="25:25" hidden="1" x14ac:dyDescent="0.25">
      <c r="Y37390" s="501"/>
    </row>
    <row r="37391" spans="25:25" hidden="1" x14ac:dyDescent="0.25">
      <c r="Y37391" s="501"/>
    </row>
    <row r="37392" spans="25:25" hidden="1" x14ac:dyDescent="0.25">
      <c r="Y37392" s="501"/>
    </row>
    <row r="37393" spans="25:25" hidden="1" x14ac:dyDescent="0.25">
      <c r="Y37393" s="501"/>
    </row>
    <row r="37394" spans="25:25" hidden="1" x14ac:dyDescent="0.25">
      <c r="Y37394" s="501"/>
    </row>
    <row r="37395" spans="25:25" hidden="1" x14ac:dyDescent="0.25">
      <c r="Y37395" s="501"/>
    </row>
    <row r="37396" spans="25:25" hidden="1" x14ac:dyDescent="0.25">
      <c r="Y37396" s="501"/>
    </row>
    <row r="37397" spans="25:25" hidden="1" x14ac:dyDescent="0.25">
      <c r="Y37397" s="501"/>
    </row>
    <row r="37398" spans="25:25" hidden="1" x14ac:dyDescent="0.25">
      <c r="Y37398" s="501"/>
    </row>
    <row r="37399" spans="25:25" hidden="1" x14ac:dyDescent="0.25">
      <c r="Y37399" s="501"/>
    </row>
    <row r="37400" spans="25:25" hidden="1" x14ac:dyDescent="0.25">
      <c r="Y37400" s="501"/>
    </row>
    <row r="37401" spans="25:25" hidden="1" x14ac:dyDescent="0.25">
      <c r="Y37401" s="501"/>
    </row>
    <row r="37402" spans="25:25" hidden="1" x14ac:dyDescent="0.25">
      <c r="Y37402" s="501"/>
    </row>
    <row r="37403" spans="25:25" hidden="1" x14ac:dyDescent="0.25">
      <c r="Y37403" s="501"/>
    </row>
    <row r="37404" spans="25:25" hidden="1" x14ac:dyDescent="0.25">
      <c r="Y37404" s="501"/>
    </row>
    <row r="37405" spans="25:25" hidden="1" x14ac:dyDescent="0.25">
      <c r="Y37405" s="501"/>
    </row>
    <row r="37406" spans="25:25" hidden="1" x14ac:dyDescent="0.25">
      <c r="Y37406" s="501"/>
    </row>
    <row r="37407" spans="25:25" hidden="1" x14ac:dyDescent="0.25">
      <c r="Y37407" s="501"/>
    </row>
    <row r="37408" spans="25:25" hidden="1" x14ac:dyDescent="0.25">
      <c r="Y37408" s="501"/>
    </row>
    <row r="37409" spans="25:25" hidden="1" x14ac:dyDescent="0.25">
      <c r="Y37409" s="501"/>
    </row>
    <row r="37410" spans="25:25" hidden="1" x14ac:dyDescent="0.25">
      <c r="Y37410" s="501"/>
    </row>
    <row r="37411" spans="25:25" hidden="1" x14ac:dyDescent="0.25">
      <c r="Y37411" s="501"/>
    </row>
    <row r="37412" spans="25:25" hidden="1" x14ac:dyDescent="0.25">
      <c r="Y37412" s="501"/>
    </row>
    <row r="37413" spans="25:25" hidden="1" x14ac:dyDescent="0.25">
      <c r="Y37413" s="501"/>
    </row>
    <row r="37414" spans="25:25" hidden="1" x14ac:dyDescent="0.25">
      <c r="Y37414" s="501"/>
    </row>
    <row r="37415" spans="25:25" hidden="1" x14ac:dyDescent="0.25">
      <c r="Y37415" s="501"/>
    </row>
    <row r="37416" spans="25:25" hidden="1" x14ac:dyDescent="0.25">
      <c r="Y37416" s="501"/>
    </row>
    <row r="37417" spans="25:25" hidden="1" x14ac:dyDescent="0.25">
      <c r="Y37417" s="501"/>
    </row>
    <row r="37418" spans="25:25" hidden="1" x14ac:dyDescent="0.25">
      <c r="Y37418" s="501"/>
    </row>
    <row r="37419" spans="25:25" hidden="1" x14ac:dyDescent="0.25">
      <c r="Y37419" s="501"/>
    </row>
    <row r="37420" spans="25:25" hidden="1" x14ac:dyDescent="0.25">
      <c r="Y37420" s="501"/>
    </row>
    <row r="37421" spans="25:25" hidden="1" x14ac:dyDescent="0.25">
      <c r="Y37421" s="501"/>
    </row>
    <row r="37422" spans="25:25" hidden="1" x14ac:dyDescent="0.25">
      <c r="Y37422" s="501"/>
    </row>
    <row r="37423" spans="25:25" hidden="1" x14ac:dyDescent="0.25">
      <c r="Y37423" s="501"/>
    </row>
    <row r="37424" spans="25:25" hidden="1" x14ac:dyDescent="0.25">
      <c r="Y37424" s="501"/>
    </row>
    <row r="37425" spans="25:25" hidden="1" x14ac:dyDescent="0.25">
      <c r="Y37425" s="501"/>
    </row>
    <row r="37426" spans="25:25" hidden="1" x14ac:dyDescent="0.25">
      <c r="Y37426" s="501"/>
    </row>
    <row r="37427" spans="25:25" hidden="1" x14ac:dyDescent="0.25">
      <c r="Y37427" s="501"/>
    </row>
    <row r="37428" spans="25:25" hidden="1" x14ac:dyDescent="0.25">
      <c r="Y37428" s="501"/>
    </row>
    <row r="37429" spans="25:25" hidden="1" x14ac:dyDescent="0.25">
      <c r="Y37429" s="501"/>
    </row>
    <row r="37430" spans="25:25" hidden="1" x14ac:dyDescent="0.25">
      <c r="Y37430" s="501"/>
    </row>
    <row r="37431" spans="25:25" hidden="1" x14ac:dyDescent="0.25">
      <c r="Y37431" s="501"/>
    </row>
    <row r="37432" spans="25:25" hidden="1" x14ac:dyDescent="0.25">
      <c r="Y37432" s="501"/>
    </row>
    <row r="37433" spans="25:25" hidden="1" x14ac:dyDescent="0.25">
      <c r="Y37433" s="501"/>
    </row>
    <row r="37434" spans="25:25" hidden="1" x14ac:dyDescent="0.25">
      <c r="Y37434" s="501"/>
    </row>
    <row r="37435" spans="25:25" hidden="1" x14ac:dyDescent="0.25">
      <c r="Y37435" s="501"/>
    </row>
    <row r="37436" spans="25:25" hidden="1" x14ac:dyDescent="0.25">
      <c r="Y37436" s="501"/>
    </row>
    <row r="37437" spans="25:25" hidden="1" x14ac:dyDescent="0.25">
      <c r="Y37437" s="501"/>
    </row>
    <row r="37438" spans="25:25" hidden="1" x14ac:dyDescent="0.25">
      <c r="Y37438" s="501"/>
    </row>
    <row r="37439" spans="25:25" hidden="1" x14ac:dyDescent="0.25">
      <c r="Y37439" s="501"/>
    </row>
    <row r="37440" spans="25:25" hidden="1" x14ac:dyDescent="0.25">
      <c r="Y37440" s="501"/>
    </row>
    <row r="37441" spans="25:25" hidden="1" x14ac:dyDescent="0.25">
      <c r="Y37441" s="501"/>
    </row>
    <row r="37442" spans="25:25" hidden="1" x14ac:dyDescent="0.25">
      <c r="Y37442" s="501"/>
    </row>
    <row r="37443" spans="25:25" hidden="1" x14ac:dyDescent="0.25">
      <c r="Y37443" s="501"/>
    </row>
    <row r="37444" spans="25:25" hidden="1" x14ac:dyDescent="0.25">
      <c r="Y37444" s="501"/>
    </row>
    <row r="37445" spans="25:25" hidden="1" x14ac:dyDescent="0.25">
      <c r="Y37445" s="501"/>
    </row>
    <row r="37446" spans="25:25" hidden="1" x14ac:dyDescent="0.25">
      <c r="Y37446" s="501"/>
    </row>
    <row r="37447" spans="25:25" hidden="1" x14ac:dyDescent="0.25">
      <c r="Y37447" s="501"/>
    </row>
    <row r="37448" spans="25:25" hidden="1" x14ac:dyDescent="0.25">
      <c r="Y37448" s="501"/>
    </row>
    <row r="37449" spans="25:25" hidden="1" x14ac:dyDescent="0.25">
      <c r="Y37449" s="501"/>
    </row>
    <row r="37450" spans="25:25" hidden="1" x14ac:dyDescent="0.25">
      <c r="Y37450" s="501"/>
    </row>
    <row r="37451" spans="25:25" hidden="1" x14ac:dyDescent="0.25">
      <c r="Y37451" s="501"/>
    </row>
    <row r="37452" spans="25:25" hidden="1" x14ac:dyDescent="0.25">
      <c r="Y37452" s="501"/>
    </row>
    <row r="37453" spans="25:25" hidden="1" x14ac:dyDescent="0.25">
      <c r="Y37453" s="501"/>
    </row>
    <row r="37454" spans="25:25" hidden="1" x14ac:dyDescent="0.25">
      <c r="Y37454" s="501"/>
    </row>
    <row r="37455" spans="25:25" hidden="1" x14ac:dyDescent="0.25">
      <c r="Y37455" s="501"/>
    </row>
    <row r="37456" spans="25:25" hidden="1" x14ac:dyDescent="0.25">
      <c r="Y37456" s="501"/>
    </row>
    <row r="37457" spans="25:25" hidden="1" x14ac:dyDescent="0.25">
      <c r="Y37457" s="501"/>
    </row>
    <row r="37458" spans="25:25" hidden="1" x14ac:dyDescent="0.25">
      <c r="Y37458" s="501"/>
    </row>
    <row r="37459" spans="25:25" hidden="1" x14ac:dyDescent="0.25">
      <c r="Y37459" s="501"/>
    </row>
    <row r="37460" spans="25:25" hidden="1" x14ac:dyDescent="0.25">
      <c r="Y37460" s="501"/>
    </row>
    <row r="37461" spans="25:25" hidden="1" x14ac:dyDescent="0.25">
      <c r="Y37461" s="501"/>
    </row>
    <row r="37462" spans="25:25" hidden="1" x14ac:dyDescent="0.25">
      <c r="Y37462" s="501"/>
    </row>
    <row r="37463" spans="25:25" hidden="1" x14ac:dyDescent="0.25">
      <c r="Y37463" s="501"/>
    </row>
    <row r="37464" spans="25:25" hidden="1" x14ac:dyDescent="0.25">
      <c r="Y37464" s="501"/>
    </row>
    <row r="37465" spans="25:25" hidden="1" x14ac:dyDescent="0.25">
      <c r="Y37465" s="501"/>
    </row>
    <row r="37466" spans="25:25" hidden="1" x14ac:dyDescent="0.25">
      <c r="Y37466" s="501"/>
    </row>
    <row r="37467" spans="25:25" hidden="1" x14ac:dyDescent="0.25">
      <c r="Y37467" s="501"/>
    </row>
    <row r="37468" spans="25:25" hidden="1" x14ac:dyDescent="0.25">
      <c r="Y37468" s="501"/>
    </row>
    <row r="37469" spans="25:25" hidden="1" x14ac:dyDescent="0.25">
      <c r="Y37469" s="501"/>
    </row>
    <row r="37470" spans="25:25" hidden="1" x14ac:dyDescent="0.25">
      <c r="Y37470" s="501"/>
    </row>
    <row r="37471" spans="25:25" hidden="1" x14ac:dyDescent="0.25">
      <c r="Y37471" s="501"/>
    </row>
    <row r="37472" spans="25:25" hidden="1" x14ac:dyDescent="0.25">
      <c r="Y37472" s="501"/>
    </row>
    <row r="37473" spans="25:25" hidden="1" x14ac:dyDescent="0.25">
      <c r="Y37473" s="501"/>
    </row>
    <row r="37474" spans="25:25" hidden="1" x14ac:dyDescent="0.25">
      <c r="Y37474" s="501"/>
    </row>
    <row r="37475" spans="25:25" hidden="1" x14ac:dyDescent="0.25">
      <c r="Y37475" s="501"/>
    </row>
    <row r="37476" spans="25:25" hidden="1" x14ac:dyDescent="0.25">
      <c r="Y37476" s="501"/>
    </row>
    <row r="37477" spans="25:25" hidden="1" x14ac:dyDescent="0.25">
      <c r="Y37477" s="501"/>
    </row>
    <row r="37478" spans="25:25" hidden="1" x14ac:dyDescent="0.25">
      <c r="Y37478" s="501"/>
    </row>
    <row r="37479" spans="25:25" hidden="1" x14ac:dyDescent="0.25">
      <c r="Y37479" s="501"/>
    </row>
    <row r="37480" spans="25:25" hidden="1" x14ac:dyDescent="0.25">
      <c r="Y37480" s="501"/>
    </row>
    <row r="37481" spans="25:25" hidden="1" x14ac:dyDescent="0.25">
      <c r="Y37481" s="501"/>
    </row>
    <row r="37482" spans="25:25" hidden="1" x14ac:dyDescent="0.25">
      <c r="Y37482" s="501"/>
    </row>
    <row r="37483" spans="25:25" hidden="1" x14ac:dyDescent="0.25">
      <c r="Y37483" s="501"/>
    </row>
    <row r="37484" spans="25:25" hidden="1" x14ac:dyDescent="0.25">
      <c r="Y37484" s="501"/>
    </row>
    <row r="37485" spans="25:25" hidden="1" x14ac:dyDescent="0.25">
      <c r="Y37485" s="501"/>
    </row>
    <row r="37486" spans="25:25" hidden="1" x14ac:dyDescent="0.25">
      <c r="Y37486" s="501"/>
    </row>
    <row r="37487" spans="25:25" hidden="1" x14ac:dyDescent="0.25">
      <c r="Y37487" s="501"/>
    </row>
    <row r="37488" spans="25:25" hidden="1" x14ac:dyDescent="0.25">
      <c r="Y37488" s="501"/>
    </row>
    <row r="37489" spans="25:25" hidden="1" x14ac:dyDescent="0.25">
      <c r="Y37489" s="501"/>
    </row>
    <row r="37490" spans="25:25" hidden="1" x14ac:dyDescent="0.25">
      <c r="Y37490" s="501"/>
    </row>
    <row r="37491" spans="25:25" hidden="1" x14ac:dyDescent="0.25">
      <c r="Y37491" s="501"/>
    </row>
    <row r="37492" spans="25:25" hidden="1" x14ac:dyDescent="0.25">
      <c r="Y37492" s="501"/>
    </row>
    <row r="37493" spans="25:25" hidden="1" x14ac:dyDescent="0.25">
      <c r="Y37493" s="501"/>
    </row>
    <row r="37494" spans="25:25" hidden="1" x14ac:dyDescent="0.25">
      <c r="Y37494" s="501"/>
    </row>
    <row r="37495" spans="25:25" hidden="1" x14ac:dyDescent="0.25">
      <c r="Y37495" s="501"/>
    </row>
    <row r="37496" spans="25:25" hidden="1" x14ac:dyDescent="0.25">
      <c r="Y37496" s="501"/>
    </row>
    <row r="37497" spans="25:25" hidden="1" x14ac:dyDescent="0.25">
      <c r="Y37497" s="501"/>
    </row>
    <row r="37498" spans="25:25" hidden="1" x14ac:dyDescent="0.25">
      <c r="Y37498" s="501"/>
    </row>
    <row r="37499" spans="25:25" hidden="1" x14ac:dyDescent="0.25">
      <c r="Y37499" s="501"/>
    </row>
    <row r="37500" spans="25:25" hidden="1" x14ac:dyDescent="0.25">
      <c r="Y37500" s="501"/>
    </row>
    <row r="37501" spans="25:25" hidden="1" x14ac:dyDescent="0.25">
      <c r="Y37501" s="501"/>
    </row>
    <row r="37502" spans="25:25" hidden="1" x14ac:dyDescent="0.25">
      <c r="Y37502" s="501"/>
    </row>
    <row r="37503" spans="25:25" hidden="1" x14ac:dyDescent="0.25">
      <c r="Y37503" s="501"/>
    </row>
    <row r="37504" spans="25:25" hidden="1" x14ac:dyDescent="0.25">
      <c r="Y37504" s="501"/>
    </row>
    <row r="37505" spans="25:25" hidden="1" x14ac:dyDescent="0.25">
      <c r="Y37505" s="501"/>
    </row>
    <row r="37506" spans="25:25" hidden="1" x14ac:dyDescent="0.25">
      <c r="Y37506" s="501"/>
    </row>
    <row r="37507" spans="25:25" hidden="1" x14ac:dyDescent="0.25">
      <c r="Y37507" s="501"/>
    </row>
    <row r="37508" spans="25:25" hidden="1" x14ac:dyDescent="0.25">
      <c r="Y37508" s="501"/>
    </row>
    <row r="37509" spans="25:25" hidden="1" x14ac:dyDescent="0.25">
      <c r="Y37509" s="501"/>
    </row>
    <row r="37510" spans="25:25" hidden="1" x14ac:dyDescent="0.25">
      <c r="Y37510" s="501"/>
    </row>
    <row r="37511" spans="25:25" hidden="1" x14ac:dyDescent="0.25">
      <c r="Y37511" s="501"/>
    </row>
    <row r="37512" spans="25:25" hidden="1" x14ac:dyDescent="0.25">
      <c r="Y37512" s="501"/>
    </row>
    <row r="37513" spans="25:25" hidden="1" x14ac:dyDescent="0.25">
      <c r="Y37513" s="501"/>
    </row>
    <row r="37514" spans="25:25" hidden="1" x14ac:dyDescent="0.25">
      <c r="Y37514" s="501"/>
    </row>
    <row r="37515" spans="25:25" hidden="1" x14ac:dyDescent="0.25">
      <c r="Y37515" s="501"/>
    </row>
    <row r="37516" spans="25:25" hidden="1" x14ac:dyDescent="0.25">
      <c r="Y37516" s="501"/>
    </row>
    <row r="37517" spans="25:25" hidden="1" x14ac:dyDescent="0.25">
      <c r="Y37517" s="501"/>
    </row>
    <row r="37518" spans="25:25" hidden="1" x14ac:dyDescent="0.25">
      <c r="Y37518" s="501"/>
    </row>
    <row r="37519" spans="25:25" hidden="1" x14ac:dyDescent="0.25">
      <c r="Y37519" s="501"/>
    </row>
    <row r="37520" spans="25:25" hidden="1" x14ac:dyDescent="0.25">
      <c r="Y37520" s="501"/>
    </row>
    <row r="37521" spans="25:25" hidden="1" x14ac:dyDescent="0.25">
      <c r="Y37521" s="501"/>
    </row>
    <row r="37522" spans="25:25" hidden="1" x14ac:dyDescent="0.25">
      <c r="Y37522" s="501"/>
    </row>
    <row r="37523" spans="25:25" hidden="1" x14ac:dyDescent="0.25">
      <c r="Y37523" s="501"/>
    </row>
    <row r="37524" spans="25:25" hidden="1" x14ac:dyDescent="0.25">
      <c r="Y37524" s="501"/>
    </row>
    <row r="37525" spans="25:25" hidden="1" x14ac:dyDescent="0.25">
      <c r="Y37525" s="501"/>
    </row>
    <row r="37526" spans="25:25" hidden="1" x14ac:dyDescent="0.25">
      <c r="Y37526" s="501"/>
    </row>
    <row r="37527" spans="25:25" hidden="1" x14ac:dyDescent="0.25">
      <c r="Y37527" s="501"/>
    </row>
    <row r="37528" spans="25:25" hidden="1" x14ac:dyDescent="0.25">
      <c r="Y37528" s="501"/>
    </row>
    <row r="37529" spans="25:25" hidden="1" x14ac:dyDescent="0.25">
      <c r="Y37529" s="501"/>
    </row>
    <row r="37530" spans="25:25" hidden="1" x14ac:dyDescent="0.25">
      <c r="Y37530" s="501"/>
    </row>
    <row r="37531" spans="25:25" hidden="1" x14ac:dyDescent="0.25">
      <c r="Y37531" s="501"/>
    </row>
    <row r="37532" spans="25:25" hidden="1" x14ac:dyDescent="0.25">
      <c r="Y37532" s="501"/>
    </row>
    <row r="37533" spans="25:25" hidden="1" x14ac:dyDescent="0.25">
      <c r="Y37533" s="501"/>
    </row>
    <row r="37534" spans="25:25" hidden="1" x14ac:dyDescent="0.25">
      <c r="Y37534" s="501"/>
    </row>
    <row r="37535" spans="25:25" hidden="1" x14ac:dyDescent="0.25">
      <c r="Y37535" s="501"/>
    </row>
    <row r="37536" spans="25:25" hidden="1" x14ac:dyDescent="0.25">
      <c r="Y37536" s="501"/>
    </row>
    <row r="37537" spans="25:25" hidden="1" x14ac:dyDescent="0.25">
      <c r="Y37537" s="501"/>
    </row>
    <row r="37538" spans="25:25" hidden="1" x14ac:dyDescent="0.25">
      <c r="Y37538" s="501"/>
    </row>
    <row r="37539" spans="25:25" hidden="1" x14ac:dyDescent="0.25">
      <c r="Y37539" s="501"/>
    </row>
    <row r="37540" spans="25:25" hidden="1" x14ac:dyDescent="0.25">
      <c r="Y37540" s="501"/>
    </row>
    <row r="37541" spans="25:25" hidden="1" x14ac:dyDescent="0.25">
      <c r="Y37541" s="501"/>
    </row>
    <row r="37542" spans="25:25" hidden="1" x14ac:dyDescent="0.25">
      <c r="Y37542" s="501"/>
    </row>
    <row r="37543" spans="25:25" hidden="1" x14ac:dyDescent="0.25">
      <c r="Y37543" s="501"/>
    </row>
    <row r="37544" spans="25:25" hidden="1" x14ac:dyDescent="0.25">
      <c r="Y37544" s="501"/>
    </row>
    <row r="37545" spans="25:25" hidden="1" x14ac:dyDescent="0.25">
      <c r="Y37545" s="501"/>
    </row>
    <row r="37546" spans="25:25" hidden="1" x14ac:dyDescent="0.25">
      <c r="Y37546" s="501"/>
    </row>
    <row r="37547" spans="25:25" hidden="1" x14ac:dyDescent="0.25">
      <c r="Y37547" s="501"/>
    </row>
    <row r="37548" spans="25:25" hidden="1" x14ac:dyDescent="0.25">
      <c r="Y37548" s="501"/>
    </row>
    <row r="37549" spans="25:25" hidden="1" x14ac:dyDescent="0.25">
      <c r="Y37549" s="501"/>
    </row>
    <row r="37550" spans="25:25" hidden="1" x14ac:dyDescent="0.25">
      <c r="Y37550" s="501"/>
    </row>
    <row r="37551" spans="25:25" hidden="1" x14ac:dyDescent="0.25">
      <c r="Y37551" s="501"/>
    </row>
    <row r="37552" spans="25:25" hidden="1" x14ac:dyDescent="0.25">
      <c r="Y37552" s="501"/>
    </row>
    <row r="37553" spans="25:25" hidden="1" x14ac:dyDescent="0.25">
      <c r="Y37553" s="501"/>
    </row>
    <row r="37554" spans="25:25" hidden="1" x14ac:dyDescent="0.25">
      <c r="Y37554" s="501"/>
    </row>
    <row r="37555" spans="25:25" hidden="1" x14ac:dyDescent="0.25">
      <c r="Y37555" s="501"/>
    </row>
    <row r="37556" spans="25:25" hidden="1" x14ac:dyDescent="0.25">
      <c r="Y37556" s="501"/>
    </row>
    <row r="37557" spans="25:25" hidden="1" x14ac:dyDescent="0.25">
      <c r="Y37557" s="501"/>
    </row>
    <row r="37558" spans="25:25" hidden="1" x14ac:dyDescent="0.25">
      <c r="Y37558" s="501"/>
    </row>
    <row r="37559" spans="25:25" hidden="1" x14ac:dyDescent="0.25">
      <c r="Y37559" s="501"/>
    </row>
    <row r="37560" spans="25:25" hidden="1" x14ac:dyDescent="0.25">
      <c r="Y37560" s="501"/>
    </row>
    <row r="37561" spans="25:25" hidden="1" x14ac:dyDescent="0.25">
      <c r="Y37561" s="501"/>
    </row>
    <row r="37562" spans="25:25" hidden="1" x14ac:dyDescent="0.25">
      <c r="Y37562" s="501"/>
    </row>
    <row r="37563" spans="25:25" hidden="1" x14ac:dyDescent="0.25">
      <c r="Y37563" s="501"/>
    </row>
    <row r="37564" spans="25:25" hidden="1" x14ac:dyDescent="0.25">
      <c r="Y37564" s="501"/>
    </row>
    <row r="37565" spans="25:25" hidden="1" x14ac:dyDescent="0.25">
      <c r="Y37565" s="501"/>
    </row>
    <row r="37566" spans="25:25" hidden="1" x14ac:dyDescent="0.25">
      <c r="Y37566" s="501"/>
    </row>
    <row r="37567" spans="25:25" hidden="1" x14ac:dyDescent="0.25">
      <c r="Y37567" s="501"/>
    </row>
    <row r="37568" spans="25:25" hidden="1" x14ac:dyDescent="0.25">
      <c r="Y37568" s="501"/>
    </row>
    <row r="37569" spans="25:25" hidden="1" x14ac:dyDescent="0.25">
      <c r="Y37569" s="501"/>
    </row>
    <row r="37570" spans="25:25" hidden="1" x14ac:dyDescent="0.25">
      <c r="Y37570" s="501"/>
    </row>
    <row r="37571" spans="25:25" hidden="1" x14ac:dyDescent="0.25">
      <c r="Y37571" s="501"/>
    </row>
    <row r="37572" spans="25:25" hidden="1" x14ac:dyDescent="0.25">
      <c r="Y37572" s="501"/>
    </row>
    <row r="37573" spans="25:25" hidden="1" x14ac:dyDescent="0.25">
      <c r="Y37573" s="501"/>
    </row>
    <row r="37574" spans="25:25" hidden="1" x14ac:dyDescent="0.25">
      <c r="Y37574" s="501"/>
    </row>
    <row r="37575" spans="25:25" hidden="1" x14ac:dyDescent="0.25">
      <c r="Y37575" s="501"/>
    </row>
    <row r="37576" spans="25:25" hidden="1" x14ac:dyDescent="0.25">
      <c r="Y37576" s="501"/>
    </row>
    <row r="37577" spans="25:25" hidden="1" x14ac:dyDescent="0.25">
      <c r="Y37577" s="501"/>
    </row>
    <row r="37578" spans="25:25" hidden="1" x14ac:dyDescent="0.25">
      <c r="Y37578" s="501"/>
    </row>
    <row r="37579" spans="25:25" hidden="1" x14ac:dyDescent="0.25">
      <c r="Y37579" s="501"/>
    </row>
    <row r="37580" spans="25:25" hidden="1" x14ac:dyDescent="0.25">
      <c r="Y37580" s="501"/>
    </row>
    <row r="37581" spans="25:25" hidden="1" x14ac:dyDescent="0.25">
      <c r="Y37581" s="501"/>
    </row>
    <row r="37582" spans="25:25" hidden="1" x14ac:dyDescent="0.25">
      <c r="Y37582" s="501"/>
    </row>
    <row r="37583" spans="25:25" hidden="1" x14ac:dyDescent="0.25">
      <c r="Y37583" s="501"/>
    </row>
    <row r="37584" spans="25:25" hidden="1" x14ac:dyDescent="0.25">
      <c r="Y37584" s="501"/>
    </row>
    <row r="37585" spans="25:25" hidden="1" x14ac:dyDescent="0.25">
      <c r="Y37585" s="501"/>
    </row>
    <row r="37586" spans="25:25" hidden="1" x14ac:dyDescent="0.25">
      <c r="Y37586" s="501"/>
    </row>
    <row r="37587" spans="25:25" hidden="1" x14ac:dyDescent="0.25">
      <c r="Y37587" s="501"/>
    </row>
    <row r="37588" spans="25:25" hidden="1" x14ac:dyDescent="0.25">
      <c r="Y37588" s="501"/>
    </row>
    <row r="37589" spans="25:25" hidden="1" x14ac:dyDescent="0.25">
      <c r="Y37589" s="501"/>
    </row>
    <row r="37590" spans="25:25" hidden="1" x14ac:dyDescent="0.25">
      <c r="Y37590" s="501"/>
    </row>
    <row r="37591" spans="25:25" hidden="1" x14ac:dyDescent="0.25">
      <c r="Y37591" s="501"/>
    </row>
    <row r="37592" spans="25:25" hidden="1" x14ac:dyDescent="0.25">
      <c r="Y37592" s="501"/>
    </row>
    <row r="37593" spans="25:25" hidden="1" x14ac:dyDescent="0.25">
      <c r="Y37593" s="501"/>
    </row>
    <row r="37594" spans="25:25" hidden="1" x14ac:dyDescent="0.25">
      <c r="Y37594" s="501"/>
    </row>
    <row r="37595" spans="25:25" hidden="1" x14ac:dyDescent="0.25">
      <c r="Y37595" s="501"/>
    </row>
    <row r="37596" spans="25:25" hidden="1" x14ac:dyDescent="0.25">
      <c r="Y37596" s="501"/>
    </row>
    <row r="37597" spans="25:25" hidden="1" x14ac:dyDescent="0.25">
      <c r="Y37597" s="501"/>
    </row>
    <row r="37598" spans="25:25" hidden="1" x14ac:dyDescent="0.25">
      <c r="Y37598" s="501"/>
    </row>
    <row r="37599" spans="25:25" hidden="1" x14ac:dyDescent="0.25">
      <c r="Y37599" s="501"/>
    </row>
    <row r="37600" spans="25:25" hidden="1" x14ac:dyDescent="0.25">
      <c r="Y37600" s="501"/>
    </row>
    <row r="37601" spans="25:25" hidden="1" x14ac:dyDescent="0.25">
      <c r="Y37601" s="501"/>
    </row>
    <row r="37602" spans="25:25" hidden="1" x14ac:dyDescent="0.25">
      <c r="Y37602" s="501"/>
    </row>
    <row r="37603" spans="25:25" hidden="1" x14ac:dyDescent="0.25">
      <c r="Y37603" s="501"/>
    </row>
    <row r="37604" spans="25:25" hidden="1" x14ac:dyDescent="0.25">
      <c r="Y37604" s="501"/>
    </row>
    <row r="37605" spans="25:25" hidden="1" x14ac:dyDescent="0.25">
      <c r="Y37605" s="501"/>
    </row>
    <row r="37606" spans="25:25" hidden="1" x14ac:dyDescent="0.25">
      <c r="Y37606" s="501"/>
    </row>
    <row r="37607" spans="25:25" hidden="1" x14ac:dyDescent="0.25">
      <c r="Y37607" s="501"/>
    </row>
    <row r="37608" spans="25:25" hidden="1" x14ac:dyDescent="0.25">
      <c r="Y37608" s="501"/>
    </row>
    <row r="37609" spans="25:25" hidden="1" x14ac:dyDescent="0.25">
      <c r="Y37609" s="501"/>
    </row>
    <row r="37610" spans="25:25" hidden="1" x14ac:dyDescent="0.25">
      <c r="Y37610" s="501"/>
    </row>
    <row r="37611" spans="25:25" hidden="1" x14ac:dyDescent="0.25">
      <c r="Y37611" s="501"/>
    </row>
    <row r="37612" spans="25:25" hidden="1" x14ac:dyDescent="0.25">
      <c r="Y37612" s="501"/>
    </row>
    <row r="37613" spans="25:25" hidden="1" x14ac:dyDescent="0.25">
      <c r="Y37613" s="501"/>
    </row>
    <row r="37614" spans="25:25" hidden="1" x14ac:dyDescent="0.25">
      <c r="Y37614" s="501"/>
    </row>
    <row r="37615" spans="25:25" hidden="1" x14ac:dyDescent="0.25">
      <c r="Y37615" s="501"/>
    </row>
    <row r="37616" spans="25:25" hidden="1" x14ac:dyDescent="0.25">
      <c r="Y37616" s="501"/>
    </row>
    <row r="37617" spans="25:25" hidden="1" x14ac:dyDescent="0.25">
      <c r="Y37617" s="501"/>
    </row>
    <row r="37618" spans="25:25" hidden="1" x14ac:dyDescent="0.25">
      <c r="Y37618" s="501"/>
    </row>
    <row r="37619" spans="25:25" hidden="1" x14ac:dyDescent="0.25">
      <c r="Y37619" s="501"/>
    </row>
    <row r="37620" spans="25:25" hidden="1" x14ac:dyDescent="0.25">
      <c r="Y37620" s="501"/>
    </row>
    <row r="37621" spans="25:25" hidden="1" x14ac:dyDescent="0.25">
      <c r="Y37621" s="501"/>
    </row>
    <row r="37622" spans="25:25" hidden="1" x14ac:dyDescent="0.25">
      <c r="Y37622" s="501"/>
    </row>
    <row r="37623" spans="25:25" hidden="1" x14ac:dyDescent="0.25">
      <c r="Y37623" s="501"/>
    </row>
    <row r="37624" spans="25:25" hidden="1" x14ac:dyDescent="0.25">
      <c r="Y37624" s="501"/>
    </row>
    <row r="37625" spans="25:25" hidden="1" x14ac:dyDescent="0.25">
      <c r="Y37625" s="501"/>
    </row>
    <row r="37626" spans="25:25" hidden="1" x14ac:dyDescent="0.25">
      <c r="Y37626" s="501"/>
    </row>
    <row r="37627" spans="25:25" hidden="1" x14ac:dyDescent="0.25">
      <c r="Y37627" s="501"/>
    </row>
    <row r="37628" spans="25:25" hidden="1" x14ac:dyDescent="0.25">
      <c r="Y37628" s="501"/>
    </row>
    <row r="37629" spans="25:25" hidden="1" x14ac:dyDescent="0.25">
      <c r="Y37629" s="501"/>
    </row>
    <row r="37630" spans="25:25" hidden="1" x14ac:dyDescent="0.25">
      <c r="Y37630" s="501"/>
    </row>
    <row r="37631" spans="25:25" hidden="1" x14ac:dyDescent="0.25">
      <c r="Y37631" s="501"/>
    </row>
    <row r="37632" spans="25:25" hidden="1" x14ac:dyDescent="0.25">
      <c r="Y37632" s="501"/>
    </row>
    <row r="37633" spans="25:25" hidden="1" x14ac:dyDescent="0.25">
      <c r="Y37633" s="501"/>
    </row>
    <row r="37634" spans="25:25" hidden="1" x14ac:dyDescent="0.25">
      <c r="Y37634" s="501"/>
    </row>
    <row r="37635" spans="25:25" hidden="1" x14ac:dyDescent="0.25">
      <c r="Y37635" s="501"/>
    </row>
    <row r="37636" spans="25:25" hidden="1" x14ac:dyDescent="0.25">
      <c r="Y37636" s="501"/>
    </row>
    <row r="37637" spans="25:25" hidden="1" x14ac:dyDescent="0.25">
      <c r="Y37637" s="501"/>
    </row>
    <row r="37638" spans="25:25" hidden="1" x14ac:dyDescent="0.25">
      <c r="Y37638" s="501"/>
    </row>
    <row r="37639" spans="25:25" hidden="1" x14ac:dyDescent="0.25">
      <c r="Y37639" s="501"/>
    </row>
    <row r="37640" spans="25:25" hidden="1" x14ac:dyDescent="0.25">
      <c r="Y37640" s="501"/>
    </row>
    <row r="37641" spans="25:25" hidden="1" x14ac:dyDescent="0.25">
      <c r="Y37641" s="501"/>
    </row>
    <row r="37642" spans="25:25" hidden="1" x14ac:dyDescent="0.25">
      <c r="Y37642" s="501"/>
    </row>
    <row r="37643" spans="25:25" hidden="1" x14ac:dyDescent="0.25">
      <c r="Y37643" s="501"/>
    </row>
    <row r="37644" spans="25:25" hidden="1" x14ac:dyDescent="0.25">
      <c r="Y37644" s="501"/>
    </row>
    <row r="37645" spans="25:25" hidden="1" x14ac:dyDescent="0.25">
      <c r="Y37645" s="501"/>
    </row>
    <row r="37646" spans="25:25" hidden="1" x14ac:dyDescent="0.25">
      <c r="Y37646" s="501"/>
    </row>
    <row r="37647" spans="25:25" hidden="1" x14ac:dyDescent="0.25">
      <c r="Y37647" s="501"/>
    </row>
    <row r="37648" spans="25:25" hidden="1" x14ac:dyDescent="0.25">
      <c r="Y37648" s="501"/>
    </row>
    <row r="37649" spans="25:25" hidden="1" x14ac:dyDescent="0.25">
      <c r="Y37649" s="501"/>
    </row>
    <row r="37650" spans="25:25" hidden="1" x14ac:dyDescent="0.25">
      <c r="Y37650" s="501"/>
    </row>
    <row r="37651" spans="25:25" hidden="1" x14ac:dyDescent="0.25">
      <c r="Y37651" s="501"/>
    </row>
    <row r="37652" spans="25:25" hidden="1" x14ac:dyDescent="0.25">
      <c r="Y37652" s="501"/>
    </row>
    <row r="37653" spans="25:25" hidden="1" x14ac:dyDescent="0.25">
      <c r="Y37653" s="501"/>
    </row>
    <row r="37654" spans="25:25" hidden="1" x14ac:dyDescent="0.25">
      <c r="Y37654" s="501"/>
    </row>
    <row r="37655" spans="25:25" hidden="1" x14ac:dyDescent="0.25">
      <c r="Y37655" s="501"/>
    </row>
    <row r="37656" spans="25:25" hidden="1" x14ac:dyDescent="0.25">
      <c r="Y37656" s="501"/>
    </row>
    <row r="37657" spans="25:25" hidden="1" x14ac:dyDescent="0.25">
      <c r="Y37657" s="501"/>
    </row>
    <row r="37658" spans="25:25" hidden="1" x14ac:dyDescent="0.25">
      <c r="Y37658" s="501"/>
    </row>
    <row r="37659" spans="25:25" hidden="1" x14ac:dyDescent="0.25">
      <c r="Y37659" s="501"/>
    </row>
    <row r="37660" spans="25:25" hidden="1" x14ac:dyDescent="0.25">
      <c r="Y37660" s="501"/>
    </row>
    <row r="37661" spans="25:25" hidden="1" x14ac:dyDescent="0.25">
      <c r="Y37661" s="501"/>
    </row>
    <row r="37662" spans="25:25" hidden="1" x14ac:dyDescent="0.25">
      <c r="Y37662" s="501"/>
    </row>
    <row r="37663" spans="25:25" hidden="1" x14ac:dyDescent="0.25">
      <c r="Y37663" s="501"/>
    </row>
    <row r="37664" spans="25:25" hidden="1" x14ac:dyDescent="0.25">
      <c r="Y37664" s="501"/>
    </row>
    <row r="37665" spans="25:25" hidden="1" x14ac:dyDescent="0.25">
      <c r="Y37665" s="501"/>
    </row>
    <row r="37666" spans="25:25" hidden="1" x14ac:dyDescent="0.25">
      <c r="Y37666" s="501"/>
    </row>
    <row r="37667" spans="25:25" hidden="1" x14ac:dyDescent="0.25">
      <c r="Y37667" s="501"/>
    </row>
    <row r="37668" spans="25:25" hidden="1" x14ac:dyDescent="0.25">
      <c r="Y37668" s="501"/>
    </row>
    <row r="37669" spans="25:25" hidden="1" x14ac:dyDescent="0.25">
      <c r="Y37669" s="501"/>
    </row>
    <row r="37670" spans="25:25" hidden="1" x14ac:dyDescent="0.25">
      <c r="Y37670" s="501"/>
    </row>
    <row r="37671" spans="25:25" hidden="1" x14ac:dyDescent="0.25">
      <c r="Y37671" s="501"/>
    </row>
    <row r="37672" spans="25:25" hidden="1" x14ac:dyDescent="0.25">
      <c r="Y37672" s="501"/>
    </row>
    <row r="37673" spans="25:25" hidden="1" x14ac:dyDescent="0.25">
      <c r="Y37673" s="501"/>
    </row>
    <row r="37674" spans="25:25" hidden="1" x14ac:dyDescent="0.25">
      <c r="Y37674" s="501"/>
    </row>
    <row r="37675" spans="25:25" hidden="1" x14ac:dyDescent="0.25">
      <c r="Y37675" s="501"/>
    </row>
    <row r="37676" spans="25:25" hidden="1" x14ac:dyDescent="0.25">
      <c r="Y37676" s="501"/>
    </row>
    <row r="37677" spans="25:25" hidden="1" x14ac:dyDescent="0.25">
      <c r="Y37677" s="501"/>
    </row>
    <row r="37678" spans="25:25" hidden="1" x14ac:dyDescent="0.25">
      <c r="Y37678" s="501"/>
    </row>
    <row r="37679" spans="25:25" hidden="1" x14ac:dyDescent="0.25">
      <c r="Y37679" s="501"/>
    </row>
    <row r="37680" spans="25:25" hidden="1" x14ac:dyDescent="0.25">
      <c r="Y37680" s="501"/>
    </row>
    <row r="37681" spans="25:25" hidden="1" x14ac:dyDescent="0.25">
      <c r="Y37681" s="501"/>
    </row>
    <row r="37682" spans="25:25" hidden="1" x14ac:dyDescent="0.25">
      <c r="Y37682" s="501"/>
    </row>
    <row r="37683" spans="25:25" hidden="1" x14ac:dyDescent="0.25">
      <c r="Y37683" s="501"/>
    </row>
    <row r="37684" spans="25:25" hidden="1" x14ac:dyDescent="0.25">
      <c r="Y37684" s="501"/>
    </row>
    <row r="37685" spans="25:25" hidden="1" x14ac:dyDescent="0.25">
      <c r="Y37685" s="501"/>
    </row>
    <row r="37686" spans="25:25" hidden="1" x14ac:dyDescent="0.25">
      <c r="Y37686" s="501"/>
    </row>
    <row r="37687" spans="25:25" hidden="1" x14ac:dyDescent="0.25">
      <c r="Y37687" s="501"/>
    </row>
    <row r="37688" spans="25:25" hidden="1" x14ac:dyDescent="0.25">
      <c r="Y37688" s="501"/>
    </row>
    <row r="37689" spans="25:25" hidden="1" x14ac:dyDescent="0.25">
      <c r="Y37689" s="501"/>
    </row>
    <row r="37690" spans="25:25" hidden="1" x14ac:dyDescent="0.25">
      <c r="Y37690" s="501"/>
    </row>
    <row r="37691" spans="25:25" hidden="1" x14ac:dyDescent="0.25">
      <c r="Y37691" s="501"/>
    </row>
    <row r="37692" spans="25:25" hidden="1" x14ac:dyDescent="0.25">
      <c r="Y37692" s="501"/>
    </row>
    <row r="37693" spans="25:25" hidden="1" x14ac:dyDescent="0.25">
      <c r="Y37693" s="501"/>
    </row>
    <row r="37694" spans="25:25" hidden="1" x14ac:dyDescent="0.25">
      <c r="Y37694" s="501"/>
    </row>
    <row r="37695" spans="25:25" hidden="1" x14ac:dyDescent="0.25">
      <c r="Y37695" s="501"/>
    </row>
    <row r="37696" spans="25:25" hidden="1" x14ac:dyDescent="0.25">
      <c r="Y37696" s="501"/>
    </row>
    <row r="37697" spans="25:25" hidden="1" x14ac:dyDescent="0.25">
      <c r="Y37697" s="501"/>
    </row>
    <row r="37698" spans="25:25" hidden="1" x14ac:dyDescent="0.25">
      <c r="Y37698" s="501"/>
    </row>
    <row r="37699" spans="25:25" hidden="1" x14ac:dyDescent="0.25">
      <c r="Y37699" s="501"/>
    </row>
    <row r="37700" spans="25:25" hidden="1" x14ac:dyDescent="0.25">
      <c r="Y37700" s="501"/>
    </row>
    <row r="37701" spans="25:25" hidden="1" x14ac:dyDescent="0.25">
      <c r="Y37701" s="501"/>
    </row>
    <row r="37702" spans="25:25" hidden="1" x14ac:dyDescent="0.25">
      <c r="Y37702" s="501"/>
    </row>
    <row r="37703" spans="25:25" hidden="1" x14ac:dyDescent="0.25">
      <c r="Y37703" s="501"/>
    </row>
    <row r="37704" spans="25:25" hidden="1" x14ac:dyDescent="0.25">
      <c r="Y37704" s="501"/>
    </row>
    <row r="37705" spans="25:25" hidden="1" x14ac:dyDescent="0.25">
      <c r="Y37705" s="501"/>
    </row>
    <row r="37706" spans="25:25" hidden="1" x14ac:dyDescent="0.25">
      <c r="Y37706" s="501"/>
    </row>
    <row r="37707" spans="25:25" hidden="1" x14ac:dyDescent="0.25">
      <c r="Y37707" s="501"/>
    </row>
    <row r="37708" spans="25:25" hidden="1" x14ac:dyDescent="0.25">
      <c r="Y37708" s="501"/>
    </row>
    <row r="37709" spans="25:25" hidden="1" x14ac:dyDescent="0.25">
      <c r="Y37709" s="501"/>
    </row>
    <row r="37710" spans="25:25" hidden="1" x14ac:dyDescent="0.25">
      <c r="Y37710" s="501"/>
    </row>
    <row r="37711" spans="25:25" hidden="1" x14ac:dyDescent="0.25">
      <c r="Y37711" s="501"/>
    </row>
    <row r="37712" spans="25:25" hidden="1" x14ac:dyDescent="0.25">
      <c r="Y37712" s="501"/>
    </row>
    <row r="37713" spans="25:25" hidden="1" x14ac:dyDescent="0.25">
      <c r="Y37713" s="501"/>
    </row>
    <row r="37714" spans="25:25" hidden="1" x14ac:dyDescent="0.25">
      <c r="Y37714" s="501"/>
    </row>
    <row r="37715" spans="25:25" hidden="1" x14ac:dyDescent="0.25">
      <c r="Y37715" s="501"/>
    </row>
    <row r="37716" spans="25:25" hidden="1" x14ac:dyDescent="0.25">
      <c r="Y37716" s="501"/>
    </row>
    <row r="37717" spans="25:25" hidden="1" x14ac:dyDescent="0.25">
      <c r="Y37717" s="501"/>
    </row>
    <row r="37718" spans="25:25" hidden="1" x14ac:dyDescent="0.25">
      <c r="Y37718" s="501"/>
    </row>
    <row r="37719" spans="25:25" hidden="1" x14ac:dyDescent="0.25">
      <c r="Y37719" s="501"/>
    </row>
    <row r="37720" spans="25:25" hidden="1" x14ac:dyDescent="0.25">
      <c r="Y37720" s="501"/>
    </row>
    <row r="37721" spans="25:25" hidden="1" x14ac:dyDescent="0.25">
      <c r="Y37721" s="501"/>
    </row>
    <row r="37722" spans="25:25" hidden="1" x14ac:dyDescent="0.25">
      <c r="Y37722" s="501"/>
    </row>
    <row r="37723" spans="25:25" hidden="1" x14ac:dyDescent="0.25">
      <c r="Y37723" s="501"/>
    </row>
    <row r="37724" spans="25:25" hidden="1" x14ac:dyDescent="0.25">
      <c r="Y37724" s="501"/>
    </row>
    <row r="37725" spans="25:25" hidden="1" x14ac:dyDescent="0.25">
      <c r="Y37725" s="501"/>
    </row>
    <row r="37726" spans="25:25" hidden="1" x14ac:dyDescent="0.25">
      <c r="Y37726" s="501"/>
    </row>
    <row r="37727" spans="25:25" hidden="1" x14ac:dyDescent="0.25">
      <c r="Y37727" s="501"/>
    </row>
    <row r="37728" spans="25:25" hidden="1" x14ac:dyDescent="0.25">
      <c r="Y37728" s="501"/>
    </row>
    <row r="37729" spans="25:25" hidden="1" x14ac:dyDescent="0.25">
      <c r="Y37729" s="501"/>
    </row>
    <row r="37730" spans="25:25" hidden="1" x14ac:dyDescent="0.25">
      <c r="Y37730" s="501"/>
    </row>
    <row r="37731" spans="25:25" hidden="1" x14ac:dyDescent="0.25">
      <c r="Y37731" s="501"/>
    </row>
    <row r="37732" spans="25:25" hidden="1" x14ac:dyDescent="0.25">
      <c r="Y37732" s="501"/>
    </row>
    <row r="37733" spans="25:25" hidden="1" x14ac:dyDescent="0.25">
      <c r="Y37733" s="501"/>
    </row>
    <row r="37734" spans="25:25" hidden="1" x14ac:dyDescent="0.25">
      <c r="Y37734" s="501"/>
    </row>
    <row r="37735" spans="25:25" hidden="1" x14ac:dyDescent="0.25">
      <c r="Y37735" s="501"/>
    </row>
    <row r="37736" spans="25:25" hidden="1" x14ac:dyDescent="0.25">
      <c r="Y37736" s="501"/>
    </row>
    <row r="37737" spans="25:25" hidden="1" x14ac:dyDescent="0.25">
      <c r="Y37737" s="501"/>
    </row>
    <row r="37738" spans="25:25" hidden="1" x14ac:dyDescent="0.25">
      <c r="Y37738" s="501"/>
    </row>
    <row r="37739" spans="25:25" hidden="1" x14ac:dyDescent="0.25">
      <c r="Y37739" s="501"/>
    </row>
    <row r="37740" spans="25:25" hidden="1" x14ac:dyDescent="0.25">
      <c r="Y37740" s="501"/>
    </row>
    <row r="37741" spans="25:25" hidden="1" x14ac:dyDescent="0.25">
      <c r="Y37741" s="501"/>
    </row>
    <row r="37742" spans="25:25" hidden="1" x14ac:dyDescent="0.25">
      <c r="Y37742" s="501"/>
    </row>
    <row r="37743" spans="25:25" hidden="1" x14ac:dyDescent="0.25">
      <c r="Y37743" s="501"/>
    </row>
    <row r="37744" spans="25:25" hidden="1" x14ac:dyDescent="0.25">
      <c r="Y37744" s="501"/>
    </row>
    <row r="37745" spans="25:25" hidden="1" x14ac:dyDescent="0.25">
      <c r="Y37745" s="501"/>
    </row>
    <row r="37746" spans="25:25" hidden="1" x14ac:dyDescent="0.25">
      <c r="Y37746" s="501"/>
    </row>
    <row r="37747" spans="25:25" hidden="1" x14ac:dyDescent="0.25">
      <c r="Y37747" s="501"/>
    </row>
    <row r="37748" spans="25:25" hidden="1" x14ac:dyDescent="0.25">
      <c r="Y37748" s="501"/>
    </row>
    <row r="37749" spans="25:25" hidden="1" x14ac:dyDescent="0.25">
      <c r="Y37749" s="501"/>
    </row>
    <row r="37750" spans="25:25" hidden="1" x14ac:dyDescent="0.25">
      <c r="Y37750" s="501"/>
    </row>
    <row r="37751" spans="25:25" hidden="1" x14ac:dyDescent="0.25">
      <c r="Y37751" s="501"/>
    </row>
    <row r="37752" spans="25:25" hidden="1" x14ac:dyDescent="0.25">
      <c r="Y37752" s="501"/>
    </row>
    <row r="37753" spans="25:25" hidden="1" x14ac:dyDescent="0.25">
      <c r="Y37753" s="501"/>
    </row>
    <row r="37754" spans="25:25" hidden="1" x14ac:dyDescent="0.25">
      <c r="Y37754" s="501"/>
    </row>
    <row r="37755" spans="25:25" hidden="1" x14ac:dyDescent="0.25">
      <c r="Y37755" s="501"/>
    </row>
    <row r="37756" spans="25:25" hidden="1" x14ac:dyDescent="0.25">
      <c r="Y37756" s="501"/>
    </row>
    <row r="37757" spans="25:25" hidden="1" x14ac:dyDescent="0.25">
      <c r="Y37757" s="501"/>
    </row>
    <row r="37758" spans="25:25" hidden="1" x14ac:dyDescent="0.25">
      <c r="Y37758" s="501"/>
    </row>
    <row r="37759" spans="25:25" hidden="1" x14ac:dyDescent="0.25">
      <c r="Y37759" s="501"/>
    </row>
    <row r="37760" spans="25:25" hidden="1" x14ac:dyDescent="0.25">
      <c r="Y37760" s="501"/>
    </row>
    <row r="37761" spans="25:25" hidden="1" x14ac:dyDescent="0.25">
      <c r="Y37761" s="501"/>
    </row>
    <row r="37762" spans="25:25" hidden="1" x14ac:dyDescent="0.25">
      <c r="Y37762" s="501"/>
    </row>
    <row r="37763" spans="25:25" hidden="1" x14ac:dyDescent="0.25">
      <c r="Y37763" s="501"/>
    </row>
    <row r="37764" spans="25:25" hidden="1" x14ac:dyDescent="0.25">
      <c r="Y37764" s="501"/>
    </row>
    <row r="37765" spans="25:25" hidden="1" x14ac:dyDescent="0.25">
      <c r="Y37765" s="501"/>
    </row>
    <row r="37766" spans="25:25" hidden="1" x14ac:dyDescent="0.25">
      <c r="Y37766" s="501"/>
    </row>
    <row r="37767" spans="25:25" hidden="1" x14ac:dyDescent="0.25">
      <c r="Y37767" s="501"/>
    </row>
    <row r="37768" spans="25:25" hidden="1" x14ac:dyDescent="0.25">
      <c r="Y37768" s="501"/>
    </row>
    <row r="37769" spans="25:25" hidden="1" x14ac:dyDescent="0.25">
      <c r="Y37769" s="501"/>
    </row>
    <row r="37770" spans="25:25" hidden="1" x14ac:dyDescent="0.25">
      <c r="Y37770" s="501"/>
    </row>
    <row r="37771" spans="25:25" hidden="1" x14ac:dyDescent="0.25">
      <c r="Y37771" s="501"/>
    </row>
    <row r="37772" spans="25:25" hidden="1" x14ac:dyDescent="0.25">
      <c r="Y37772" s="501"/>
    </row>
    <row r="37773" spans="25:25" hidden="1" x14ac:dyDescent="0.25">
      <c r="Y37773" s="501"/>
    </row>
    <row r="37774" spans="25:25" hidden="1" x14ac:dyDescent="0.25">
      <c r="Y37774" s="501"/>
    </row>
    <row r="37775" spans="25:25" hidden="1" x14ac:dyDescent="0.25">
      <c r="Y37775" s="501"/>
    </row>
    <row r="37776" spans="25:25" hidden="1" x14ac:dyDescent="0.25">
      <c r="Y37776" s="501"/>
    </row>
    <row r="37777" spans="25:25" hidden="1" x14ac:dyDescent="0.25">
      <c r="Y37777" s="501"/>
    </row>
    <row r="37778" spans="25:25" hidden="1" x14ac:dyDescent="0.25">
      <c r="Y37778" s="501"/>
    </row>
    <row r="37779" spans="25:25" hidden="1" x14ac:dyDescent="0.25">
      <c r="Y37779" s="501"/>
    </row>
    <row r="37780" spans="25:25" hidden="1" x14ac:dyDescent="0.25">
      <c r="Y37780" s="501"/>
    </row>
    <row r="37781" spans="25:25" hidden="1" x14ac:dyDescent="0.25">
      <c r="Y37781" s="501"/>
    </row>
    <row r="37782" spans="25:25" hidden="1" x14ac:dyDescent="0.25">
      <c r="Y37782" s="501"/>
    </row>
    <row r="37783" spans="25:25" hidden="1" x14ac:dyDescent="0.25">
      <c r="Y37783" s="501"/>
    </row>
    <row r="37784" spans="25:25" hidden="1" x14ac:dyDescent="0.25">
      <c r="Y37784" s="501"/>
    </row>
    <row r="37785" spans="25:25" hidden="1" x14ac:dyDescent="0.25">
      <c r="Y37785" s="501"/>
    </row>
    <row r="37786" spans="25:25" hidden="1" x14ac:dyDescent="0.25">
      <c r="Y37786" s="501"/>
    </row>
    <row r="37787" spans="25:25" hidden="1" x14ac:dyDescent="0.25">
      <c r="Y37787" s="501"/>
    </row>
    <row r="37788" spans="25:25" hidden="1" x14ac:dyDescent="0.25">
      <c r="Y37788" s="501"/>
    </row>
    <row r="37789" spans="25:25" hidden="1" x14ac:dyDescent="0.25">
      <c r="Y37789" s="501"/>
    </row>
    <row r="37790" spans="25:25" hidden="1" x14ac:dyDescent="0.25">
      <c r="Y37790" s="501"/>
    </row>
    <row r="37791" spans="25:25" hidden="1" x14ac:dyDescent="0.25">
      <c r="Y37791" s="501"/>
    </row>
    <row r="37792" spans="25:25" hidden="1" x14ac:dyDescent="0.25">
      <c r="Y37792" s="501"/>
    </row>
    <row r="37793" spans="25:25" hidden="1" x14ac:dyDescent="0.25">
      <c r="Y37793" s="501"/>
    </row>
    <row r="37794" spans="25:25" hidden="1" x14ac:dyDescent="0.25">
      <c r="Y37794" s="501"/>
    </row>
    <row r="37795" spans="25:25" hidden="1" x14ac:dyDescent="0.25">
      <c r="Y37795" s="501"/>
    </row>
    <row r="37796" spans="25:25" hidden="1" x14ac:dyDescent="0.25">
      <c r="Y37796" s="501"/>
    </row>
    <row r="37797" spans="25:25" hidden="1" x14ac:dyDescent="0.25">
      <c r="Y37797" s="501"/>
    </row>
    <row r="37798" spans="25:25" hidden="1" x14ac:dyDescent="0.25">
      <c r="Y37798" s="501"/>
    </row>
    <row r="37799" spans="25:25" hidden="1" x14ac:dyDescent="0.25">
      <c r="Y37799" s="501"/>
    </row>
    <row r="37800" spans="25:25" hidden="1" x14ac:dyDescent="0.25">
      <c r="Y37800" s="501"/>
    </row>
    <row r="37801" spans="25:25" hidden="1" x14ac:dyDescent="0.25">
      <c r="Y37801" s="501"/>
    </row>
    <row r="37802" spans="25:25" hidden="1" x14ac:dyDescent="0.25">
      <c r="Y37802" s="501"/>
    </row>
    <row r="37803" spans="25:25" hidden="1" x14ac:dyDescent="0.25">
      <c r="Y37803" s="501"/>
    </row>
    <row r="37804" spans="25:25" hidden="1" x14ac:dyDescent="0.25">
      <c r="Y37804" s="501"/>
    </row>
    <row r="37805" spans="25:25" hidden="1" x14ac:dyDescent="0.25">
      <c r="Y37805" s="501"/>
    </row>
    <row r="37806" spans="25:25" hidden="1" x14ac:dyDescent="0.25">
      <c r="Y37806" s="501"/>
    </row>
    <row r="37807" spans="25:25" hidden="1" x14ac:dyDescent="0.25">
      <c r="Y37807" s="501"/>
    </row>
    <row r="37808" spans="25:25" hidden="1" x14ac:dyDescent="0.25">
      <c r="Y37808" s="501"/>
    </row>
    <row r="37809" spans="25:25" hidden="1" x14ac:dyDescent="0.25">
      <c r="Y37809" s="501"/>
    </row>
    <row r="37810" spans="25:25" hidden="1" x14ac:dyDescent="0.25">
      <c r="Y37810" s="501"/>
    </row>
    <row r="37811" spans="25:25" hidden="1" x14ac:dyDescent="0.25">
      <c r="Y37811" s="501"/>
    </row>
    <row r="37812" spans="25:25" hidden="1" x14ac:dyDescent="0.25">
      <c r="Y37812" s="501"/>
    </row>
    <row r="37813" spans="25:25" hidden="1" x14ac:dyDescent="0.25">
      <c r="Y37813" s="501"/>
    </row>
    <row r="37814" spans="25:25" hidden="1" x14ac:dyDescent="0.25">
      <c r="Y37814" s="501"/>
    </row>
    <row r="37815" spans="25:25" hidden="1" x14ac:dyDescent="0.25">
      <c r="Y37815" s="501"/>
    </row>
    <row r="37816" spans="25:25" hidden="1" x14ac:dyDescent="0.25">
      <c r="Y37816" s="501"/>
    </row>
    <row r="37817" spans="25:25" hidden="1" x14ac:dyDescent="0.25">
      <c r="Y37817" s="501"/>
    </row>
    <row r="37818" spans="25:25" hidden="1" x14ac:dyDescent="0.25">
      <c r="Y37818" s="501"/>
    </row>
    <row r="37819" spans="25:25" hidden="1" x14ac:dyDescent="0.25">
      <c r="Y37819" s="501"/>
    </row>
    <row r="37820" spans="25:25" hidden="1" x14ac:dyDescent="0.25">
      <c r="Y37820" s="501"/>
    </row>
    <row r="37821" spans="25:25" hidden="1" x14ac:dyDescent="0.25">
      <c r="Y37821" s="501"/>
    </row>
    <row r="37822" spans="25:25" hidden="1" x14ac:dyDescent="0.25">
      <c r="Y37822" s="501"/>
    </row>
    <row r="37823" spans="25:25" hidden="1" x14ac:dyDescent="0.25">
      <c r="Y37823" s="501"/>
    </row>
    <row r="37824" spans="25:25" hidden="1" x14ac:dyDescent="0.25">
      <c r="Y37824" s="501"/>
    </row>
    <row r="37825" spans="25:25" hidden="1" x14ac:dyDescent="0.25">
      <c r="Y37825" s="501"/>
    </row>
    <row r="37826" spans="25:25" hidden="1" x14ac:dyDescent="0.25">
      <c r="Y37826" s="501"/>
    </row>
    <row r="37827" spans="25:25" hidden="1" x14ac:dyDescent="0.25">
      <c r="Y37827" s="501"/>
    </row>
    <row r="37828" spans="25:25" hidden="1" x14ac:dyDescent="0.25">
      <c r="Y37828" s="501"/>
    </row>
    <row r="37829" spans="25:25" hidden="1" x14ac:dyDescent="0.25">
      <c r="Y37829" s="501"/>
    </row>
    <row r="37830" spans="25:25" hidden="1" x14ac:dyDescent="0.25">
      <c r="Y37830" s="501"/>
    </row>
    <row r="37831" spans="25:25" hidden="1" x14ac:dyDescent="0.25">
      <c r="Y37831" s="501"/>
    </row>
    <row r="37832" spans="25:25" hidden="1" x14ac:dyDescent="0.25">
      <c r="Y37832" s="501"/>
    </row>
    <row r="37833" spans="25:25" hidden="1" x14ac:dyDescent="0.25">
      <c r="Y37833" s="501"/>
    </row>
    <row r="37834" spans="25:25" hidden="1" x14ac:dyDescent="0.25">
      <c r="Y37834" s="501"/>
    </row>
    <row r="37835" spans="25:25" hidden="1" x14ac:dyDescent="0.25">
      <c r="Y37835" s="501"/>
    </row>
    <row r="37836" spans="25:25" hidden="1" x14ac:dyDescent="0.25">
      <c r="Y37836" s="501"/>
    </row>
    <row r="37837" spans="25:25" hidden="1" x14ac:dyDescent="0.25">
      <c r="Y37837" s="501"/>
    </row>
    <row r="37838" spans="25:25" hidden="1" x14ac:dyDescent="0.25">
      <c r="Y37838" s="501"/>
    </row>
    <row r="37839" spans="25:25" hidden="1" x14ac:dyDescent="0.25">
      <c r="Y37839" s="501"/>
    </row>
    <row r="37840" spans="25:25" hidden="1" x14ac:dyDescent="0.25">
      <c r="Y37840" s="501"/>
    </row>
    <row r="37841" spans="25:25" hidden="1" x14ac:dyDescent="0.25">
      <c r="Y37841" s="501"/>
    </row>
    <row r="37842" spans="25:25" hidden="1" x14ac:dyDescent="0.25">
      <c r="Y37842" s="501"/>
    </row>
    <row r="37843" spans="25:25" hidden="1" x14ac:dyDescent="0.25">
      <c r="Y37843" s="501"/>
    </row>
    <row r="37844" spans="25:25" hidden="1" x14ac:dyDescent="0.25">
      <c r="Y37844" s="501"/>
    </row>
    <row r="37845" spans="25:25" hidden="1" x14ac:dyDescent="0.25">
      <c r="Y37845" s="501"/>
    </row>
    <row r="37846" spans="25:25" hidden="1" x14ac:dyDescent="0.25">
      <c r="Y37846" s="501"/>
    </row>
    <row r="37847" spans="25:25" hidden="1" x14ac:dyDescent="0.25">
      <c r="Y37847" s="501"/>
    </row>
    <row r="37848" spans="25:25" hidden="1" x14ac:dyDescent="0.25">
      <c r="Y37848" s="501"/>
    </row>
    <row r="37849" spans="25:25" hidden="1" x14ac:dyDescent="0.25">
      <c r="Y37849" s="501"/>
    </row>
    <row r="37850" spans="25:25" hidden="1" x14ac:dyDescent="0.25">
      <c r="Y37850" s="501"/>
    </row>
    <row r="37851" spans="25:25" hidden="1" x14ac:dyDescent="0.25">
      <c r="Y37851" s="501"/>
    </row>
    <row r="37852" spans="25:25" hidden="1" x14ac:dyDescent="0.25">
      <c r="Y37852" s="501"/>
    </row>
    <row r="37853" spans="25:25" hidden="1" x14ac:dyDescent="0.25">
      <c r="Y37853" s="501"/>
    </row>
    <row r="37854" spans="25:25" hidden="1" x14ac:dyDescent="0.25">
      <c r="Y37854" s="501"/>
    </row>
    <row r="37855" spans="25:25" hidden="1" x14ac:dyDescent="0.25">
      <c r="Y37855" s="501"/>
    </row>
    <row r="37856" spans="25:25" hidden="1" x14ac:dyDescent="0.25">
      <c r="Y37856" s="501"/>
    </row>
    <row r="37857" spans="25:25" hidden="1" x14ac:dyDescent="0.25">
      <c r="Y37857" s="501"/>
    </row>
    <row r="37858" spans="25:25" hidden="1" x14ac:dyDescent="0.25">
      <c r="Y37858" s="501"/>
    </row>
    <row r="37859" spans="25:25" hidden="1" x14ac:dyDescent="0.25">
      <c r="Y37859" s="501"/>
    </row>
    <row r="37860" spans="25:25" hidden="1" x14ac:dyDescent="0.25">
      <c r="Y37860" s="501"/>
    </row>
    <row r="37861" spans="25:25" hidden="1" x14ac:dyDescent="0.25">
      <c r="Y37861" s="501"/>
    </row>
    <row r="37862" spans="25:25" hidden="1" x14ac:dyDescent="0.25">
      <c r="Y37862" s="501"/>
    </row>
    <row r="37863" spans="25:25" hidden="1" x14ac:dyDescent="0.25">
      <c r="Y37863" s="501"/>
    </row>
    <row r="37864" spans="25:25" hidden="1" x14ac:dyDescent="0.25">
      <c r="Y37864" s="501"/>
    </row>
    <row r="37865" spans="25:25" hidden="1" x14ac:dyDescent="0.25">
      <c r="Y37865" s="501"/>
    </row>
    <row r="37866" spans="25:25" hidden="1" x14ac:dyDescent="0.25">
      <c r="Y37866" s="501"/>
    </row>
    <row r="37867" spans="25:25" hidden="1" x14ac:dyDescent="0.25">
      <c r="Y37867" s="501"/>
    </row>
    <row r="37868" spans="25:25" hidden="1" x14ac:dyDescent="0.25">
      <c r="Y37868" s="501"/>
    </row>
    <row r="37869" spans="25:25" hidden="1" x14ac:dyDescent="0.25">
      <c r="Y37869" s="501"/>
    </row>
    <row r="37870" spans="25:25" hidden="1" x14ac:dyDescent="0.25">
      <c r="Y37870" s="501"/>
    </row>
    <row r="37871" spans="25:25" hidden="1" x14ac:dyDescent="0.25">
      <c r="Y37871" s="501"/>
    </row>
    <row r="37872" spans="25:25" hidden="1" x14ac:dyDescent="0.25">
      <c r="Y37872" s="501"/>
    </row>
    <row r="37873" spans="25:25" hidden="1" x14ac:dyDescent="0.25">
      <c r="Y37873" s="501"/>
    </row>
    <row r="37874" spans="25:25" hidden="1" x14ac:dyDescent="0.25">
      <c r="Y37874" s="501"/>
    </row>
    <row r="37875" spans="25:25" hidden="1" x14ac:dyDescent="0.25">
      <c r="Y37875" s="501"/>
    </row>
    <row r="37876" spans="25:25" hidden="1" x14ac:dyDescent="0.25">
      <c r="Y37876" s="501"/>
    </row>
    <row r="37877" spans="25:25" hidden="1" x14ac:dyDescent="0.25">
      <c r="Y37877" s="501"/>
    </row>
    <row r="37878" spans="25:25" hidden="1" x14ac:dyDescent="0.25">
      <c r="Y37878" s="501"/>
    </row>
    <row r="37879" spans="25:25" hidden="1" x14ac:dyDescent="0.25">
      <c r="Y37879" s="501"/>
    </row>
    <row r="37880" spans="25:25" hidden="1" x14ac:dyDescent="0.25">
      <c r="Y37880" s="501"/>
    </row>
    <row r="37881" spans="25:25" hidden="1" x14ac:dyDescent="0.25">
      <c r="Y37881" s="501"/>
    </row>
    <row r="37882" spans="25:25" hidden="1" x14ac:dyDescent="0.25">
      <c r="Y37882" s="501"/>
    </row>
    <row r="37883" spans="25:25" hidden="1" x14ac:dyDescent="0.25">
      <c r="Y37883" s="501"/>
    </row>
    <row r="37884" spans="25:25" hidden="1" x14ac:dyDescent="0.25">
      <c r="Y37884" s="501"/>
    </row>
    <row r="37885" spans="25:25" hidden="1" x14ac:dyDescent="0.25">
      <c r="Y37885" s="501"/>
    </row>
    <row r="37886" spans="25:25" hidden="1" x14ac:dyDescent="0.25">
      <c r="Y37886" s="501"/>
    </row>
    <row r="37887" spans="25:25" hidden="1" x14ac:dyDescent="0.25">
      <c r="Y37887" s="501"/>
    </row>
    <row r="37888" spans="25:25" hidden="1" x14ac:dyDescent="0.25">
      <c r="Y37888" s="501"/>
    </row>
    <row r="37889" spans="25:25" hidden="1" x14ac:dyDescent="0.25">
      <c r="Y37889" s="501"/>
    </row>
    <row r="37890" spans="25:25" hidden="1" x14ac:dyDescent="0.25">
      <c r="Y37890" s="501"/>
    </row>
    <row r="37891" spans="25:25" hidden="1" x14ac:dyDescent="0.25">
      <c r="Y37891" s="501"/>
    </row>
    <row r="37892" spans="25:25" hidden="1" x14ac:dyDescent="0.25">
      <c r="Y37892" s="501"/>
    </row>
    <row r="37893" spans="25:25" hidden="1" x14ac:dyDescent="0.25">
      <c r="Y37893" s="501"/>
    </row>
    <row r="37894" spans="25:25" hidden="1" x14ac:dyDescent="0.25">
      <c r="Y37894" s="501"/>
    </row>
    <row r="37895" spans="25:25" hidden="1" x14ac:dyDescent="0.25">
      <c r="Y37895" s="501"/>
    </row>
    <row r="37896" spans="25:25" hidden="1" x14ac:dyDescent="0.25">
      <c r="Y37896" s="501"/>
    </row>
    <row r="37897" spans="25:25" hidden="1" x14ac:dyDescent="0.25">
      <c r="Y37897" s="501"/>
    </row>
    <row r="37898" spans="25:25" hidden="1" x14ac:dyDescent="0.25">
      <c r="Y37898" s="501"/>
    </row>
    <row r="37899" spans="25:25" hidden="1" x14ac:dyDescent="0.25">
      <c r="Y37899" s="501"/>
    </row>
    <row r="37900" spans="25:25" hidden="1" x14ac:dyDescent="0.25">
      <c r="Y37900" s="501"/>
    </row>
    <row r="37901" spans="25:25" hidden="1" x14ac:dyDescent="0.25">
      <c r="Y37901" s="501"/>
    </row>
    <row r="37902" spans="25:25" hidden="1" x14ac:dyDescent="0.25">
      <c r="Y37902" s="501"/>
    </row>
    <row r="37903" spans="25:25" hidden="1" x14ac:dyDescent="0.25">
      <c r="Y37903" s="501"/>
    </row>
    <row r="37904" spans="25:25" hidden="1" x14ac:dyDescent="0.25">
      <c r="Y37904" s="501"/>
    </row>
    <row r="37905" spans="25:25" hidden="1" x14ac:dyDescent="0.25">
      <c r="Y37905" s="501"/>
    </row>
    <row r="37906" spans="25:25" hidden="1" x14ac:dyDescent="0.25">
      <c r="Y37906" s="501"/>
    </row>
    <row r="37907" spans="25:25" hidden="1" x14ac:dyDescent="0.25">
      <c r="Y37907" s="501"/>
    </row>
    <row r="37908" spans="25:25" hidden="1" x14ac:dyDescent="0.25">
      <c r="Y37908" s="501"/>
    </row>
    <row r="37909" spans="25:25" hidden="1" x14ac:dyDescent="0.25">
      <c r="Y37909" s="501"/>
    </row>
    <row r="37910" spans="25:25" hidden="1" x14ac:dyDescent="0.25">
      <c r="Y37910" s="501"/>
    </row>
    <row r="37911" spans="25:25" hidden="1" x14ac:dyDescent="0.25">
      <c r="Y37911" s="501"/>
    </row>
    <row r="37912" spans="25:25" hidden="1" x14ac:dyDescent="0.25">
      <c r="Y37912" s="501"/>
    </row>
    <row r="37913" spans="25:25" hidden="1" x14ac:dyDescent="0.25">
      <c r="Y37913" s="501"/>
    </row>
    <row r="37914" spans="25:25" hidden="1" x14ac:dyDescent="0.25">
      <c r="Y37914" s="501"/>
    </row>
    <row r="37915" spans="25:25" hidden="1" x14ac:dyDescent="0.25">
      <c r="Y37915" s="501"/>
    </row>
    <row r="37916" spans="25:25" hidden="1" x14ac:dyDescent="0.25">
      <c r="Y37916" s="501"/>
    </row>
    <row r="37917" spans="25:25" hidden="1" x14ac:dyDescent="0.25">
      <c r="Y37917" s="501"/>
    </row>
    <row r="37918" spans="25:25" hidden="1" x14ac:dyDescent="0.25">
      <c r="Y37918" s="501"/>
    </row>
    <row r="37919" spans="25:25" hidden="1" x14ac:dyDescent="0.25">
      <c r="Y37919" s="501"/>
    </row>
    <row r="37920" spans="25:25" hidden="1" x14ac:dyDescent="0.25">
      <c r="Y37920" s="501"/>
    </row>
    <row r="37921" spans="25:25" hidden="1" x14ac:dyDescent="0.25">
      <c r="Y37921" s="501"/>
    </row>
    <row r="37922" spans="25:25" hidden="1" x14ac:dyDescent="0.25">
      <c r="Y37922" s="501"/>
    </row>
    <row r="37923" spans="25:25" hidden="1" x14ac:dyDescent="0.25">
      <c r="Y37923" s="501"/>
    </row>
    <row r="37924" spans="25:25" hidden="1" x14ac:dyDescent="0.25">
      <c r="Y37924" s="501"/>
    </row>
    <row r="37925" spans="25:25" hidden="1" x14ac:dyDescent="0.25">
      <c r="Y37925" s="501"/>
    </row>
    <row r="37926" spans="25:25" hidden="1" x14ac:dyDescent="0.25">
      <c r="Y37926" s="501"/>
    </row>
    <row r="37927" spans="25:25" hidden="1" x14ac:dyDescent="0.25">
      <c r="Y37927" s="501"/>
    </row>
    <row r="37928" spans="25:25" hidden="1" x14ac:dyDescent="0.25">
      <c r="Y37928" s="501"/>
    </row>
    <row r="37929" spans="25:25" hidden="1" x14ac:dyDescent="0.25">
      <c r="Y37929" s="501"/>
    </row>
    <row r="37930" spans="25:25" hidden="1" x14ac:dyDescent="0.25">
      <c r="Y37930" s="501"/>
    </row>
    <row r="37931" spans="25:25" hidden="1" x14ac:dyDescent="0.25">
      <c r="Y37931" s="501"/>
    </row>
    <row r="37932" spans="25:25" hidden="1" x14ac:dyDescent="0.25">
      <c r="Y37932" s="501"/>
    </row>
    <row r="37933" spans="25:25" hidden="1" x14ac:dyDescent="0.25">
      <c r="Y37933" s="501"/>
    </row>
    <row r="37934" spans="25:25" hidden="1" x14ac:dyDescent="0.25">
      <c r="Y37934" s="501"/>
    </row>
    <row r="37935" spans="25:25" hidden="1" x14ac:dyDescent="0.25">
      <c r="Y37935" s="501"/>
    </row>
    <row r="37936" spans="25:25" hidden="1" x14ac:dyDescent="0.25">
      <c r="Y37936" s="501"/>
    </row>
    <row r="37937" spans="25:25" hidden="1" x14ac:dyDescent="0.25">
      <c r="Y37937" s="501"/>
    </row>
    <row r="37938" spans="25:25" hidden="1" x14ac:dyDescent="0.25">
      <c r="Y37938" s="501"/>
    </row>
    <row r="37939" spans="25:25" hidden="1" x14ac:dyDescent="0.25">
      <c r="Y37939" s="501"/>
    </row>
    <row r="37940" spans="25:25" hidden="1" x14ac:dyDescent="0.25">
      <c r="Y37940" s="501"/>
    </row>
    <row r="37941" spans="25:25" hidden="1" x14ac:dyDescent="0.25">
      <c r="Y37941" s="501"/>
    </row>
    <row r="37942" spans="25:25" hidden="1" x14ac:dyDescent="0.25">
      <c r="Y37942" s="501"/>
    </row>
    <row r="37943" spans="25:25" hidden="1" x14ac:dyDescent="0.25">
      <c r="Y37943" s="501"/>
    </row>
    <row r="37944" spans="25:25" hidden="1" x14ac:dyDescent="0.25">
      <c r="Y37944" s="501"/>
    </row>
    <row r="37945" spans="25:25" hidden="1" x14ac:dyDescent="0.25">
      <c r="Y37945" s="501"/>
    </row>
    <row r="37946" spans="25:25" hidden="1" x14ac:dyDescent="0.25">
      <c r="Y37946" s="501"/>
    </row>
    <row r="37947" spans="25:25" hidden="1" x14ac:dyDescent="0.25">
      <c r="Y37947" s="501"/>
    </row>
    <row r="37948" spans="25:25" hidden="1" x14ac:dyDescent="0.25">
      <c r="Y37948" s="501"/>
    </row>
    <row r="37949" spans="25:25" hidden="1" x14ac:dyDescent="0.25">
      <c r="Y37949" s="501"/>
    </row>
    <row r="37950" spans="25:25" hidden="1" x14ac:dyDescent="0.25">
      <c r="Y37950" s="501"/>
    </row>
    <row r="37951" spans="25:25" hidden="1" x14ac:dyDescent="0.25">
      <c r="Y37951" s="501"/>
    </row>
    <row r="37952" spans="25:25" hidden="1" x14ac:dyDescent="0.25">
      <c r="Y37952" s="501"/>
    </row>
    <row r="37953" spans="25:25" hidden="1" x14ac:dyDescent="0.25">
      <c r="Y37953" s="501"/>
    </row>
    <row r="37954" spans="25:25" hidden="1" x14ac:dyDescent="0.25">
      <c r="Y37954" s="501"/>
    </row>
    <row r="37955" spans="25:25" hidden="1" x14ac:dyDescent="0.25">
      <c r="Y37955" s="501"/>
    </row>
    <row r="37956" spans="25:25" hidden="1" x14ac:dyDescent="0.25">
      <c r="Y37956" s="501"/>
    </row>
    <row r="37957" spans="25:25" hidden="1" x14ac:dyDescent="0.25">
      <c r="Y37957" s="501"/>
    </row>
    <row r="37958" spans="25:25" hidden="1" x14ac:dyDescent="0.25">
      <c r="Y37958" s="501"/>
    </row>
    <row r="37959" spans="25:25" hidden="1" x14ac:dyDescent="0.25">
      <c r="Y37959" s="501"/>
    </row>
    <row r="37960" spans="25:25" hidden="1" x14ac:dyDescent="0.25">
      <c r="Y37960" s="501"/>
    </row>
    <row r="37961" spans="25:25" hidden="1" x14ac:dyDescent="0.25">
      <c r="Y37961" s="501"/>
    </row>
    <row r="37962" spans="25:25" hidden="1" x14ac:dyDescent="0.25">
      <c r="Y37962" s="501"/>
    </row>
    <row r="37963" spans="25:25" hidden="1" x14ac:dyDescent="0.25">
      <c r="Y37963" s="501"/>
    </row>
    <row r="37964" spans="25:25" hidden="1" x14ac:dyDescent="0.25">
      <c r="Y37964" s="501"/>
    </row>
    <row r="37965" spans="25:25" hidden="1" x14ac:dyDescent="0.25">
      <c r="Y37965" s="501"/>
    </row>
    <row r="37966" spans="25:25" hidden="1" x14ac:dyDescent="0.25">
      <c r="Y37966" s="501"/>
    </row>
    <row r="37967" spans="25:25" hidden="1" x14ac:dyDescent="0.25">
      <c r="Y37967" s="501"/>
    </row>
    <row r="37968" spans="25:25" hidden="1" x14ac:dyDescent="0.25">
      <c r="Y37968" s="501"/>
    </row>
    <row r="37969" spans="25:25" hidden="1" x14ac:dyDescent="0.25">
      <c r="Y37969" s="501"/>
    </row>
    <row r="37970" spans="25:25" hidden="1" x14ac:dyDescent="0.25">
      <c r="Y37970" s="501"/>
    </row>
    <row r="37971" spans="25:25" hidden="1" x14ac:dyDescent="0.25">
      <c r="Y37971" s="501"/>
    </row>
    <row r="37972" spans="25:25" hidden="1" x14ac:dyDescent="0.25">
      <c r="Y37972" s="501"/>
    </row>
    <row r="37973" spans="25:25" hidden="1" x14ac:dyDescent="0.25">
      <c r="Y37973" s="501"/>
    </row>
    <row r="37974" spans="25:25" hidden="1" x14ac:dyDescent="0.25">
      <c r="Y37974" s="501"/>
    </row>
    <row r="37975" spans="25:25" hidden="1" x14ac:dyDescent="0.25">
      <c r="Y37975" s="501"/>
    </row>
    <row r="37976" spans="25:25" hidden="1" x14ac:dyDescent="0.25">
      <c r="Y37976" s="501"/>
    </row>
    <row r="37977" spans="25:25" hidden="1" x14ac:dyDescent="0.25">
      <c r="Y37977" s="501"/>
    </row>
    <row r="37978" spans="25:25" hidden="1" x14ac:dyDescent="0.25">
      <c r="Y37978" s="501"/>
    </row>
    <row r="37979" spans="25:25" hidden="1" x14ac:dyDescent="0.25">
      <c r="Y37979" s="501"/>
    </row>
    <row r="37980" spans="25:25" hidden="1" x14ac:dyDescent="0.25">
      <c r="Y37980" s="501"/>
    </row>
    <row r="37981" spans="25:25" hidden="1" x14ac:dyDescent="0.25">
      <c r="Y37981" s="501"/>
    </row>
    <row r="37982" spans="25:25" hidden="1" x14ac:dyDescent="0.25">
      <c r="Y37982" s="501"/>
    </row>
    <row r="37983" spans="25:25" hidden="1" x14ac:dyDescent="0.25">
      <c r="Y37983" s="501"/>
    </row>
    <row r="37984" spans="25:25" hidden="1" x14ac:dyDescent="0.25">
      <c r="Y37984" s="501"/>
    </row>
    <row r="37985" spans="25:25" hidden="1" x14ac:dyDescent="0.25">
      <c r="Y37985" s="501"/>
    </row>
    <row r="37986" spans="25:25" hidden="1" x14ac:dyDescent="0.25">
      <c r="Y37986" s="501"/>
    </row>
    <row r="37987" spans="25:25" hidden="1" x14ac:dyDescent="0.25">
      <c r="Y37987" s="501"/>
    </row>
    <row r="37988" spans="25:25" hidden="1" x14ac:dyDescent="0.25">
      <c r="Y37988" s="501"/>
    </row>
    <row r="37989" spans="25:25" hidden="1" x14ac:dyDescent="0.25">
      <c r="Y37989" s="501"/>
    </row>
    <row r="37990" spans="25:25" hidden="1" x14ac:dyDescent="0.25">
      <c r="Y37990" s="501"/>
    </row>
    <row r="37991" spans="25:25" hidden="1" x14ac:dyDescent="0.25">
      <c r="Y37991" s="501"/>
    </row>
    <row r="37992" spans="25:25" hidden="1" x14ac:dyDescent="0.25">
      <c r="Y37992" s="501"/>
    </row>
    <row r="37993" spans="25:25" hidden="1" x14ac:dyDescent="0.25">
      <c r="Y37993" s="501"/>
    </row>
    <row r="37994" spans="25:25" hidden="1" x14ac:dyDescent="0.25">
      <c r="Y37994" s="501"/>
    </row>
    <row r="37995" spans="25:25" hidden="1" x14ac:dyDescent="0.25">
      <c r="Y37995" s="501"/>
    </row>
    <row r="37996" spans="25:25" hidden="1" x14ac:dyDescent="0.25">
      <c r="Y37996" s="501"/>
    </row>
    <row r="37997" spans="25:25" hidden="1" x14ac:dyDescent="0.25">
      <c r="Y37997" s="501"/>
    </row>
    <row r="37998" spans="25:25" hidden="1" x14ac:dyDescent="0.25">
      <c r="Y37998" s="501"/>
    </row>
    <row r="37999" spans="25:25" hidden="1" x14ac:dyDescent="0.25">
      <c r="Y37999" s="501"/>
    </row>
    <row r="38000" spans="25:25" hidden="1" x14ac:dyDescent="0.25">
      <c r="Y38000" s="501"/>
    </row>
    <row r="38001" spans="25:25" hidden="1" x14ac:dyDescent="0.25">
      <c r="Y38001" s="501"/>
    </row>
    <row r="38002" spans="25:25" hidden="1" x14ac:dyDescent="0.25">
      <c r="Y38002" s="501"/>
    </row>
    <row r="38003" spans="25:25" hidden="1" x14ac:dyDescent="0.25">
      <c r="Y38003" s="501"/>
    </row>
    <row r="38004" spans="25:25" hidden="1" x14ac:dyDescent="0.25">
      <c r="Y38004" s="501"/>
    </row>
    <row r="38005" spans="25:25" hidden="1" x14ac:dyDescent="0.25">
      <c r="Y38005" s="501"/>
    </row>
    <row r="38006" spans="25:25" hidden="1" x14ac:dyDescent="0.25">
      <c r="Y38006" s="501"/>
    </row>
    <row r="38007" spans="25:25" hidden="1" x14ac:dyDescent="0.25">
      <c r="Y38007" s="501"/>
    </row>
    <row r="38008" spans="25:25" hidden="1" x14ac:dyDescent="0.25">
      <c r="Y38008" s="501"/>
    </row>
    <row r="38009" spans="25:25" hidden="1" x14ac:dyDescent="0.25">
      <c r="Y38009" s="501"/>
    </row>
    <row r="38010" spans="25:25" hidden="1" x14ac:dyDescent="0.25">
      <c r="Y38010" s="501"/>
    </row>
    <row r="38011" spans="25:25" hidden="1" x14ac:dyDescent="0.25">
      <c r="Y38011" s="501"/>
    </row>
    <row r="38012" spans="25:25" hidden="1" x14ac:dyDescent="0.25">
      <c r="Y38012" s="501"/>
    </row>
    <row r="38013" spans="25:25" hidden="1" x14ac:dyDescent="0.25">
      <c r="Y38013" s="501"/>
    </row>
    <row r="38014" spans="25:25" hidden="1" x14ac:dyDescent="0.25">
      <c r="Y38014" s="501"/>
    </row>
    <row r="38015" spans="25:25" hidden="1" x14ac:dyDescent="0.25">
      <c r="Y38015" s="501"/>
    </row>
    <row r="38016" spans="25:25" hidden="1" x14ac:dyDescent="0.25">
      <c r="Y38016" s="501"/>
    </row>
    <row r="38017" spans="25:25" hidden="1" x14ac:dyDescent="0.25">
      <c r="Y38017" s="501"/>
    </row>
    <row r="38018" spans="25:25" hidden="1" x14ac:dyDescent="0.25">
      <c r="Y38018" s="501"/>
    </row>
    <row r="38019" spans="25:25" hidden="1" x14ac:dyDescent="0.25">
      <c r="Y38019" s="501"/>
    </row>
    <row r="38020" spans="25:25" hidden="1" x14ac:dyDescent="0.25">
      <c r="Y38020" s="501"/>
    </row>
    <row r="38021" spans="25:25" hidden="1" x14ac:dyDescent="0.25">
      <c r="Y38021" s="501"/>
    </row>
    <row r="38022" spans="25:25" hidden="1" x14ac:dyDescent="0.25">
      <c r="Y38022" s="501"/>
    </row>
    <row r="38023" spans="25:25" hidden="1" x14ac:dyDescent="0.25">
      <c r="Y38023" s="501"/>
    </row>
    <row r="38024" spans="25:25" hidden="1" x14ac:dyDescent="0.25">
      <c r="Y38024" s="501"/>
    </row>
    <row r="38025" spans="25:25" hidden="1" x14ac:dyDescent="0.25">
      <c r="Y38025" s="501"/>
    </row>
    <row r="38026" spans="25:25" hidden="1" x14ac:dyDescent="0.25">
      <c r="Y38026" s="501"/>
    </row>
    <row r="38027" spans="25:25" hidden="1" x14ac:dyDescent="0.25">
      <c r="Y38027" s="501"/>
    </row>
    <row r="38028" spans="25:25" hidden="1" x14ac:dyDescent="0.25">
      <c r="Y38028" s="501"/>
    </row>
    <row r="38029" spans="25:25" hidden="1" x14ac:dyDescent="0.25">
      <c r="Y38029" s="501"/>
    </row>
    <row r="38030" spans="25:25" hidden="1" x14ac:dyDescent="0.25">
      <c r="Y38030" s="501"/>
    </row>
    <row r="38031" spans="25:25" hidden="1" x14ac:dyDescent="0.25">
      <c r="Y38031" s="501"/>
    </row>
    <row r="38032" spans="25:25" hidden="1" x14ac:dyDescent="0.25">
      <c r="Y38032" s="501"/>
    </row>
    <row r="38033" spans="25:25" hidden="1" x14ac:dyDescent="0.25">
      <c r="Y38033" s="501"/>
    </row>
    <row r="38034" spans="25:25" hidden="1" x14ac:dyDescent="0.25">
      <c r="Y38034" s="501"/>
    </row>
    <row r="38035" spans="25:25" hidden="1" x14ac:dyDescent="0.25">
      <c r="Y38035" s="501"/>
    </row>
    <row r="38036" spans="25:25" hidden="1" x14ac:dyDescent="0.25">
      <c r="Y38036" s="501"/>
    </row>
    <row r="38037" spans="25:25" hidden="1" x14ac:dyDescent="0.25">
      <c r="Y38037" s="501"/>
    </row>
    <row r="38038" spans="25:25" hidden="1" x14ac:dyDescent="0.25">
      <c r="Y38038" s="501"/>
    </row>
    <row r="38039" spans="25:25" hidden="1" x14ac:dyDescent="0.25">
      <c r="Y38039" s="501"/>
    </row>
    <row r="38040" spans="25:25" hidden="1" x14ac:dyDescent="0.25">
      <c r="Y38040" s="501"/>
    </row>
    <row r="38041" spans="25:25" hidden="1" x14ac:dyDescent="0.25">
      <c r="Y38041" s="501"/>
    </row>
    <row r="38042" spans="25:25" hidden="1" x14ac:dyDescent="0.25">
      <c r="Y38042" s="501"/>
    </row>
    <row r="38043" spans="25:25" hidden="1" x14ac:dyDescent="0.25">
      <c r="Y38043" s="501"/>
    </row>
    <row r="38044" spans="25:25" hidden="1" x14ac:dyDescent="0.25">
      <c r="Y38044" s="501"/>
    </row>
    <row r="38045" spans="25:25" hidden="1" x14ac:dyDescent="0.25">
      <c r="Y38045" s="501"/>
    </row>
    <row r="38046" spans="25:25" hidden="1" x14ac:dyDescent="0.25">
      <c r="Y38046" s="501"/>
    </row>
    <row r="38047" spans="25:25" hidden="1" x14ac:dyDescent="0.25">
      <c r="Y38047" s="501"/>
    </row>
    <row r="38048" spans="25:25" hidden="1" x14ac:dyDescent="0.25">
      <c r="Y38048" s="501"/>
    </row>
    <row r="38049" spans="25:25" hidden="1" x14ac:dyDescent="0.25">
      <c r="Y38049" s="501"/>
    </row>
    <row r="38050" spans="25:25" hidden="1" x14ac:dyDescent="0.25">
      <c r="Y38050" s="501"/>
    </row>
    <row r="38051" spans="25:25" hidden="1" x14ac:dyDescent="0.25">
      <c r="Y38051" s="501"/>
    </row>
    <row r="38052" spans="25:25" hidden="1" x14ac:dyDescent="0.25">
      <c r="Y38052" s="501"/>
    </row>
    <row r="38053" spans="25:25" hidden="1" x14ac:dyDescent="0.25">
      <c r="Y38053" s="501"/>
    </row>
    <row r="38054" spans="25:25" hidden="1" x14ac:dyDescent="0.25">
      <c r="Y38054" s="501"/>
    </row>
    <row r="38055" spans="25:25" hidden="1" x14ac:dyDescent="0.25">
      <c r="Y38055" s="501"/>
    </row>
    <row r="38056" spans="25:25" hidden="1" x14ac:dyDescent="0.25">
      <c r="Y38056" s="501"/>
    </row>
    <row r="38057" spans="25:25" hidden="1" x14ac:dyDescent="0.25">
      <c r="Y38057" s="501"/>
    </row>
    <row r="38058" spans="25:25" hidden="1" x14ac:dyDescent="0.25">
      <c r="Y38058" s="501"/>
    </row>
    <row r="38059" spans="25:25" hidden="1" x14ac:dyDescent="0.25">
      <c r="Y38059" s="501"/>
    </row>
    <row r="38060" spans="25:25" hidden="1" x14ac:dyDescent="0.25">
      <c r="Y38060" s="501"/>
    </row>
    <row r="38061" spans="25:25" hidden="1" x14ac:dyDescent="0.25">
      <c r="Y38061" s="501"/>
    </row>
    <row r="38062" spans="25:25" hidden="1" x14ac:dyDescent="0.25">
      <c r="Y38062" s="501"/>
    </row>
    <row r="38063" spans="25:25" hidden="1" x14ac:dyDescent="0.25">
      <c r="Y38063" s="501"/>
    </row>
    <row r="38064" spans="25:25" hidden="1" x14ac:dyDescent="0.25">
      <c r="Y38064" s="501"/>
    </row>
    <row r="38065" spans="25:25" hidden="1" x14ac:dyDescent="0.25">
      <c r="Y38065" s="501"/>
    </row>
    <row r="38066" spans="25:25" hidden="1" x14ac:dyDescent="0.25">
      <c r="Y38066" s="501"/>
    </row>
    <row r="38067" spans="25:25" hidden="1" x14ac:dyDescent="0.25">
      <c r="Y38067" s="501"/>
    </row>
    <row r="38068" spans="25:25" hidden="1" x14ac:dyDescent="0.25">
      <c r="Y38068" s="501"/>
    </row>
    <row r="38069" spans="25:25" hidden="1" x14ac:dyDescent="0.25">
      <c r="Y38069" s="501"/>
    </row>
    <row r="38070" spans="25:25" hidden="1" x14ac:dyDescent="0.25">
      <c r="Y38070" s="501"/>
    </row>
    <row r="38071" spans="25:25" hidden="1" x14ac:dyDescent="0.25">
      <c r="Y38071" s="501"/>
    </row>
    <row r="38072" spans="25:25" hidden="1" x14ac:dyDescent="0.25">
      <c r="Y38072" s="501"/>
    </row>
    <row r="38073" spans="25:25" hidden="1" x14ac:dyDescent="0.25">
      <c r="Y38073" s="501"/>
    </row>
    <row r="38074" spans="25:25" hidden="1" x14ac:dyDescent="0.25">
      <c r="Y38074" s="501"/>
    </row>
    <row r="38075" spans="25:25" hidden="1" x14ac:dyDescent="0.25">
      <c r="Y38075" s="501"/>
    </row>
    <row r="38076" spans="25:25" hidden="1" x14ac:dyDescent="0.25">
      <c r="Y38076" s="501"/>
    </row>
    <row r="38077" spans="25:25" hidden="1" x14ac:dyDescent="0.25">
      <c r="Y38077" s="501"/>
    </row>
    <row r="38078" spans="25:25" hidden="1" x14ac:dyDescent="0.25">
      <c r="Y38078" s="501"/>
    </row>
    <row r="38079" spans="25:25" hidden="1" x14ac:dyDescent="0.25">
      <c r="Y38079" s="501"/>
    </row>
    <row r="38080" spans="25:25" hidden="1" x14ac:dyDescent="0.25">
      <c r="Y38080" s="501"/>
    </row>
    <row r="38081" spans="25:25" hidden="1" x14ac:dyDescent="0.25">
      <c r="Y38081" s="501"/>
    </row>
    <row r="38082" spans="25:25" hidden="1" x14ac:dyDescent="0.25">
      <c r="Y38082" s="501"/>
    </row>
    <row r="38083" spans="25:25" hidden="1" x14ac:dyDescent="0.25">
      <c r="Y38083" s="501"/>
    </row>
    <row r="38084" spans="25:25" hidden="1" x14ac:dyDescent="0.25">
      <c r="Y38084" s="501"/>
    </row>
    <row r="38085" spans="25:25" hidden="1" x14ac:dyDescent="0.25">
      <c r="Y38085" s="501"/>
    </row>
    <row r="38086" spans="25:25" hidden="1" x14ac:dyDescent="0.25">
      <c r="Y38086" s="501"/>
    </row>
    <row r="38087" spans="25:25" hidden="1" x14ac:dyDescent="0.25">
      <c r="Y38087" s="501"/>
    </row>
    <row r="38088" spans="25:25" hidden="1" x14ac:dyDescent="0.25">
      <c r="Y38088" s="501"/>
    </row>
    <row r="38089" spans="25:25" hidden="1" x14ac:dyDescent="0.25">
      <c r="Y38089" s="501"/>
    </row>
    <row r="38090" spans="25:25" hidden="1" x14ac:dyDescent="0.25">
      <c r="Y38090" s="501"/>
    </row>
    <row r="38091" spans="25:25" hidden="1" x14ac:dyDescent="0.25">
      <c r="Y38091" s="501"/>
    </row>
    <row r="38092" spans="25:25" hidden="1" x14ac:dyDescent="0.25">
      <c r="Y38092" s="501"/>
    </row>
    <row r="38093" spans="25:25" hidden="1" x14ac:dyDescent="0.25">
      <c r="Y38093" s="501"/>
    </row>
    <row r="38094" spans="25:25" hidden="1" x14ac:dyDescent="0.25">
      <c r="Y38094" s="501"/>
    </row>
    <row r="38095" spans="25:25" hidden="1" x14ac:dyDescent="0.25">
      <c r="Y38095" s="501"/>
    </row>
    <row r="38096" spans="25:25" hidden="1" x14ac:dyDescent="0.25">
      <c r="Y38096" s="501"/>
    </row>
    <row r="38097" spans="25:25" hidden="1" x14ac:dyDescent="0.25">
      <c r="Y38097" s="501"/>
    </row>
    <row r="38098" spans="25:25" hidden="1" x14ac:dyDescent="0.25">
      <c r="Y38098" s="501"/>
    </row>
    <row r="38099" spans="25:25" hidden="1" x14ac:dyDescent="0.25">
      <c r="Y38099" s="501"/>
    </row>
    <row r="38100" spans="25:25" hidden="1" x14ac:dyDescent="0.25">
      <c r="Y38100" s="501"/>
    </row>
    <row r="38101" spans="25:25" hidden="1" x14ac:dyDescent="0.25">
      <c r="Y38101" s="501"/>
    </row>
    <row r="38102" spans="25:25" hidden="1" x14ac:dyDescent="0.25">
      <c r="Y38102" s="501"/>
    </row>
    <row r="38103" spans="25:25" hidden="1" x14ac:dyDescent="0.25">
      <c r="Y38103" s="501"/>
    </row>
    <row r="38104" spans="25:25" hidden="1" x14ac:dyDescent="0.25">
      <c r="Y38104" s="501"/>
    </row>
    <row r="38105" spans="25:25" hidden="1" x14ac:dyDescent="0.25">
      <c r="Y38105" s="501"/>
    </row>
    <row r="38106" spans="25:25" hidden="1" x14ac:dyDescent="0.25">
      <c r="Y38106" s="501"/>
    </row>
    <row r="38107" spans="25:25" hidden="1" x14ac:dyDescent="0.25">
      <c r="Y38107" s="501"/>
    </row>
    <row r="38108" spans="25:25" hidden="1" x14ac:dyDescent="0.25">
      <c r="Y38108" s="501"/>
    </row>
    <row r="38109" spans="25:25" hidden="1" x14ac:dyDescent="0.25">
      <c r="Y38109" s="501"/>
    </row>
    <row r="38110" spans="25:25" hidden="1" x14ac:dyDescent="0.25">
      <c r="Y38110" s="501"/>
    </row>
    <row r="38111" spans="25:25" hidden="1" x14ac:dyDescent="0.25">
      <c r="Y38111" s="501"/>
    </row>
    <row r="38112" spans="25:25" hidden="1" x14ac:dyDescent="0.25">
      <c r="Y38112" s="501"/>
    </row>
    <row r="38113" spans="25:25" hidden="1" x14ac:dyDescent="0.25">
      <c r="Y38113" s="501"/>
    </row>
    <row r="38114" spans="25:25" hidden="1" x14ac:dyDescent="0.25">
      <c r="Y38114" s="501"/>
    </row>
    <row r="38115" spans="25:25" hidden="1" x14ac:dyDescent="0.25">
      <c r="Y38115" s="501"/>
    </row>
    <row r="38116" spans="25:25" hidden="1" x14ac:dyDescent="0.25">
      <c r="Y38116" s="501"/>
    </row>
    <row r="38117" spans="25:25" hidden="1" x14ac:dyDescent="0.25">
      <c r="Y38117" s="501"/>
    </row>
    <row r="38118" spans="25:25" hidden="1" x14ac:dyDescent="0.25">
      <c r="Y38118" s="501"/>
    </row>
    <row r="38119" spans="25:25" hidden="1" x14ac:dyDescent="0.25">
      <c r="Y38119" s="501"/>
    </row>
    <row r="38120" spans="25:25" hidden="1" x14ac:dyDescent="0.25">
      <c r="Y38120" s="501"/>
    </row>
    <row r="38121" spans="25:25" hidden="1" x14ac:dyDescent="0.25">
      <c r="Y38121" s="501"/>
    </row>
    <row r="38122" spans="25:25" hidden="1" x14ac:dyDescent="0.25">
      <c r="Y38122" s="501"/>
    </row>
    <row r="38123" spans="25:25" hidden="1" x14ac:dyDescent="0.25">
      <c r="Y38123" s="501"/>
    </row>
    <row r="38124" spans="25:25" hidden="1" x14ac:dyDescent="0.25">
      <c r="Y38124" s="501"/>
    </row>
    <row r="38125" spans="25:25" hidden="1" x14ac:dyDescent="0.25">
      <c r="Y38125" s="501"/>
    </row>
    <row r="38126" spans="25:25" hidden="1" x14ac:dyDescent="0.25">
      <c r="Y38126" s="501"/>
    </row>
    <row r="38127" spans="25:25" hidden="1" x14ac:dyDescent="0.25">
      <c r="Y38127" s="501"/>
    </row>
    <row r="38128" spans="25:25" hidden="1" x14ac:dyDescent="0.25">
      <c r="Y38128" s="501"/>
    </row>
    <row r="38129" spans="25:25" hidden="1" x14ac:dyDescent="0.25">
      <c r="Y38129" s="501"/>
    </row>
    <row r="38130" spans="25:25" hidden="1" x14ac:dyDescent="0.25">
      <c r="Y38130" s="501"/>
    </row>
    <row r="38131" spans="25:25" hidden="1" x14ac:dyDescent="0.25">
      <c r="Y38131" s="501"/>
    </row>
    <row r="38132" spans="25:25" hidden="1" x14ac:dyDescent="0.25">
      <c r="Y38132" s="501"/>
    </row>
    <row r="38133" spans="25:25" hidden="1" x14ac:dyDescent="0.25">
      <c r="Y38133" s="501"/>
    </row>
    <row r="38134" spans="25:25" hidden="1" x14ac:dyDescent="0.25">
      <c r="Y38134" s="501"/>
    </row>
    <row r="38135" spans="25:25" hidden="1" x14ac:dyDescent="0.25">
      <c r="Y38135" s="501"/>
    </row>
    <row r="38136" spans="25:25" hidden="1" x14ac:dyDescent="0.25">
      <c r="Y38136" s="501"/>
    </row>
    <row r="38137" spans="25:25" hidden="1" x14ac:dyDescent="0.25">
      <c r="Y38137" s="501"/>
    </row>
    <row r="38138" spans="25:25" hidden="1" x14ac:dyDescent="0.25">
      <c r="Y38138" s="501"/>
    </row>
    <row r="38139" spans="25:25" hidden="1" x14ac:dyDescent="0.25">
      <c r="Y38139" s="501"/>
    </row>
    <row r="38140" spans="25:25" hidden="1" x14ac:dyDescent="0.25">
      <c r="Y38140" s="501"/>
    </row>
    <row r="38141" spans="25:25" hidden="1" x14ac:dyDescent="0.25">
      <c r="Y38141" s="501"/>
    </row>
    <row r="38142" spans="25:25" hidden="1" x14ac:dyDescent="0.25">
      <c r="Y38142" s="501"/>
    </row>
    <row r="38143" spans="25:25" hidden="1" x14ac:dyDescent="0.25">
      <c r="Y38143" s="501"/>
    </row>
    <row r="38144" spans="25:25" hidden="1" x14ac:dyDescent="0.25">
      <c r="Y38144" s="501"/>
    </row>
    <row r="38145" spans="25:25" hidden="1" x14ac:dyDescent="0.25">
      <c r="Y38145" s="501"/>
    </row>
    <row r="38146" spans="25:25" hidden="1" x14ac:dyDescent="0.25">
      <c r="Y38146" s="501"/>
    </row>
    <row r="38147" spans="25:25" hidden="1" x14ac:dyDescent="0.25">
      <c r="Y38147" s="501"/>
    </row>
    <row r="38148" spans="25:25" hidden="1" x14ac:dyDescent="0.25">
      <c r="Y38148" s="501"/>
    </row>
    <row r="38149" spans="25:25" hidden="1" x14ac:dyDescent="0.25">
      <c r="Y38149" s="501"/>
    </row>
    <row r="38150" spans="25:25" hidden="1" x14ac:dyDescent="0.25">
      <c r="Y38150" s="501"/>
    </row>
    <row r="38151" spans="25:25" hidden="1" x14ac:dyDescent="0.25">
      <c r="Y38151" s="501"/>
    </row>
    <row r="38152" spans="25:25" hidden="1" x14ac:dyDescent="0.25">
      <c r="Y38152" s="501"/>
    </row>
    <row r="38153" spans="25:25" hidden="1" x14ac:dyDescent="0.25">
      <c r="Y38153" s="501"/>
    </row>
    <row r="38154" spans="25:25" hidden="1" x14ac:dyDescent="0.25">
      <c r="Y38154" s="501"/>
    </row>
    <row r="38155" spans="25:25" hidden="1" x14ac:dyDescent="0.25">
      <c r="Y38155" s="501"/>
    </row>
    <row r="38156" spans="25:25" hidden="1" x14ac:dyDescent="0.25">
      <c r="Y38156" s="501"/>
    </row>
    <row r="38157" spans="25:25" hidden="1" x14ac:dyDescent="0.25">
      <c r="Y38157" s="501"/>
    </row>
    <row r="38158" spans="25:25" hidden="1" x14ac:dyDescent="0.25">
      <c r="Y38158" s="501"/>
    </row>
    <row r="38159" spans="25:25" hidden="1" x14ac:dyDescent="0.25">
      <c r="Y38159" s="501"/>
    </row>
    <row r="38160" spans="25:25" hidden="1" x14ac:dyDescent="0.25">
      <c r="Y38160" s="501"/>
    </row>
    <row r="38161" spans="25:25" hidden="1" x14ac:dyDescent="0.25">
      <c r="Y38161" s="501"/>
    </row>
    <row r="38162" spans="25:25" hidden="1" x14ac:dyDescent="0.25">
      <c r="Y38162" s="501"/>
    </row>
    <row r="38163" spans="25:25" hidden="1" x14ac:dyDescent="0.25">
      <c r="Y38163" s="501"/>
    </row>
    <row r="38164" spans="25:25" hidden="1" x14ac:dyDescent="0.25">
      <c r="Y38164" s="501"/>
    </row>
    <row r="38165" spans="25:25" hidden="1" x14ac:dyDescent="0.25">
      <c r="Y38165" s="501"/>
    </row>
    <row r="38166" spans="25:25" hidden="1" x14ac:dyDescent="0.25">
      <c r="Y38166" s="501"/>
    </row>
    <row r="38167" spans="25:25" hidden="1" x14ac:dyDescent="0.25">
      <c r="Y38167" s="501"/>
    </row>
    <row r="38168" spans="25:25" hidden="1" x14ac:dyDescent="0.25">
      <c r="Y38168" s="501"/>
    </row>
    <row r="38169" spans="25:25" hidden="1" x14ac:dyDescent="0.25">
      <c r="Y38169" s="501"/>
    </row>
    <row r="38170" spans="25:25" hidden="1" x14ac:dyDescent="0.25">
      <c r="Y38170" s="501"/>
    </row>
    <row r="38171" spans="25:25" hidden="1" x14ac:dyDescent="0.25">
      <c r="Y38171" s="501"/>
    </row>
    <row r="38172" spans="25:25" hidden="1" x14ac:dyDescent="0.25">
      <c r="Y38172" s="501"/>
    </row>
    <row r="38173" spans="25:25" hidden="1" x14ac:dyDescent="0.25">
      <c r="Y38173" s="501"/>
    </row>
    <row r="38174" spans="25:25" hidden="1" x14ac:dyDescent="0.25">
      <c r="Y38174" s="501"/>
    </row>
    <row r="38175" spans="25:25" hidden="1" x14ac:dyDescent="0.25">
      <c r="Y38175" s="501"/>
    </row>
    <row r="38176" spans="25:25" hidden="1" x14ac:dyDescent="0.25">
      <c r="Y38176" s="501"/>
    </row>
    <row r="38177" spans="25:25" hidden="1" x14ac:dyDescent="0.25">
      <c r="Y38177" s="501"/>
    </row>
    <row r="38178" spans="25:25" hidden="1" x14ac:dyDescent="0.25">
      <c r="Y38178" s="501"/>
    </row>
    <row r="38179" spans="25:25" hidden="1" x14ac:dyDescent="0.25">
      <c r="Y38179" s="501"/>
    </row>
    <row r="38180" spans="25:25" hidden="1" x14ac:dyDescent="0.25">
      <c r="Y38180" s="501"/>
    </row>
    <row r="38181" spans="25:25" hidden="1" x14ac:dyDescent="0.25">
      <c r="Y38181" s="501"/>
    </row>
    <row r="38182" spans="25:25" hidden="1" x14ac:dyDescent="0.25">
      <c r="Y38182" s="501"/>
    </row>
    <row r="38183" spans="25:25" hidden="1" x14ac:dyDescent="0.25">
      <c r="Y38183" s="501"/>
    </row>
    <row r="38184" spans="25:25" hidden="1" x14ac:dyDescent="0.25">
      <c r="Y38184" s="501"/>
    </row>
    <row r="38185" spans="25:25" hidden="1" x14ac:dyDescent="0.25">
      <c r="Y38185" s="501"/>
    </row>
    <row r="38186" spans="25:25" hidden="1" x14ac:dyDescent="0.25">
      <c r="Y38186" s="501"/>
    </row>
    <row r="38187" spans="25:25" hidden="1" x14ac:dyDescent="0.25">
      <c r="Y38187" s="501"/>
    </row>
    <row r="38188" spans="25:25" hidden="1" x14ac:dyDescent="0.25">
      <c r="Y38188" s="501"/>
    </row>
    <row r="38189" spans="25:25" hidden="1" x14ac:dyDescent="0.25">
      <c r="Y38189" s="501"/>
    </row>
    <row r="38190" spans="25:25" hidden="1" x14ac:dyDescent="0.25">
      <c r="Y38190" s="501"/>
    </row>
    <row r="38191" spans="25:25" hidden="1" x14ac:dyDescent="0.25">
      <c r="Y38191" s="501"/>
    </row>
    <row r="38192" spans="25:25" hidden="1" x14ac:dyDescent="0.25">
      <c r="Y38192" s="501"/>
    </row>
    <row r="38193" spans="25:25" hidden="1" x14ac:dyDescent="0.25">
      <c r="Y38193" s="501"/>
    </row>
    <row r="38194" spans="25:25" hidden="1" x14ac:dyDescent="0.25">
      <c r="Y38194" s="501"/>
    </row>
    <row r="38195" spans="25:25" hidden="1" x14ac:dyDescent="0.25">
      <c r="Y38195" s="501"/>
    </row>
    <row r="38196" spans="25:25" hidden="1" x14ac:dyDescent="0.25">
      <c r="Y38196" s="501"/>
    </row>
    <row r="38197" spans="25:25" hidden="1" x14ac:dyDescent="0.25">
      <c r="Y38197" s="501"/>
    </row>
    <row r="38198" spans="25:25" hidden="1" x14ac:dyDescent="0.25">
      <c r="Y38198" s="501"/>
    </row>
    <row r="38199" spans="25:25" hidden="1" x14ac:dyDescent="0.25">
      <c r="Y38199" s="501"/>
    </row>
    <row r="38200" spans="25:25" hidden="1" x14ac:dyDescent="0.25">
      <c r="Y38200" s="501"/>
    </row>
    <row r="38201" spans="25:25" hidden="1" x14ac:dyDescent="0.25">
      <c r="Y38201" s="501"/>
    </row>
    <row r="38202" spans="25:25" hidden="1" x14ac:dyDescent="0.25">
      <c r="Y38202" s="501"/>
    </row>
    <row r="38203" spans="25:25" hidden="1" x14ac:dyDescent="0.25">
      <c r="Y38203" s="501"/>
    </row>
    <row r="38204" spans="25:25" hidden="1" x14ac:dyDescent="0.25">
      <c r="Y38204" s="501"/>
    </row>
    <row r="38205" spans="25:25" hidden="1" x14ac:dyDescent="0.25">
      <c r="Y38205" s="501"/>
    </row>
    <row r="38206" spans="25:25" hidden="1" x14ac:dyDescent="0.25">
      <c r="Y38206" s="501"/>
    </row>
    <row r="38207" spans="25:25" hidden="1" x14ac:dyDescent="0.25">
      <c r="Y38207" s="501"/>
    </row>
    <row r="38208" spans="25:25" hidden="1" x14ac:dyDescent="0.25">
      <c r="Y38208" s="501"/>
    </row>
    <row r="38209" spans="25:25" hidden="1" x14ac:dyDescent="0.25">
      <c r="Y38209" s="501"/>
    </row>
    <row r="38210" spans="25:25" hidden="1" x14ac:dyDescent="0.25">
      <c r="Y38210" s="501"/>
    </row>
    <row r="38211" spans="25:25" hidden="1" x14ac:dyDescent="0.25">
      <c r="Y38211" s="501"/>
    </row>
    <row r="38212" spans="25:25" hidden="1" x14ac:dyDescent="0.25">
      <c r="Y38212" s="501"/>
    </row>
    <row r="38213" spans="25:25" hidden="1" x14ac:dyDescent="0.25">
      <c r="Y38213" s="501"/>
    </row>
    <row r="38214" spans="25:25" hidden="1" x14ac:dyDescent="0.25">
      <c r="Y38214" s="501"/>
    </row>
    <row r="38215" spans="25:25" hidden="1" x14ac:dyDescent="0.25">
      <c r="Y38215" s="501"/>
    </row>
    <row r="38216" spans="25:25" hidden="1" x14ac:dyDescent="0.25">
      <c r="Y38216" s="501"/>
    </row>
    <row r="38217" spans="25:25" hidden="1" x14ac:dyDescent="0.25">
      <c r="Y38217" s="501"/>
    </row>
    <row r="38218" spans="25:25" hidden="1" x14ac:dyDescent="0.25">
      <c r="Y38218" s="501"/>
    </row>
    <row r="38219" spans="25:25" hidden="1" x14ac:dyDescent="0.25">
      <c r="Y38219" s="501"/>
    </row>
    <row r="38220" spans="25:25" hidden="1" x14ac:dyDescent="0.25">
      <c r="Y38220" s="501"/>
    </row>
    <row r="38221" spans="25:25" hidden="1" x14ac:dyDescent="0.25">
      <c r="Y38221" s="501"/>
    </row>
    <row r="38222" spans="25:25" hidden="1" x14ac:dyDescent="0.25">
      <c r="Y38222" s="501"/>
    </row>
    <row r="38223" spans="25:25" hidden="1" x14ac:dyDescent="0.25">
      <c r="Y38223" s="501"/>
    </row>
    <row r="38224" spans="25:25" hidden="1" x14ac:dyDescent="0.25">
      <c r="Y38224" s="501"/>
    </row>
    <row r="38225" spans="25:25" hidden="1" x14ac:dyDescent="0.25">
      <c r="Y38225" s="501"/>
    </row>
    <row r="38226" spans="25:25" hidden="1" x14ac:dyDescent="0.25">
      <c r="Y38226" s="501"/>
    </row>
    <row r="38227" spans="25:25" hidden="1" x14ac:dyDescent="0.25">
      <c r="Y38227" s="501"/>
    </row>
    <row r="38228" spans="25:25" hidden="1" x14ac:dyDescent="0.25">
      <c r="Y38228" s="501"/>
    </row>
    <row r="38229" spans="25:25" hidden="1" x14ac:dyDescent="0.25">
      <c r="Y38229" s="501"/>
    </row>
    <row r="38230" spans="25:25" hidden="1" x14ac:dyDescent="0.25">
      <c r="Y38230" s="501"/>
    </row>
    <row r="38231" spans="25:25" hidden="1" x14ac:dyDescent="0.25">
      <c r="Y38231" s="501"/>
    </row>
    <row r="38232" spans="25:25" hidden="1" x14ac:dyDescent="0.25">
      <c r="Y38232" s="501"/>
    </row>
    <row r="38233" spans="25:25" hidden="1" x14ac:dyDescent="0.25">
      <c r="Y38233" s="501"/>
    </row>
    <row r="38234" spans="25:25" hidden="1" x14ac:dyDescent="0.25">
      <c r="Y38234" s="501"/>
    </row>
    <row r="38235" spans="25:25" hidden="1" x14ac:dyDescent="0.25">
      <c r="Y38235" s="501"/>
    </row>
    <row r="38236" spans="25:25" hidden="1" x14ac:dyDescent="0.25">
      <c r="Y38236" s="501"/>
    </row>
    <row r="38237" spans="25:25" hidden="1" x14ac:dyDescent="0.25">
      <c r="Y38237" s="501"/>
    </row>
    <row r="38238" spans="25:25" hidden="1" x14ac:dyDescent="0.25">
      <c r="Y38238" s="501"/>
    </row>
    <row r="38239" spans="25:25" hidden="1" x14ac:dyDescent="0.25">
      <c r="Y38239" s="501"/>
    </row>
    <row r="38240" spans="25:25" hidden="1" x14ac:dyDescent="0.25">
      <c r="Y38240" s="501"/>
    </row>
    <row r="38241" spans="25:25" hidden="1" x14ac:dyDescent="0.25">
      <c r="Y38241" s="501"/>
    </row>
    <row r="38242" spans="25:25" hidden="1" x14ac:dyDescent="0.25">
      <c r="Y38242" s="501"/>
    </row>
    <row r="38243" spans="25:25" hidden="1" x14ac:dyDescent="0.25">
      <c r="Y38243" s="501"/>
    </row>
    <row r="38244" spans="25:25" hidden="1" x14ac:dyDescent="0.25">
      <c r="Y38244" s="501"/>
    </row>
    <row r="38245" spans="25:25" hidden="1" x14ac:dyDescent="0.25">
      <c r="Y38245" s="501"/>
    </row>
    <row r="38246" spans="25:25" hidden="1" x14ac:dyDescent="0.25">
      <c r="Y38246" s="501"/>
    </row>
    <row r="38247" spans="25:25" hidden="1" x14ac:dyDescent="0.25">
      <c r="Y38247" s="501"/>
    </row>
    <row r="38248" spans="25:25" hidden="1" x14ac:dyDescent="0.25">
      <c r="Y38248" s="501"/>
    </row>
    <row r="38249" spans="25:25" hidden="1" x14ac:dyDescent="0.25">
      <c r="Y38249" s="501"/>
    </row>
    <row r="38250" spans="25:25" hidden="1" x14ac:dyDescent="0.25">
      <c r="Y38250" s="501"/>
    </row>
    <row r="38251" spans="25:25" hidden="1" x14ac:dyDescent="0.25">
      <c r="Y38251" s="501"/>
    </row>
    <row r="38252" spans="25:25" hidden="1" x14ac:dyDescent="0.25">
      <c r="Y38252" s="501"/>
    </row>
    <row r="38253" spans="25:25" hidden="1" x14ac:dyDescent="0.25">
      <c r="Y38253" s="501"/>
    </row>
    <row r="38254" spans="25:25" hidden="1" x14ac:dyDescent="0.25">
      <c r="Y38254" s="501"/>
    </row>
    <row r="38255" spans="25:25" hidden="1" x14ac:dyDescent="0.25">
      <c r="Y38255" s="501"/>
    </row>
    <row r="38256" spans="25:25" hidden="1" x14ac:dyDescent="0.25">
      <c r="Y38256" s="501"/>
    </row>
    <row r="38257" spans="25:25" hidden="1" x14ac:dyDescent="0.25">
      <c r="Y38257" s="501"/>
    </row>
    <row r="38258" spans="25:25" hidden="1" x14ac:dyDescent="0.25">
      <c r="Y38258" s="501"/>
    </row>
    <row r="38259" spans="25:25" hidden="1" x14ac:dyDescent="0.25">
      <c r="Y38259" s="501"/>
    </row>
    <row r="38260" spans="25:25" hidden="1" x14ac:dyDescent="0.25">
      <c r="Y38260" s="501"/>
    </row>
    <row r="38261" spans="25:25" hidden="1" x14ac:dyDescent="0.25">
      <c r="Y38261" s="501"/>
    </row>
    <row r="38262" spans="25:25" hidden="1" x14ac:dyDescent="0.25">
      <c r="Y38262" s="501"/>
    </row>
    <row r="38263" spans="25:25" hidden="1" x14ac:dyDescent="0.25">
      <c r="Y38263" s="501"/>
    </row>
    <row r="38264" spans="25:25" hidden="1" x14ac:dyDescent="0.25">
      <c r="Y38264" s="501"/>
    </row>
    <row r="38265" spans="25:25" hidden="1" x14ac:dyDescent="0.25">
      <c r="Y38265" s="501"/>
    </row>
    <row r="38266" spans="25:25" hidden="1" x14ac:dyDescent="0.25">
      <c r="Y38266" s="501"/>
    </row>
    <row r="38267" spans="25:25" hidden="1" x14ac:dyDescent="0.25">
      <c r="Y38267" s="501"/>
    </row>
    <row r="38268" spans="25:25" hidden="1" x14ac:dyDescent="0.25">
      <c r="Y38268" s="501"/>
    </row>
    <row r="38269" spans="25:25" hidden="1" x14ac:dyDescent="0.25">
      <c r="Y38269" s="501"/>
    </row>
    <row r="38270" spans="25:25" hidden="1" x14ac:dyDescent="0.25">
      <c r="Y38270" s="501"/>
    </row>
    <row r="38271" spans="25:25" hidden="1" x14ac:dyDescent="0.25">
      <c r="Y38271" s="501"/>
    </row>
    <row r="38272" spans="25:25" hidden="1" x14ac:dyDescent="0.25">
      <c r="Y38272" s="501"/>
    </row>
    <row r="38273" spans="25:25" hidden="1" x14ac:dyDescent="0.25">
      <c r="Y38273" s="501"/>
    </row>
    <row r="38274" spans="25:25" hidden="1" x14ac:dyDescent="0.25">
      <c r="Y38274" s="501"/>
    </row>
    <row r="38275" spans="25:25" hidden="1" x14ac:dyDescent="0.25">
      <c r="Y38275" s="501"/>
    </row>
    <row r="38276" spans="25:25" hidden="1" x14ac:dyDescent="0.25">
      <c r="Y38276" s="501"/>
    </row>
    <row r="38277" spans="25:25" hidden="1" x14ac:dyDescent="0.25">
      <c r="Y38277" s="501"/>
    </row>
    <row r="38278" spans="25:25" hidden="1" x14ac:dyDescent="0.25">
      <c r="Y38278" s="501"/>
    </row>
    <row r="38279" spans="25:25" hidden="1" x14ac:dyDescent="0.25">
      <c r="Y38279" s="501"/>
    </row>
    <row r="38280" spans="25:25" hidden="1" x14ac:dyDescent="0.25">
      <c r="Y38280" s="501"/>
    </row>
    <row r="38281" spans="25:25" hidden="1" x14ac:dyDescent="0.25">
      <c r="Y38281" s="501"/>
    </row>
    <row r="38282" spans="25:25" hidden="1" x14ac:dyDescent="0.25">
      <c r="Y38282" s="501"/>
    </row>
    <row r="38283" spans="25:25" hidden="1" x14ac:dyDescent="0.25">
      <c r="Y38283" s="501"/>
    </row>
    <row r="38284" spans="25:25" hidden="1" x14ac:dyDescent="0.25">
      <c r="Y38284" s="501"/>
    </row>
    <row r="38285" spans="25:25" hidden="1" x14ac:dyDescent="0.25">
      <c r="Y38285" s="501"/>
    </row>
    <row r="38286" spans="25:25" hidden="1" x14ac:dyDescent="0.25">
      <c r="Y38286" s="501"/>
    </row>
    <row r="38287" spans="25:25" hidden="1" x14ac:dyDescent="0.25">
      <c r="Y38287" s="501"/>
    </row>
    <row r="38288" spans="25:25" hidden="1" x14ac:dyDescent="0.25">
      <c r="Y38288" s="501"/>
    </row>
    <row r="38289" spans="25:25" hidden="1" x14ac:dyDescent="0.25">
      <c r="Y38289" s="501"/>
    </row>
    <row r="38290" spans="25:25" hidden="1" x14ac:dyDescent="0.25">
      <c r="Y38290" s="501"/>
    </row>
    <row r="38291" spans="25:25" hidden="1" x14ac:dyDescent="0.25">
      <c r="Y38291" s="501"/>
    </row>
    <row r="38292" spans="25:25" hidden="1" x14ac:dyDescent="0.25">
      <c r="Y38292" s="501"/>
    </row>
    <row r="38293" spans="25:25" hidden="1" x14ac:dyDescent="0.25">
      <c r="Y38293" s="501"/>
    </row>
    <row r="38294" spans="25:25" hidden="1" x14ac:dyDescent="0.25">
      <c r="Y38294" s="501"/>
    </row>
    <row r="38295" spans="25:25" hidden="1" x14ac:dyDescent="0.25">
      <c r="Y38295" s="501"/>
    </row>
    <row r="38296" spans="25:25" hidden="1" x14ac:dyDescent="0.25">
      <c r="Y38296" s="501"/>
    </row>
    <row r="38297" spans="25:25" hidden="1" x14ac:dyDescent="0.25">
      <c r="Y38297" s="501"/>
    </row>
    <row r="38298" spans="25:25" hidden="1" x14ac:dyDescent="0.25">
      <c r="Y38298" s="501"/>
    </row>
    <row r="38299" spans="25:25" hidden="1" x14ac:dyDescent="0.25">
      <c r="Y38299" s="501"/>
    </row>
    <row r="38300" spans="25:25" hidden="1" x14ac:dyDescent="0.25">
      <c r="Y38300" s="501"/>
    </row>
    <row r="38301" spans="25:25" hidden="1" x14ac:dyDescent="0.25">
      <c r="Y38301" s="501"/>
    </row>
    <row r="38302" spans="25:25" hidden="1" x14ac:dyDescent="0.25">
      <c r="Y38302" s="501"/>
    </row>
    <row r="38303" spans="25:25" hidden="1" x14ac:dyDescent="0.25">
      <c r="Y38303" s="501"/>
    </row>
    <row r="38304" spans="25:25" hidden="1" x14ac:dyDescent="0.25">
      <c r="Y38304" s="501"/>
    </row>
    <row r="38305" spans="25:25" hidden="1" x14ac:dyDescent="0.25">
      <c r="Y38305" s="501"/>
    </row>
    <row r="38306" spans="25:25" hidden="1" x14ac:dyDescent="0.25">
      <c r="Y38306" s="501"/>
    </row>
    <row r="38307" spans="25:25" hidden="1" x14ac:dyDescent="0.25">
      <c r="Y38307" s="501"/>
    </row>
    <row r="38308" spans="25:25" hidden="1" x14ac:dyDescent="0.25">
      <c r="Y38308" s="501"/>
    </row>
    <row r="38309" spans="25:25" hidden="1" x14ac:dyDescent="0.25">
      <c r="Y38309" s="501"/>
    </row>
    <row r="38310" spans="25:25" hidden="1" x14ac:dyDescent="0.25">
      <c r="Y38310" s="501"/>
    </row>
    <row r="38311" spans="25:25" hidden="1" x14ac:dyDescent="0.25">
      <c r="Y38311" s="501"/>
    </row>
    <row r="38312" spans="25:25" hidden="1" x14ac:dyDescent="0.25">
      <c r="Y38312" s="501"/>
    </row>
    <row r="38313" spans="25:25" hidden="1" x14ac:dyDescent="0.25">
      <c r="Y38313" s="501"/>
    </row>
    <row r="38314" spans="25:25" hidden="1" x14ac:dyDescent="0.25">
      <c r="Y38314" s="501"/>
    </row>
    <row r="38315" spans="25:25" hidden="1" x14ac:dyDescent="0.25">
      <c r="Y38315" s="501"/>
    </row>
    <row r="38316" spans="25:25" hidden="1" x14ac:dyDescent="0.25">
      <c r="Y38316" s="501"/>
    </row>
    <row r="38317" spans="25:25" hidden="1" x14ac:dyDescent="0.25">
      <c r="Y38317" s="501"/>
    </row>
    <row r="38318" spans="25:25" hidden="1" x14ac:dyDescent="0.25">
      <c r="Y38318" s="501"/>
    </row>
    <row r="38319" spans="25:25" hidden="1" x14ac:dyDescent="0.25">
      <c r="Y38319" s="501"/>
    </row>
    <row r="38320" spans="25:25" hidden="1" x14ac:dyDescent="0.25">
      <c r="Y38320" s="501"/>
    </row>
    <row r="38321" spans="25:25" hidden="1" x14ac:dyDescent="0.25">
      <c r="Y38321" s="501"/>
    </row>
    <row r="38322" spans="25:25" hidden="1" x14ac:dyDescent="0.25">
      <c r="Y38322" s="501"/>
    </row>
    <row r="38323" spans="25:25" hidden="1" x14ac:dyDescent="0.25">
      <c r="Y38323" s="501"/>
    </row>
    <row r="38324" spans="25:25" hidden="1" x14ac:dyDescent="0.25">
      <c r="Y38324" s="501"/>
    </row>
    <row r="38325" spans="25:25" hidden="1" x14ac:dyDescent="0.25">
      <c r="Y38325" s="501"/>
    </row>
    <row r="38326" spans="25:25" hidden="1" x14ac:dyDescent="0.25">
      <c r="Y38326" s="501"/>
    </row>
    <row r="38327" spans="25:25" hidden="1" x14ac:dyDescent="0.25">
      <c r="Y38327" s="501"/>
    </row>
    <row r="38328" spans="25:25" hidden="1" x14ac:dyDescent="0.25">
      <c r="Y38328" s="501"/>
    </row>
    <row r="38329" spans="25:25" hidden="1" x14ac:dyDescent="0.25">
      <c r="Y38329" s="501"/>
    </row>
    <row r="38330" spans="25:25" hidden="1" x14ac:dyDescent="0.25">
      <c r="Y38330" s="501"/>
    </row>
    <row r="38331" spans="25:25" hidden="1" x14ac:dyDescent="0.25">
      <c r="Y38331" s="501"/>
    </row>
    <row r="38332" spans="25:25" hidden="1" x14ac:dyDescent="0.25">
      <c r="Y38332" s="501"/>
    </row>
    <row r="38333" spans="25:25" hidden="1" x14ac:dyDescent="0.25">
      <c r="Y38333" s="501"/>
    </row>
    <row r="38334" spans="25:25" hidden="1" x14ac:dyDescent="0.25">
      <c r="Y38334" s="501"/>
    </row>
    <row r="38335" spans="25:25" hidden="1" x14ac:dyDescent="0.25">
      <c r="Y38335" s="501"/>
    </row>
    <row r="38336" spans="25:25" hidden="1" x14ac:dyDescent="0.25">
      <c r="Y38336" s="501"/>
    </row>
    <row r="38337" spans="25:25" hidden="1" x14ac:dyDescent="0.25">
      <c r="Y38337" s="501"/>
    </row>
    <row r="38338" spans="25:25" hidden="1" x14ac:dyDescent="0.25">
      <c r="Y38338" s="501"/>
    </row>
    <row r="38339" spans="25:25" hidden="1" x14ac:dyDescent="0.25">
      <c r="Y38339" s="501"/>
    </row>
    <row r="38340" spans="25:25" hidden="1" x14ac:dyDescent="0.25">
      <c r="Y38340" s="501"/>
    </row>
    <row r="38341" spans="25:25" hidden="1" x14ac:dyDescent="0.25">
      <c r="Y38341" s="501"/>
    </row>
    <row r="38342" spans="25:25" hidden="1" x14ac:dyDescent="0.25">
      <c r="Y38342" s="501"/>
    </row>
    <row r="38343" spans="25:25" hidden="1" x14ac:dyDescent="0.25">
      <c r="Y38343" s="501"/>
    </row>
    <row r="38344" spans="25:25" hidden="1" x14ac:dyDescent="0.25">
      <c r="Y38344" s="501"/>
    </row>
    <row r="38345" spans="25:25" hidden="1" x14ac:dyDescent="0.25">
      <c r="Y38345" s="501"/>
    </row>
    <row r="38346" spans="25:25" hidden="1" x14ac:dyDescent="0.25">
      <c r="Y38346" s="501"/>
    </row>
    <row r="38347" spans="25:25" hidden="1" x14ac:dyDescent="0.25">
      <c r="Y38347" s="501"/>
    </row>
    <row r="38348" spans="25:25" hidden="1" x14ac:dyDescent="0.25">
      <c r="Y38348" s="501"/>
    </row>
    <row r="38349" spans="25:25" hidden="1" x14ac:dyDescent="0.25">
      <c r="Y38349" s="501"/>
    </row>
    <row r="38350" spans="25:25" hidden="1" x14ac:dyDescent="0.25">
      <c r="Y38350" s="501"/>
    </row>
    <row r="38351" spans="25:25" hidden="1" x14ac:dyDescent="0.25">
      <c r="Y38351" s="501"/>
    </row>
    <row r="38352" spans="25:25" hidden="1" x14ac:dyDescent="0.25">
      <c r="Y38352" s="501"/>
    </row>
    <row r="38353" spans="25:25" hidden="1" x14ac:dyDescent="0.25">
      <c r="Y38353" s="501"/>
    </row>
    <row r="38354" spans="25:25" hidden="1" x14ac:dyDescent="0.25">
      <c r="Y38354" s="501"/>
    </row>
    <row r="38355" spans="25:25" hidden="1" x14ac:dyDescent="0.25">
      <c r="Y38355" s="501"/>
    </row>
    <row r="38356" spans="25:25" hidden="1" x14ac:dyDescent="0.25">
      <c r="Y38356" s="501"/>
    </row>
    <row r="38357" spans="25:25" hidden="1" x14ac:dyDescent="0.25">
      <c r="Y38357" s="501"/>
    </row>
    <row r="38358" spans="25:25" hidden="1" x14ac:dyDescent="0.25">
      <c r="Y38358" s="501"/>
    </row>
    <row r="38359" spans="25:25" hidden="1" x14ac:dyDescent="0.25">
      <c r="Y38359" s="501"/>
    </row>
    <row r="38360" spans="25:25" hidden="1" x14ac:dyDescent="0.25">
      <c r="Y38360" s="501"/>
    </row>
    <row r="38361" spans="25:25" hidden="1" x14ac:dyDescent="0.25">
      <c r="Y38361" s="501"/>
    </row>
    <row r="38362" spans="25:25" hidden="1" x14ac:dyDescent="0.25">
      <c r="Y38362" s="501"/>
    </row>
    <row r="38363" spans="25:25" hidden="1" x14ac:dyDescent="0.25">
      <c r="Y38363" s="501"/>
    </row>
    <row r="38364" spans="25:25" hidden="1" x14ac:dyDescent="0.25">
      <c r="Y38364" s="501"/>
    </row>
    <row r="38365" spans="25:25" hidden="1" x14ac:dyDescent="0.25">
      <c r="Y38365" s="501"/>
    </row>
    <row r="38366" spans="25:25" hidden="1" x14ac:dyDescent="0.25">
      <c r="Y38366" s="501"/>
    </row>
    <row r="38367" spans="25:25" hidden="1" x14ac:dyDescent="0.25">
      <c r="Y38367" s="501"/>
    </row>
    <row r="38368" spans="25:25" hidden="1" x14ac:dyDescent="0.25">
      <c r="Y38368" s="501"/>
    </row>
    <row r="38369" spans="25:25" hidden="1" x14ac:dyDescent="0.25">
      <c r="Y38369" s="501"/>
    </row>
    <row r="38370" spans="25:25" hidden="1" x14ac:dyDescent="0.25">
      <c r="Y38370" s="501"/>
    </row>
    <row r="38371" spans="25:25" hidden="1" x14ac:dyDescent="0.25">
      <c r="Y38371" s="501"/>
    </row>
    <row r="38372" spans="25:25" hidden="1" x14ac:dyDescent="0.25">
      <c r="Y38372" s="501"/>
    </row>
    <row r="38373" spans="25:25" hidden="1" x14ac:dyDescent="0.25">
      <c r="Y38373" s="501"/>
    </row>
    <row r="38374" spans="25:25" hidden="1" x14ac:dyDescent="0.25">
      <c r="Y38374" s="501"/>
    </row>
    <row r="38375" spans="25:25" hidden="1" x14ac:dyDescent="0.25">
      <c r="Y38375" s="501"/>
    </row>
    <row r="38376" spans="25:25" hidden="1" x14ac:dyDescent="0.25">
      <c r="Y38376" s="501"/>
    </row>
    <row r="38377" spans="25:25" hidden="1" x14ac:dyDescent="0.25">
      <c r="Y38377" s="501"/>
    </row>
    <row r="38378" spans="25:25" hidden="1" x14ac:dyDescent="0.25">
      <c r="Y38378" s="501"/>
    </row>
    <row r="38379" spans="25:25" hidden="1" x14ac:dyDescent="0.25">
      <c r="Y38379" s="501"/>
    </row>
    <row r="38380" spans="25:25" hidden="1" x14ac:dyDescent="0.25">
      <c r="Y38380" s="501"/>
    </row>
    <row r="38381" spans="25:25" hidden="1" x14ac:dyDescent="0.25">
      <c r="Y38381" s="501"/>
    </row>
    <row r="38382" spans="25:25" hidden="1" x14ac:dyDescent="0.25">
      <c r="Y38382" s="501"/>
    </row>
    <row r="38383" spans="25:25" hidden="1" x14ac:dyDescent="0.25">
      <c r="Y38383" s="501"/>
    </row>
    <row r="38384" spans="25:25" hidden="1" x14ac:dyDescent="0.25">
      <c r="Y38384" s="501"/>
    </row>
    <row r="38385" spans="25:25" hidden="1" x14ac:dyDescent="0.25">
      <c r="Y38385" s="501"/>
    </row>
    <row r="38386" spans="25:25" hidden="1" x14ac:dyDescent="0.25">
      <c r="Y38386" s="501"/>
    </row>
    <row r="38387" spans="25:25" hidden="1" x14ac:dyDescent="0.25">
      <c r="Y38387" s="501"/>
    </row>
    <row r="38388" spans="25:25" hidden="1" x14ac:dyDescent="0.25">
      <c r="Y38388" s="501"/>
    </row>
    <row r="38389" spans="25:25" hidden="1" x14ac:dyDescent="0.25">
      <c r="Y38389" s="501"/>
    </row>
    <row r="38390" spans="25:25" hidden="1" x14ac:dyDescent="0.25">
      <c r="Y38390" s="501"/>
    </row>
    <row r="38391" spans="25:25" hidden="1" x14ac:dyDescent="0.25">
      <c r="Y38391" s="501"/>
    </row>
    <row r="38392" spans="25:25" hidden="1" x14ac:dyDescent="0.25">
      <c r="Y38392" s="501"/>
    </row>
    <row r="38393" spans="25:25" hidden="1" x14ac:dyDescent="0.25">
      <c r="Y38393" s="501"/>
    </row>
    <row r="38394" spans="25:25" hidden="1" x14ac:dyDescent="0.25">
      <c r="Y38394" s="501"/>
    </row>
    <row r="38395" spans="25:25" hidden="1" x14ac:dyDescent="0.25">
      <c r="Y38395" s="501"/>
    </row>
    <row r="38396" spans="25:25" hidden="1" x14ac:dyDescent="0.25">
      <c r="Y38396" s="501"/>
    </row>
    <row r="38397" spans="25:25" hidden="1" x14ac:dyDescent="0.25">
      <c r="Y38397" s="501"/>
    </row>
    <row r="38398" spans="25:25" hidden="1" x14ac:dyDescent="0.25">
      <c r="Y38398" s="501"/>
    </row>
    <row r="38399" spans="25:25" hidden="1" x14ac:dyDescent="0.25">
      <c r="Y38399" s="501"/>
    </row>
    <row r="38400" spans="25:25" hidden="1" x14ac:dyDescent="0.25">
      <c r="Y38400" s="501"/>
    </row>
    <row r="38401" spans="25:25" hidden="1" x14ac:dyDescent="0.25">
      <c r="Y38401" s="501"/>
    </row>
    <row r="38402" spans="25:25" hidden="1" x14ac:dyDescent="0.25">
      <c r="Y38402" s="501"/>
    </row>
    <row r="38403" spans="25:25" hidden="1" x14ac:dyDescent="0.25">
      <c r="Y38403" s="501"/>
    </row>
    <row r="38404" spans="25:25" hidden="1" x14ac:dyDescent="0.25">
      <c r="Y38404" s="501"/>
    </row>
    <row r="38405" spans="25:25" hidden="1" x14ac:dyDescent="0.25">
      <c r="Y38405" s="501"/>
    </row>
    <row r="38406" spans="25:25" hidden="1" x14ac:dyDescent="0.25">
      <c r="Y38406" s="501"/>
    </row>
    <row r="38407" spans="25:25" hidden="1" x14ac:dyDescent="0.25">
      <c r="Y38407" s="501"/>
    </row>
    <row r="38408" spans="25:25" hidden="1" x14ac:dyDescent="0.25">
      <c r="Y38408" s="501"/>
    </row>
    <row r="38409" spans="25:25" hidden="1" x14ac:dyDescent="0.25">
      <c r="Y38409" s="501"/>
    </row>
    <row r="38410" spans="25:25" hidden="1" x14ac:dyDescent="0.25">
      <c r="Y38410" s="501"/>
    </row>
    <row r="38411" spans="25:25" hidden="1" x14ac:dyDescent="0.25">
      <c r="Y38411" s="501"/>
    </row>
    <row r="38412" spans="25:25" hidden="1" x14ac:dyDescent="0.25">
      <c r="Y38412" s="501"/>
    </row>
    <row r="38413" spans="25:25" hidden="1" x14ac:dyDescent="0.25">
      <c r="Y38413" s="501"/>
    </row>
    <row r="38414" spans="25:25" hidden="1" x14ac:dyDescent="0.25">
      <c r="Y38414" s="501"/>
    </row>
    <row r="38415" spans="25:25" hidden="1" x14ac:dyDescent="0.25">
      <c r="Y38415" s="501"/>
    </row>
    <row r="38416" spans="25:25" hidden="1" x14ac:dyDescent="0.25">
      <c r="Y38416" s="501"/>
    </row>
    <row r="38417" spans="25:25" hidden="1" x14ac:dyDescent="0.25">
      <c r="Y38417" s="501"/>
    </row>
    <row r="38418" spans="25:25" hidden="1" x14ac:dyDescent="0.25">
      <c r="Y38418" s="501"/>
    </row>
    <row r="38419" spans="25:25" hidden="1" x14ac:dyDescent="0.25">
      <c r="Y38419" s="501"/>
    </row>
    <row r="38420" spans="25:25" hidden="1" x14ac:dyDescent="0.25">
      <c r="Y38420" s="501"/>
    </row>
    <row r="38421" spans="25:25" hidden="1" x14ac:dyDescent="0.25">
      <c r="Y38421" s="501"/>
    </row>
    <row r="38422" spans="25:25" hidden="1" x14ac:dyDescent="0.25">
      <c r="Y38422" s="501"/>
    </row>
    <row r="38423" spans="25:25" hidden="1" x14ac:dyDescent="0.25">
      <c r="Y38423" s="501"/>
    </row>
    <row r="38424" spans="25:25" hidden="1" x14ac:dyDescent="0.25">
      <c r="Y38424" s="501"/>
    </row>
    <row r="38425" spans="25:25" hidden="1" x14ac:dyDescent="0.25">
      <c r="Y38425" s="501"/>
    </row>
    <row r="38426" spans="25:25" hidden="1" x14ac:dyDescent="0.25">
      <c r="Y38426" s="501"/>
    </row>
    <row r="38427" spans="25:25" hidden="1" x14ac:dyDescent="0.25">
      <c r="Y38427" s="501"/>
    </row>
    <row r="38428" spans="25:25" hidden="1" x14ac:dyDescent="0.25">
      <c r="Y38428" s="501"/>
    </row>
    <row r="38429" spans="25:25" hidden="1" x14ac:dyDescent="0.25">
      <c r="Y38429" s="501"/>
    </row>
    <row r="38430" spans="25:25" hidden="1" x14ac:dyDescent="0.25">
      <c r="Y38430" s="501"/>
    </row>
    <row r="38431" spans="25:25" hidden="1" x14ac:dyDescent="0.25">
      <c r="Y38431" s="501"/>
    </row>
    <row r="38432" spans="25:25" hidden="1" x14ac:dyDescent="0.25">
      <c r="Y38432" s="501"/>
    </row>
    <row r="38433" spans="25:25" hidden="1" x14ac:dyDescent="0.25">
      <c r="Y38433" s="501"/>
    </row>
    <row r="38434" spans="25:25" hidden="1" x14ac:dyDescent="0.25">
      <c r="Y38434" s="501"/>
    </row>
    <row r="38435" spans="25:25" hidden="1" x14ac:dyDescent="0.25">
      <c r="Y38435" s="501"/>
    </row>
    <row r="38436" spans="25:25" hidden="1" x14ac:dyDescent="0.25">
      <c r="Y38436" s="501"/>
    </row>
    <row r="38437" spans="25:25" hidden="1" x14ac:dyDescent="0.25">
      <c r="Y38437" s="501"/>
    </row>
    <row r="38438" spans="25:25" hidden="1" x14ac:dyDescent="0.25">
      <c r="Y38438" s="501"/>
    </row>
    <row r="38439" spans="25:25" hidden="1" x14ac:dyDescent="0.25">
      <c r="Y38439" s="501"/>
    </row>
    <row r="38440" spans="25:25" hidden="1" x14ac:dyDescent="0.25">
      <c r="Y38440" s="501"/>
    </row>
    <row r="38441" spans="25:25" hidden="1" x14ac:dyDescent="0.25">
      <c r="Y38441" s="501"/>
    </row>
    <row r="38442" spans="25:25" hidden="1" x14ac:dyDescent="0.25">
      <c r="Y38442" s="501"/>
    </row>
    <row r="38443" spans="25:25" hidden="1" x14ac:dyDescent="0.25">
      <c r="Y38443" s="501"/>
    </row>
    <row r="38444" spans="25:25" hidden="1" x14ac:dyDescent="0.25">
      <c r="Y38444" s="501"/>
    </row>
    <row r="38445" spans="25:25" hidden="1" x14ac:dyDescent="0.25">
      <c r="Y38445" s="501"/>
    </row>
    <row r="38446" spans="25:25" hidden="1" x14ac:dyDescent="0.25">
      <c r="Y38446" s="501"/>
    </row>
    <row r="38447" spans="25:25" hidden="1" x14ac:dyDescent="0.25">
      <c r="Y38447" s="501"/>
    </row>
    <row r="38448" spans="25:25" hidden="1" x14ac:dyDescent="0.25">
      <c r="Y38448" s="501"/>
    </row>
    <row r="38449" spans="25:25" hidden="1" x14ac:dyDescent="0.25">
      <c r="Y38449" s="501"/>
    </row>
    <row r="38450" spans="25:25" hidden="1" x14ac:dyDescent="0.25">
      <c r="Y38450" s="501"/>
    </row>
    <row r="38451" spans="25:25" hidden="1" x14ac:dyDescent="0.25">
      <c r="Y38451" s="501"/>
    </row>
    <row r="38452" spans="25:25" hidden="1" x14ac:dyDescent="0.25">
      <c r="Y38452" s="501"/>
    </row>
    <row r="38453" spans="25:25" hidden="1" x14ac:dyDescent="0.25">
      <c r="Y38453" s="501"/>
    </row>
    <row r="38454" spans="25:25" hidden="1" x14ac:dyDescent="0.25">
      <c r="Y38454" s="501"/>
    </row>
    <row r="38455" spans="25:25" hidden="1" x14ac:dyDescent="0.25">
      <c r="Y38455" s="501"/>
    </row>
    <row r="38456" spans="25:25" hidden="1" x14ac:dyDescent="0.25">
      <c r="Y38456" s="501"/>
    </row>
    <row r="38457" spans="25:25" hidden="1" x14ac:dyDescent="0.25">
      <c r="Y38457" s="501"/>
    </row>
    <row r="38458" spans="25:25" hidden="1" x14ac:dyDescent="0.25">
      <c r="Y38458" s="501"/>
    </row>
    <row r="38459" spans="25:25" hidden="1" x14ac:dyDescent="0.25">
      <c r="Y38459" s="501"/>
    </row>
    <row r="38460" spans="25:25" hidden="1" x14ac:dyDescent="0.25">
      <c r="Y38460" s="501"/>
    </row>
    <row r="38461" spans="25:25" hidden="1" x14ac:dyDescent="0.25">
      <c r="Y38461" s="501"/>
    </row>
    <row r="38462" spans="25:25" hidden="1" x14ac:dyDescent="0.25">
      <c r="Y38462" s="501"/>
    </row>
    <row r="38463" spans="25:25" hidden="1" x14ac:dyDescent="0.25">
      <c r="Y38463" s="501"/>
    </row>
    <row r="38464" spans="25:25" hidden="1" x14ac:dyDescent="0.25">
      <c r="Y38464" s="501"/>
    </row>
    <row r="38465" spans="25:25" hidden="1" x14ac:dyDescent="0.25">
      <c r="Y38465" s="501"/>
    </row>
    <row r="38466" spans="25:25" hidden="1" x14ac:dyDescent="0.25">
      <c r="Y38466" s="501"/>
    </row>
    <row r="38467" spans="25:25" hidden="1" x14ac:dyDescent="0.25">
      <c r="Y38467" s="501"/>
    </row>
    <row r="38468" spans="25:25" hidden="1" x14ac:dyDescent="0.25">
      <c r="Y38468" s="501"/>
    </row>
    <row r="38469" spans="25:25" hidden="1" x14ac:dyDescent="0.25">
      <c r="Y38469" s="501"/>
    </row>
    <row r="38470" spans="25:25" hidden="1" x14ac:dyDescent="0.25">
      <c r="Y38470" s="501"/>
    </row>
    <row r="38471" spans="25:25" hidden="1" x14ac:dyDescent="0.25">
      <c r="Y38471" s="501"/>
    </row>
    <row r="38472" spans="25:25" hidden="1" x14ac:dyDescent="0.25">
      <c r="Y38472" s="501"/>
    </row>
    <row r="38473" spans="25:25" hidden="1" x14ac:dyDescent="0.25">
      <c r="Y38473" s="501"/>
    </row>
    <row r="38474" spans="25:25" hidden="1" x14ac:dyDescent="0.25">
      <c r="Y38474" s="501"/>
    </row>
    <row r="38475" spans="25:25" hidden="1" x14ac:dyDescent="0.25">
      <c r="Y38475" s="501"/>
    </row>
    <row r="38476" spans="25:25" hidden="1" x14ac:dyDescent="0.25">
      <c r="Y38476" s="501"/>
    </row>
    <row r="38477" spans="25:25" hidden="1" x14ac:dyDescent="0.25">
      <c r="Y38477" s="501"/>
    </row>
    <row r="38478" spans="25:25" hidden="1" x14ac:dyDescent="0.25">
      <c r="Y38478" s="501"/>
    </row>
    <row r="38479" spans="25:25" hidden="1" x14ac:dyDescent="0.25">
      <c r="Y38479" s="501"/>
    </row>
    <row r="38480" spans="25:25" hidden="1" x14ac:dyDescent="0.25">
      <c r="Y38480" s="501"/>
    </row>
    <row r="38481" spans="25:25" hidden="1" x14ac:dyDescent="0.25">
      <c r="Y38481" s="501"/>
    </row>
    <row r="38482" spans="25:25" hidden="1" x14ac:dyDescent="0.25">
      <c r="Y38482" s="501"/>
    </row>
    <row r="38483" spans="25:25" hidden="1" x14ac:dyDescent="0.25">
      <c r="Y38483" s="501"/>
    </row>
    <row r="38484" spans="25:25" hidden="1" x14ac:dyDescent="0.25">
      <c r="Y38484" s="501"/>
    </row>
    <row r="38485" spans="25:25" hidden="1" x14ac:dyDescent="0.25">
      <c r="Y38485" s="501"/>
    </row>
    <row r="38486" spans="25:25" hidden="1" x14ac:dyDescent="0.25">
      <c r="Y38486" s="501"/>
    </row>
    <row r="38487" spans="25:25" hidden="1" x14ac:dyDescent="0.25">
      <c r="Y38487" s="501"/>
    </row>
    <row r="38488" spans="25:25" hidden="1" x14ac:dyDescent="0.25">
      <c r="Y38488" s="501"/>
    </row>
    <row r="38489" spans="25:25" hidden="1" x14ac:dyDescent="0.25">
      <c r="Y38489" s="501"/>
    </row>
    <row r="38490" spans="25:25" hidden="1" x14ac:dyDescent="0.25">
      <c r="Y38490" s="501"/>
    </row>
    <row r="38491" spans="25:25" hidden="1" x14ac:dyDescent="0.25">
      <c r="Y38491" s="501"/>
    </row>
    <row r="38492" spans="25:25" hidden="1" x14ac:dyDescent="0.25">
      <c r="Y38492" s="501"/>
    </row>
    <row r="38493" spans="25:25" hidden="1" x14ac:dyDescent="0.25">
      <c r="Y38493" s="501"/>
    </row>
    <row r="38494" spans="25:25" hidden="1" x14ac:dyDescent="0.25">
      <c r="Y38494" s="501"/>
    </row>
    <row r="38495" spans="25:25" hidden="1" x14ac:dyDescent="0.25">
      <c r="Y38495" s="501"/>
    </row>
    <row r="38496" spans="25:25" hidden="1" x14ac:dyDescent="0.25">
      <c r="Y38496" s="501"/>
    </row>
    <row r="38497" spans="25:25" hidden="1" x14ac:dyDescent="0.25">
      <c r="Y38497" s="501"/>
    </row>
    <row r="38498" spans="25:25" hidden="1" x14ac:dyDescent="0.25">
      <c r="Y38498" s="501"/>
    </row>
    <row r="38499" spans="25:25" hidden="1" x14ac:dyDescent="0.25">
      <c r="Y38499" s="501"/>
    </row>
    <row r="38500" spans="25:25" hidden="1" x14ac:dyDescent="0.25">
      <c r="Y38500" s="501"/>
    </row>
    <row r="38501" spans="25:25" hidden="1" x14ac:dyDescent="0.25">
      <c r="Y38501" s="501"/>
    </row>
    <row r="38502" spans="25:25" hidden="1" x14ac:dyDescent="0.25">
      <c r="Y38502" s="501"/>
    </row>
    <row r="38503" spans="25:25" hidden="1" x14ac:dyDescent="0.25">
      <c r="Y38503" s="501"/>
    </row>
    <row r="38504" spans="25:25" hidden="1" x14ac:dyDescent="0.25">
      <c r="Y38504" s="501"/>
    </row>
    <row r="38505" spans="25:25" hidden="1" x14ac:dyDescent="0.25">
      <c r="Y38505" s="501"/>
    </row>
    <row r="38506" spans="25:25" hidden="1" x14ac:dyDescent="0.25">
      <c r="Y38506" s="501"/>
    </row>
    <row r="38507" spans="25:25" hidden="1" x14ac:dyDescent="0.25">
      <c r="Y38507" s="501"/>
    </row>
    <row r="38508" spans="25:25" hidden="1" x14ac:dyDescent="0.25">
      <c r="Y38508" s="501"/>
    </row>
    <row r="38509" spans="25:25" hidden="1" x14ac:dyDescent="0.25">
      <c r="Y38509" s="501"/>
    </row>
    <row r="38510" spans="25:25" hidden="1" x14ac:dyDescent="0.25">
      <c r="Y38510" s="501"/>
    </row>
    <row r="38511" spans="25:25" hidden="1" x14ac:dyDescent="0.25">
      <c r="Y38511" s="501"/>
    </row>
    <row r="38512" spans="25:25" hidden="1" x14ac:dyDescent="0.25">
      <c r="Y38512" s="501"/>
    </row>
    <row r="38513" spans="25:25" hidden="1" x14ac:dyDescent="0.25">
      <c r="Y38513" s="501"/>
    </row>
    <row r="38514" spans="25:25" hidden="1" x14ac:dyDescent="0.25">
      <c r="Y38514" s="501"/>
    </row>
    <row r="38515" spans="25:25" hidden="1" x14ac:dyDescent="0.25">
      <c r="Y38515" s="501"/>
    </row>
    <row r="38516" spans="25:25" hidden="1" x14ac:dyDescent="0.25">
      <c r="Y38516" s="501"/>
    </row>
    <row r="38517" spans="25:25" hidden="1" x14ac:dyDescent="0.25">
      <c r="Y38517" s="501"/>
    </row>
    <row r="38518" spans="25:25" hidden="1" x14ac:dyDescent="0.25">
      <c r="Y38518" s="501"/>
    </row>
    <row r="38519" spans="25:25" hidden="1" x14ac:dyDescent="0.25">
      <c r="Y38519" s="501"/>
    </row>
    <row r="38520" spans="25:25" hidden="1" x14ac:dyDescent="0.25">
      <c r="Y38520" s="501"/>
    </row>
    <row r="38521" spans="25:25" hidden="1" x14ac:dyDescent="0.25">
      <c r="Y38521" s="501"/>
    </row>
    <row r="38522" spans="25:25" hidden="1" x14ac:dyDescent="0.25">
      <c r="Y38522" s="501"/>
    </row>
    <row r="38523" spans="25:25" hidden="1" x14ac:dyDescent="0.25">
      <c r="Y38523" s="501"/>
    </row>
    <row r="38524" spans="25:25" hidden="1" x14ac:dyDescent="0.25">
      <c r="Y38524" s="501"/>
    </row>
    <row r="38525" spans="25:25" hidden="1" x14ac:dyDescent="0.25">
      <c r="Y38525" s="501"/>
    </row>
    <row r="38526" spans="25:25" hidden="1" x14ac:dyDescent="0.25">
      <c r="Y38526" s="501"/>
    </row>
    <row r="38527" spans="25:25" hidden="1" x14ac:dyDescent="0.25">
      <c r="Y38527" s="501"/>
    </row>
    <row r="38528" spans="25:25" hidden="1" x14ac:dyDescent="0.25">
      <c r="Y38528" s="501"/>
    </row>
    <row r="38529" spans="25:25" hidden="1" x14ac:dyDescent="0.25">
      <c r="Y38529" s="501"/>
    </row>
    <row r="38530" spans="25:25" hidden="1" x14ac:dyDescent="0.25">
      <c r="Y38530" s="501"/>
    </row>
    <row r="38531" spans="25:25" hidden="1" x14ac:dyDescent="0.25">
      <c r="Y38531" s="501"/>
    </row>
    <row r="38532" spans="25:25" hidden="1" x14ac:dyDescent="0.25">
      <c r="Y38532" s="501"/>
    </row>
    <row r="38533" spans="25:25" hidden="1" x14ac:dyDescent="0.25">
      <c r="Y38533" s="501"/>
    </row>
    <row r="38534" spans="25:25" hidden="1" x14ac:dyDescent="0.25">
      <c r="Y38534" s="501"/>
    </row>
    <row r="38535" spans="25:25" hidden="1" x14ac:dyDescent="0.25">
      <c r="Y38535" s="501"/>
    </row>
    <row r="38536" spans="25:25" hidden="1" x14ac:dyDescent="0.25">
      <c r="Y38536" s="501"/>
    </row>
    <row r="38537" spans="25:25" hidden="1" x14ac:dyDescent="0.25">
      <c r="Y38537" s="501"/>
    </row>
    <row r="38538" spans="25:25" hidden="1" x14ac:dyDescent="0.25">
      <c r="Y38538" s="501"/>
    </row>
    <row r="38539" spans="25:25" hidden="1" x14ac:dyDescent="0.25">
      <c r="Y38539" s="501"/>
    </row>
    <row r="38540" spans="25:25" hidden="1" x14ac:dyDescent="0.25">
      <c r="Y38540" s="501"/>
    </row>
    <row r="38541" spans="25:25" hidden="1" x14ac:dyDescent="0.25">
      <c r="Y38541" s="501"/>
    </row>
    <row r="38542" spans="25:25" hidden="1" x14ac:dyDescent="0.25">
      <c r="Y38542" s="501"/>
    </row>
    <row r="38543" spans="25:25" hidden="1" x14ac:dyDescent="0.25">
      <c r="Y38543" s="501"/>
    </row>
    <row r="38544" spans="25:25" hidden="1" x14ac:dyDescent="0.25">
      <c r="Y38544" s="501"/>
    </row>
    <row r="38545" spans="25:25" hidden="1" x14ac:dyDescent="0.25">
      <c r="Y38545" s="501"/>
    </row>
    <row r="38546" spans="25:25" hidden="1" x14ac:dyDescent="0.25">
      <c r="Y38546" s="501"/>
    </row>
    <row r="38547" spans="25:25" hidden="1" x14ac:dyDescent="0.25">
      <c r="Y38547" s="501"/>
    </row>
    <row r="38548" spans="25:25" hidden="1" x14ac:dyDescent="0.25">
      <c r="Y38548" s="501"/>
    </row>
    <row r="38549" spans="25:25" hidden="1" x14ac:dyDescent="0.25">
      <c r="Y38549" s="501"/>
    </row>
    <row r="38550" spans="25:25" hidden="1" x14ac:dyDescent="0.25">
      <c r="Y38550" s="501"/>
    </row>
    <row r="38551" spans="25:25" hidden="1" x14ac:dyDescent="0.25">
      <c r="Y38551" s="501"/>
    </row>
    <row r="38552" spans="25:25" hidden="1" x14ac:dyDescent="0.25">
      <c r="Y38552" s="501"/>
    </row>
    <row r="38553" spans="25:25" hidden="1" x14ac:dyDescent="0.25">
      <c r="Y38553" s="501"/>
    </row>
    <row r="38554" spans="25:25" hidden="1" x14ac:dyDescent="0.25">
      <c r="Y38554" s="501"/>
    </row>
    <row r="38555" spans="25:25" hidden="1" x14ac:dyDescent="0.25">
      <c r="Y38555" s="501"/>
    </row>
    <row r="38556" spans="25:25" hidden="1" x14ac:dyDescent="0.25">
      <c r="Y38556" s="501"/>
    </row>
    <row r="38557" spans="25:25" hidden="1" x14ac:dyDescent="0.25">
      <c r="Y38557" s="501"/>
    </row>
    <row r="38558" spans="25:25" hidden="1" x14ac:dyDescent="0.25">
      <c r="Y38558" s="501"/>
    </row>
    <row r="38559" spans="25:25" hidden="1" x14ac:dyDescent="0.25">
      <c r="Y38559" s="501"/>
    </row>
    <row r="38560" spans="25:25" hidden="1" x14ac:dyDescent="0.25">
      <c r="Y38560" s="501"/>
    </row>
    <row r="38561" spans="25:25" hidden="1" x14ac:dyDescent="0.25">
      <c r="Y38561" s="501"/>
    </row>
    <row r="38562" spans="25:25" hidden="1" x14ac:dyDescent="0.25">
      <c r="Y38562" s="501"/>
    </row>
    <row r="38563" spans="25:25" hidden="1" x14ac:dyDescent="0.25">
      <c r="Y38563" s="501"/>
    </row>
    <row r="38564" spans="25:25" hidden="1" x14ac:dyDescent="0.25">
      <c r="Y38564" s="501"/>
    </row>
    <row r="38565" spans="25:25" hidden="1" x14ac:dyDescent="0.25">
      <c r="Y38565" s="501"/>
    </row>
    <row r="38566" spans="25:25" hidden="1" x14ac:dyDescent="0.25">
      <c r="Y38566" s="501"/>
    </row>
    <row r="38567" spans="25:25" hidden="1" x14ac:dyDescent="0.25">
      <c r="Y38567" s="501"/>
    </row>
    <row r="38568" spans="25:25" hidden="1" x14ac:dyDescent="0.25">
      <c r="Y38568" s="501"/>
    </row>
    <row r="38569" spans="25:25" hidden="1" x14ac:dyDescent="0.25">
      <c r="Y38569" s="501"/>
    </row>
    <row r="38570" spans="25:25" hidden="1" x14ac:dyDescent="0.25">
      <c r="Y38570" s="501"/>
    </row>
    <row r="38571" spans="25:25" hidden="1" x14ac:dyDescent="0.25">
      <c r="Y38571" s="501"/>
    </row>
    <row r="38572" spans="25:25" hidden="1" x14ac:dyDescent="0.25">
      <c r="Y38572" s="501"/>
    </row>
    <row r="38573" spans="25:25" hidden="1" x14ac:dyDescent="0.25">
      <c r="Y38573" s="501"/>
    </row>
    <row r="38574" spans="25:25" hidden="1" x14ac:dyDescent="0.25">
      <c r="Y38574" s="501"/>
    </row>
    <row r="38575" spans="25:25" hidden="1" x14ac:dyDescent="0.25">
      <c r="Y38575" s="501"/>
    </row>
    <row r="38576" spans="25:25" hidden="1" x14ac:dyDescent="0.25">
      <c r="Y38576" s="501"/>
    </row>
    <row r="38577" spans="25:25" hidden="1" x14ac:dyDescent="0.25">
      <c r="Y38577" s="501"/>
    </row>
    <row r="38578" spans="25:25" hidden="1" x14ac:dyDescent="0.25">
      <c r="Y38578" s="501"/>
    </row>
    <row r="38579" spans="25:25" hidden="1" x14ac:dyDescent="0.25">
      <c r="Y38579" s="501"/>
    </row>
    <row r="38580" spans="25:25" hidden="1" x14ac:dyDescent="0.25">
      <c r="Y38580" s="501"/>
    </row>
    <row r="38581" spans="25:25" hidden="1" x14ac:dyDescent="0.25">
      <c r="Y38581" s="501"/>
    </row>
    <row r="38582" spans="25:25" hidden="1" x14ac:dyDescent="0.25">
      <c r="Y38582" s="501"/>
    </row>
    <row r="38583" spans="25:25" hidden="1" x14ac:dyDescent="0.25">
      <c r="Y38583" s="501"/>
    </row>
    <row r="38584" spans="25:25" hidden="1" x14ac:dyDescent="0.25">
      <c r="Y38584" s="501"/>
    </row>
    <row r="38585" spans="25:25" hidden="1" x14ac:dyDescent="0.25">
      <c r="Y38585" s="501"/>
    </row>
    <row r="38586" spans="25:25" hidden="1" x14ac:dyDescent="0.25">
      <c r="Y38586" s="501"/>
    </row>
    <row r="38587" spans="25:25" hidden="1" x14ac:dyDescent="0.25">
      <c r="Y38587" s="501"/>
    </row>
    <row r="38588" spans="25:25" hidden="1" x14ac:dyDescent="0.25">
      <c r="Y38588" s="501"/>
    </row>
    <row r="38589" spans="25:25" hidden="1" x14ac:dyDescent="0.25">
      <c r="Y38589" s="501"/>
    </row>
    <row r="38590" spans="25:25" hidden="1" x14ac:dyDescent="0.25">
      <c r="Y38590" s="501"/>
    </row>
    <row r="38591" spans="25:25" hidden="1" x14ac:dyDescent="0.25">
      <c r="Y38591" s="501"/>
    </row>
    <row r="38592" spans="25:25" hidden="1" x14ac:dyDescent="0.25">
      <c r="Y38592" s="501"/>
    </row>
    <row r="38593" spans="25:25" hidden="1" x14ac:dyDescent="0.25">
      <c r="Y38593" s="501"/>
    </row>
    <row r="38594" spans="25:25" hidden="1" x14ac:dyDescent="0.25">
      <c r="Y38594" s="501"/>
    </row>
    <row r="38595" spans="25:25" hidden="1" x14ac:dyDescent="0.25">
      <c r="Y38595" s="501"/>
    </row>
    <row r="38596" spans="25:25" hidden="1" x14ac:dyDescent="0.25">
      <c r="Y38596" s="501"/>
    </row>
    <row r="38597" spans="25:25" hidden="1" x14ac:dyDescent="0.25">
      <c r="Y38597" s="501"/>
    </row>
    <row r="38598" spans="25:25" hidden="1" x14ac:dyDescent="0.25">
      <c r="Y38598" s="501"/>
    </row>
    <row r="38599" spans="25:25" hidden="1" x14ac:dyDescent="0.25">
      <c r="Y38599" s="501"/>
    </row>
    <row r="38600" spans="25:25" hidden="1" x14ac:dyDescent="0.25">
      <c r="Y38600" s="501"/>
    </row>
    <row r="38601" spans="25:25" hidden="1" x14ac:dyDescent="0.25">
      <c r="Y38601" s="501"/>
    </row>
    <row r="38602" spans="25:25" hidden="1" x14ac:dyDescent="0.25">
      <c r="Y38602" s="501"/>
    </row>
    <row r="38603" spans="25:25" hidden="1" x14ac:dyDescent="0.25">
      <c r="Y38603" s="501"/>
    </row>
    <row r="38604" spans="25:25" hidden="1" x14ac:dyDescent="0.25">
      <c r="Y38604" s="501"/>
    </row>
    <row r="38605" spans="25:25" hidden="1" x14ac:dyDescent="0.25">
      <c r="Y38605" s="501"/>
    </row>
    <row r="38606" spans="25:25" hidden="1" x14ac:dyDescent="0.25">
      <c r="Y38606" s="501"/>
    </row>
    <row r="38607" spans="25:25" hidden="1" x14ac:dyDescent="0.25">
      <c r="Y38607" s="501"/>
    </row>
    <row r="38608" spans="25:25" hidden="1" x14ac:dyDescent="0.25">
      <c r="Y38608" s="501"/>
    </row>
    <row r="38609" spans="25:25" hidden="1" x14ac:dyDescent="0.25">
      <c r="Y38609" s="501"/>
    </row>
    <row r="38610" spans="25:25" hidden="1" x14ac:dyDescent="0.25">
      <c r="Y38610" s="501"/>
    </row>
    <row r="38611" spans="25:25" hidden="1" x14ac:dyDescent="0.25">
      <c r="Y38611" s="501"/>
    </row>
    <row r="38612" spans="25:25" hidden="1" x14ac:dyDescent="0.25">
      <c r="Y38612" s="501"/>
    </row>
    <row r="38613" spans="25:25" hidden="1" x14ac:dyDescent="0.25">
      <c r="Y38613" s="501"/>
    </row>
    <row r="38614" spans="25:25" hidden="1" x14ac:dyDescent="0.25">
      <c r="Y38614" s="501"/>
    </row>
    <row r="38615" spans="25:25" hidden="1" x14ac:dyDescent="0.25">
      <c r="Y38615" s="501"/>
    </row>
    <row r="38616" spans="25:25" hidden="1" x14ac:dyDescent="0.25">
      <c r="Y38616" s="501"/>
    </row>
    <row r="38617" spans="25:25" hidden="1" x14ac:dyDescent="0.25">
      <c r="Y38617" s="501"/>
    </row>
    <row r="38618" spans="25:25" hidden="1" x14ac:dyDescent="0.25">
      <c r="Y38618" s="501"/>
    </row>
    <row r="38619" spans="25:25" hidden="1" x14ac:dyDescent="0.25">
      <c r="Y38619" s="501"/>
    </row>
    <row r="38620" spans="25:25" hidden="1" x14ac:dyDescent="0.25">
      <c r="Y38620" s="501"/>
    </row>
    <row r="38621" spans="25:25" hidden="1" x14ac:dyDescent="0.25">
      <c r="Y38621" s="501"/>
    </row>
    <row r="38622" spans="25:25" hidden="1" x14ac:dyDescent="0.25">
      <c r="Y38622" s="501"/>
    </row>
    <row r="38623" spans="25:25" hidden="1" x14ac:dyDescent="0.25">
      <c r="Y38623" s="501"/>
    </row>
    <row r="38624" spans="25:25" hidden="1" x14ac:dyDescent="0.25">
      <c r="Y38624" s="501"/>
    </row>
    <row r="38625" spans="25:25" hidden="1" x14ac:dyDescent="0.25">
      <c r="Y38625" s="501"/>
    </row>
    <row r="38626" spans="25:25" hidden="1" x14ac:dyDescent="0.25">
      <c r="Y38626" s="501"/>
    </row>
    <row r="38627" spans="25:25" hidden="1" x14ac:dyDescent="0.25">
      <c r="Y38627" s="501"/>
    </row>
    <row r="38628" spans="25:25" hidden="1" x14ac:dyDescent="0.25">
      <c r="Y38628" s="501"/>
    </row>
    <row r="38629" spans="25:25" hidden="1" x14ac:dyDescent="0.25">
      <c r="Y38629" s="501"/>
    </row>
    <row r="38630" spans="25:25" hidden="1" x14ac:dyDescent="0.25">
      <c r="Y38630" s="501"/>
    </row>
    <row r="38631" spans="25:25" hidden="1" x14ac:dyDescent="0.25">
      <c r="Y38631" s="501"/>
    </row>
    <row r="38632" spans="25:25" hidden="1" x14ac:dyDescent="0.25">
      <c r="Y38632" s="501"/>
    </row>
    <row r="38633" spans="25:25" hidden="1" x14ac:dyDescent="0.25">
      <c r="Y38633" s="501"/>
    </row>
    <row r="38634" spans="25:25" hidden="1" x14ac:dyDescent="0.25">
      <c r="Y38634" s="501"/>
    </row>
    <row r="38635" spans="25:25" hidden="1" x14ac:dyDescent="0.25">
      <c r="Y38635" s="501"/>
    </row>
    <row r="38636" spans="25:25" hidden="1" x14ac:dyDescent="0.25">
      <c r="Y38636" s="501"/>
    </row>
    <row r="38637" spans="25:25" hidden="1" x14ac:dyDescent="0.25">
      <c r="Y38637" s="501"/>
    </row>
    <row r="38638" spans="25:25" hidden="1" x14ac:dyDescent="0.25">
      <c r="Y38638" s="501"/>
    </row>
    <row r="38639" spans="25:25" hidden="1" x14ac:dyDescent="0.25">
      <c r="Y38639" s="501"/>
    </row>
    <row r="38640" spans="25:25" hidden="1" x14ac:dyDescent="0.25">
      <c r="Y38640" s="501"/>
    </row>
    <row r="38641" spans="25:25" hidden="1" x14ac:dyDescent="0.25">
      <c r="Y38641" s="501"/>
    </row>
    <row r="38642" spans="25:25" hidden="1" x14ac:dyDescent="0.25">
      <c r="Y38642" s="501"/>
    </row>
    <row r="38643" spans="25:25" hidden="1" x14ac:dyDescent="0.25">
      <c r="Y38643" s="501"/>
    </row>
    <row r="38644" spans="25:25" hidden="1" x14ac:dyDescent="0.25">
      <c r="Y38644" s="501"/>
    </row>
    <row r="38645" spans="25:25" hidden="1" x14ac:dyDescent="0.25">
      <c r="Y38645" s="501"/>
    </row>
    <row r="38646" spans="25:25" hidden="1" x14ac:dyDescent="0.25">
      <c r="Y38646" s="501"/>
    </row>
    <row r="38647" spans="25:25" hidden="1" x14ac:dyDescent="0.25">
      <c r="Y38647" s="501"/>
    </row>
    <row r="38648" spans="25:25" hidden="1" x14ac:dyDescent="0.25">
      <c r="Y38648" s="501"/>
    </row>
    <row r="38649" spans="25:25" hidden="1" x14ac:dyDescent="0.25">
      <c r="Y38649" s="501"/>
    </row>
    <row r="38650" spans="25:25" hidden="1" x14ac:dyDescent="0.25">
      <c r="Y38650" s="501"/>
    </row>
    <row r="38651" spans="25:25" hidden="1" x14ac:dyDescent="0.25">
      <c r="Y38651" s="501"/>
    </row>
    <row r="38652" spans="25:25" hidden="1" x14ac:dyDescent="0.25">
      <c r="Y38652" s="501"/>
    </row>
    <row r="38653" spans="25:25" hidden="1" x14ac:dyDescent="0.25">
      <c r="Y38653" s="501"/>
    </row>
    <row r="38654" spans="25:25" hidden="1" x14ac:dyDescent="0.25">
      <c r="Y38654" s="501"/>
    </row>
    <row r="38655" spans="25:25" hidden="1" x14ac:dyDescent="0.25">
      <c r="Y38655" s="501"/>
    </row>
    <row r="38656" spans="25:25" hidden="1" x14ac:dyDescent="0.25">
      <c r="Y38656" s="501"/>
    </row>
    <row r="38657" spans="25:25" hidden="1" x14ac:dyDescent="0.25">
      <c r="Y38657" s="501"/>
    </row>
    <row r="38658" spans="25:25" hidden="1" x14ac:dyDescent="0.25">
      <c r="Y38658" s="501"/>
    </row>
    <row r="38659" spans="25:25" hidden="1" x14ac:dyDescent="0.25">
      <c r="Y38659" s="501"/>
    </row>
    <row r="38660" spans="25:25" hidden="1" x14ac:dyDescent="0.25">
      <c r="Y38660" s="501"/>
    </row>
    <row r="38661" spans="25:25" hidden="1" x14ac:dyDescent="0.25">
      <c r="Y38661" s="501"/>
    </row>
    <row r="38662" spans="25:25" hidden="1" x14ac:dyDescent="0.25">
      <c r="Y38662" s="501"/>
    </row>
    <row r="38663" spans="25:25" hidden="1" x14ac:dyDescent="0.25">
      <c r="Y38663" s="501"/>
    </row>
    <row r="38664" spans="25:25" hidden="1" x14ac:dyDescent="0.25">
      <c r="Y38664" s="501"/>
    </row>
    <row r="38665" spans="25:25" hidden="1" x14ac:dyDescent="0.25">
      <c r="Y38665" s="501"/>
    </row>
    <row r="38666" spans="25:25" hidden="1" x14ac:dyDescent="0.25">
      <c r="Y38666" s="501"/>
    </row>
    <row r="38667" spans="25:25" hidden="1" x14ac:dyDescent="0.25">
      <c r="Y38667" s="501"/>
    </row>
    <row r="38668" spans="25:25" hidden="1" x14ac:dyDescent="0.25">
      <c r="Y38668" s="501"/>
    </row>
    <row r="38669" spans="25:25" hidden="1" x14ac:dyDescent="0.25">
      <c r="Y38669" s="501"/>
    </row>
    <row r="38670" spans="25:25" hidden="1" x14ac:dyDescent="0.25">
      <c r="Y38670" s="501"/>
    </row>
    <row r="38671" spans="25:25" hidden="1" x14ac:dyDescent="0.25">
      <c r="Y38671" s="501"/>
    </row>
    <row r="38672" spans="25:25" hidden="1" x14ac:dyDescent="0.25">
      <c r="Y38672" s="501"/>
    </row>
    <row r="38673" spans="25:25" hidden="1" x14ac:dyDescent="0.25">
      <c r="Y38673" s="501"/>
    </row>
    <row r="38674" spans="25:25" hidden="1" x14ac:dyDescent="0.25">
      <c r="Y38674" s="501"/>
    </row>
    <row r="38675" spans="25:25" hidden="1" x14ac:dyDescent="0.25">
      <c r="Y38675" s="501"/>
    </row>
    <row r="38676" spans="25:25" hidden="1" x14ac:dyDescent="0.25">
      <c r="Y38676" s="501"/>
    </row>
    <row r="38677" spans="25:25" hidden="1" x14ac:dyDescent="0.25">
      <c r="Y38677" s="501"/>
    </row>
    <row r="38678" spans="25:25" hidden="1" x14ac:dyDescent="0.25">
      <c r="Y38678" s="501"/>
    </row>
    <row r="38679" spans="25:25" hidden="1" x14ac:dyDescent="0.25">
      <c r="Y38679" s="501"/>
    </row>
    <row r="38680" spans="25:25" hidden="1" x14ac:dyDescent="0.25">
      <c r="Y38680" s="501"/>
    </row>
    <row r="38681" spans="25:25" hidden="1" x14ac:dyDescent="0.25">
      <c r="Y38681" s="501"/>
    </row>
    <row r="38682" spans="25:25" hidden="1" x14ac:dyDescent="0.25">
      <c r="Y38682" s="501"/>
    </row>
    <row r="38683" spans="25:25" hidden="1" x14ac:dyDescent="0.25">
      <c r="Y38683" s="501"/>
    </row>
    <row r="38684" spans="25:25" hidden="1" x14ac:dyDescent="0.25">
      <c r="Y38684" s="501"/>
    </row>
    <row r="38685" spans="25:25" hidden="1" x14ac:dyDescent="0.25">
      <c r="Y38685" s="501"/>
    </row>
    <row r="38686" spans="25:25" hidden="1" x14ac:dyDescent="0.25">
      <c r="Y38686" s="501"/>
    </row>
    <row r="38687" spans="25:25" hidden="1" x14ac:dyDescent="0.25">
      <c r="Y38687" s="501"/>
    </row>
    <row r="38688" spans="25:25" hidden="1" x14ac:dyDescent="0.25">
      <c r="Y38688" s="501"/>
    </row>
    <row r="38689" spans="25:25" hidden="1" x14ac:dyDescent="0.25">
      <c r="Y38689" s="501"/>
    </row>
    <row r="38690" spans="25:25" hidden="1" x14ac:dyDescent="0.25">
      <c r="Y38690" s="501"/>
    </row>
    <row r="38691" spans="25:25" hidden="1" x14ac:dyDescent="0.25">
      <c r="Y38691" s="501"/>
    </row>
    <row r="38692" spans="25:25" hidden="1" x14ac:dyDescent="0.25">
      <c r="Y38692" s="501"/>
    </row>
    <row r="38693" spans="25:25" hidden="1" x14ac:dyDescent="0.25">
      <c r="Y38693" s="501"/>
    </row>
    <row r="38694" spans="25:25" hidden="1" x14ac:dyDescent="0.25">
      <c r="Y38694" s="501"/>
    </row>
    <row r="38695" spans="25:25" hidden="1" x14ac:dyDescent="0.25">
      <c r="Y38695" s="501"/>
    </row>
    <row r="38696" spans="25:25" hidden="1" x14ac:dyDescent="0.25">
      <c r="Y38696" s="501"/>
    </row>
    <row r="38697" spans="25:25" hidden="1" x14ac:dyDescent="0.25">
      <c r="Y38697" s="501"/>
    </row>
    <row r="38698" spans="25:25" hidden="1" x14ac:dyDescent="0.25">
      <c r="Y38698" s="501"/>
    </row>
    <row r="38699" spans="25:25" hidden="1" x14ac:dyDescent="0.25">
      <c r="Y38699" s="501"/>
    </row>
    <row r="38700" spans="25:25" hidden="1" x14ac:dyDescent="0.25">
      <c r="Y38700" s="501"/>
    </row>
    <row r="38701" spans="25:25" hidden="1" x14ac:dyDescent="0.25">
      <c r="Y38701" s="501"/>
    </row>
    <row r="38702" spans="25:25" hidden="1" x14ac:dyDescent="0.25">
      <c r="Y38702" s="501"/>
    </row>
    <row r="38703" spans="25:25" hidden="1" x14ac:dyDescent="0.25">
      <c r="Y38703" s="501"/>
    </row>
    <row r="38704" spans="25:25" hidden="1" x14ac:dyDescent="0.25">
      <c r="Y38704" s="501"/>
    </row>
    <row r="38705" spans="25:25" hidden="1" x14ac:dyDescent="0.25">
      <c r="Y38705" s="501"/>
    </row>
    <row r="38706" spans="25:25" hidden="1" x14ac:dyDescent="0.25">
      <c r="Y38706" s="501"/>
    </row>
    <row r="38707" spans="25:25" hidden="1" x14ac:dyDescent="0.25">
      <c r="Y38707" s="501"/>
    </row>
    <row r="38708" spans="25:25" hidden="1" x14ac:dyDescent="0.25">
      <c r="Y38708" s="501"/>
    </row>
    <row r="38709" spans="25:25" hidden="1" x14ac:dyDescent="0.25">
      <c r="Y38709" s="501"/>
    </row>
    <row r="38710" spans="25:25" hidden="1" x14ac:dyDescent="0.25">
      <c r="Y38710" s="501"/>
    </row>
    <row r="38711" spans="25:25" hidden="1" x14ac:dyDescent="0.25">
      <c r="Y38711" s="501"/>
    </row>
    <row r="38712" spans="25:25" hidden="1" x14ac:dyDescent="0.25">
      <c r="Y38712" s="501"/>
    </row>
    <row r="38713" spans="25:25" hidden="1" x14ac:dyDescent="0.25">
      <c r="Y38713" s="501"/>
    </row>
    <row r="38714" spans="25:25" hidden="1" x14ac:dyDescent="0.25">
      <c r="Y38714" s="501"/>
    </row>
    <row r="38715" spans="25:25" hidden="1" x14ac:dyDescent="0.25">
      <c r="Y38715" s="501"/>
    </row>
    <row r="38716" spans="25:25" hidden="1" x14ac:dyDescent="0.25">
      <c r="Y38716" s="501"/>
    </row>
    <row r="38717" spans="25:25" hidden="1" x14ac:dyDescent="0.25">
      <c r="Y38717" s="501"/>
    </row>
    <row r="38718" spans="25:25" hidden="1" x14ac:dyDescent="0.25">
      <c r="Y38718" s="501"/>
    </row>
    <row r="38719" spans="25:25" hidden="1" x14ac:dyDescent="0.25">
      <c r="Y38719" s="501"/>
    </row>
    <row r="38720" spans="25:25" hidden="1" x14ac:dyDescent="0.25">
      <c r="Y38720" s="501"/>
    </row>
    <row r="38721" spans="25:25" hidden="1" x14ac:dyDescent="0.25">
      <c r="Y38721" s="501"/>
    </row>
    <row r="38722" spans="25:25" hidden="1" x14ac:dyDescent="0.25">
      <c r="Y38722" s="501"/>
    </row>
    <row r="38723" spans="25:25" hidden="1" x14ac:dyDescent="0.25">
      <c r="Y38723" s="501"/>
    </row>
    <row r="38724" spans="25:25" hidden="1" x14ac:dyDescent="0.25">
      <c r="Y38724" s="501"/>
    </row>
    <row r="38725" spans="25:25" hidden="1" x14ac:dyDescent="0.25">
      <c r="Y38725" s="501"/>
    </row>
    <row r="38726" spans="25:25" hidden="1" x14ac:dyDescent="0.25">
      <c r="Y38726" s="501"/>
    </row>
    <row r="38727" spans="25:25" hidden="1" x14ac:dyDescent="0.25">
      <c r="Y38727" s="501"/>
    </row>
    <row r="38728" spans="25:25" hidden="1" x14ac:dyDescent="0.25">
      <c r="Y38728" s="501"/>
    </row>
    <row r="38729" spans="25:25" hidden="1" x14ac:dyDescent="0.25">
      <c r="Y38729" s="501"/>
    </row>
    <row r="38730" spans="25:25" hidden="1" x14ac:dyDescent="0.25">
      <c r="Y38730" s="501"/>
    </row>
    <row r="38731" spans="25:25" hidden="1" x14ac:dyDescent="0.25">
      <c r="Y38731" s="501"/>
    </row>
    <row r="38732" spans="25:25" hidden="1" x14ac:dyDescent="0.25">
      <c r="Y38732" s="501"/>
    </row>
    <row r="38733" spans="25:25" hidden="1" x14ac:dyDescent="0.25">
      <c r="Y38733" s="501"/>
    </row>
    <row r="38734" spans="25:25" hidden="1" x14ac:dyDescent="0.25">
      <c r="Y38734" s="501"/>
    </row>
    <row r="38735" spans="25:25" hidden="1" x14ac:dyDescent="0.25">
      <c r="Y38735" s="501"/>
    </row>
    <row r="38736" spans="25:25" hidden="1" x14ac:dyDescent="0.25">
      <c r="Y38736" s="501"/>
    </row>
    <row r="38737" spans="25:25" hidden="1" x14ac:dyDescent="0.25">
      <c r="Y38737" s="501"/>
    </row>
    <row r="38738" spans="25:25" hidden="1" x14ac:dyDescent="0.25">
      <c r="Y38738" s="501"/>
    </row>
    <row r="38739" spans="25:25" hidden="1" x14ac:dyDescent="0.25">
      <c r="Y38739" s="501"/>
    </row>
    <row r="38740" spans="25:25" hidden="1" x14ac:dyDescent="0.25">
      <c r="Y38740" s="501"/>
    </row>
    <row r="38741" spans="25:25" hidden="1" x14ac:dyDescent="0.25">
      <c r="Y38741" s="501"/>
    </row>
    <row r="38742" spans="25:25" hidden="1" x14ac:dyDescent="0.25">
      <c r="Y38742" s="501"/>
    </row>
    <row r="38743" spans="25:25" hidden="1" x14ac:dyDescent="0.25">
      <c r="Y38743" s="501"/>
    </row>
    <row r="38744" spans="25:25" hidden="1" x14ac:dyDescent="0.25">
      <c r="Y38744" s="501"/>
    </row>
    <row r="38745" spans="25:25" hidden="1" x14ac:dyDescent="0.25">
      <c r="Y38745" s="501"/>
    </row>
    <row r="38746" spans="25:25" hidden="1" x14ac:dyDescent="0.25">
      <c r="Y38746" s="501"/>
    </row>
    <row r="38747" spans="25:25" hidden="1" x14ac:dyDescent="0.25">
      <c r="Y38747" s="501"/>
    </row>
    <row r="38748" spans="25:25" hidden="1" x14ac:dyDescent="0.25">
      <c r="Y38748" s="501"/>
    </row>
    <row r="38749" spans="25:25" hidden="1" x14ac:dyDescent="0.25">
      <c r="Y38749" s="501"/>
    </row>
    <row r="38750" spans="25:25" hidden="1" x14ac:dyDescent="0.25">
      <c r="Y38750" s="501"/>
    </row>
    <row r="38751" spans="25:25" hidden="1" x14ac:dyDescent="0.25">
      <c r="Y38751" s="501"/>
    </row>
    <row r="38752" spans="25:25" hidden="1" x14ac:dyDescent="0.25">
      <c r="Y38752" s="501"/>
    </row>
    <row r="38753" spans="25:25" hidden="1" x14ac:dyDescent="0.25">
      <c r="Y38753" s="501"/>
    </row>
    <row r="38754" spans="25:25" hidden="1" x14ac:dyDescent="0.25">
      <c r="Y38754" s="501"/>
    </row>
    <row r="38755" spans="25:25" hidden="1" x14ac:dyDescent="0.25">
      <c r="Y38755" s="501"/>
    </row>
    <row r="38756" spans="25:25" hidden="1" x14ac:dyDescent="0.25">
      <c r="Y38756" s="501"/>
    </row>
    <row r="38757" spans="25:25" hidden="1" x14ac:dyDescent="0.25">
      <c r="Y38757" s="501"/>
    </row>
    <row r="38758" spans="25:25" hidden="1" x14ac:dyDescent="0.25">
      <c r="Y38758" s="501"/>
    </row>
    <row r="38759" spans="25:25" hidden="1" x14ac:dyDescent="0.25">
      <c r="Y38759" s="501"/>
    </row>
    <row r="38760" spans="25:25" hidden="1" x14ac:dyDescent="0.25">
      <c r="Y38760" s="501"/>
    </row>
    <row r="38761" spans="25:25" hidden="1" x14ac:dyDescent="0.25">
      <c r="Y38761" s="501"/>
    </row>
    <row r="38762" spans="25:25" hidden="1" x14ac:dyDescent="0.25">
      <c r="Y38762" s="501"/>
    </row>
    <row r="38763" spans="25:25" hidden="1" x14ac:dyDescent="0.25">
      <c r="Y38763" s="501"/>
    </row>
    <row r="38764" spans="25:25" hidden="1" x14ac:dyDescent="0.25">
      <c r="Y38764" s="501"/>
    </row>
    <row r="38765" spans="25:25" hidden="1" x14ac:dyDescent="0.25">
      <c r="Y38765" s="501"/>
    </row>
    <row r="38766" spans="25:25" hidden="1" x14ac:dyDescent="0.25">
      <c r="Y38766" s="501"/>
    </row>
    <row r="38767" spans="25:25" hidden="1" x14ac:dyDescent="0.25">
      <c r="Y38767" s="501"/>
    </row>
    <row r="38768" spans="25:25" hidden="1" x14ac:dyDescent="0.25">
      <c r="Y38768" s="501"/>
    </row>
    <row r="38769" spans="25:25" hidden="1" x14ac:dyDescent="0.25">
      <c r="Y38769" s="501"/>
    </row>
    <row r="38770" spans="25:25" hidden="1" x14ac:dyDescent="0.25">
      <c r="Y38770" s="501"/>
    </row>
    <row r="38771" spans="25:25" hidden="1" x14ac:dyDescent="0.25">
      <c r="Y38771" s="501"/>
    </row>
    <row r="38772" spans="25:25" hidden="1" x14ac:dyDescent="0.25">
      <c r="Y38772" s="501"/>
    </row>
    <row r="38773" spans="25:25" hidden="1" x14ac:dyDescent="0.25">
      <c r="Y38773" s="501"/>
    </row>
    <row r="38774" spans="25:25" hidden="1" x14ac:dyDescent="0.25">
      <c r="Y38774" s="501"/>
    </row>
    <row r="38775" spans="25:25" hidden="1" x14ac:dyDescent="0.25">
      <c r="Y38775" s="501"/>
    </row>
    <row r="38776" spans="25:25" hidden="1" x14ac:dyDescent="0.25">
      <c r="Y38776" s="501"/>
    </row>
    <row r="38777" spans="25:25" hidden="1" x14ac:dyDescent="0.25">
      <c r="Y38777" s="501"/>
    </row>
    <row r="38778" spans="25:25" hidden="1" x14ac:dyDescent="0.25">
      <c r="Y38778" s="501"/>
    </row>
    <row r="38779" spans="25:25" hidden="1" x14ac:dyDescent="0.25">
      <c r="Y38779" s="501"/>
    </row>
    <row r="38780" spans="25:25" hidden="1" x14ac:dyDescent="0.25">
      <c r="Y38780" s="501"/>
    </row>
    <row r="38781" spans="25:25" hidden="1" x14ac:dyDescent="0.25">
      <c r="Y38781" s="501"/>
    </row>
    <row r="38782" spans="25:25" hidden="1" x14ac:dyDescent="0.25">
      <c r="Y38782" s="501"/>
    </row>
    <row r="38783" spans="25:25" hidden="1" x14ac:dyDescent="0.25">
      <c r="Y38783" s="501"/>
    </row>
    <row r="38784" spans="25:25" hidden="1" x14ac:dyDescent="0.25">
      <c r="Y38784" s="501"/>
    </row>
    <row r="38785" spans="25:25" hidden="1" x14ac:dyDescent="0.25">
      <c r="Y38785" s="501"/>
    </row>
    <row r="38786" spans="25:25" hidden="1" x14ac:dyDescent="0.25">
      <c r="Y38786" s="501"/>
    </row>
    <row r="38787" spans="25:25" hidden="1" x14ac:dyDescent="0.25">
      <c r="Y38787" s="501"/>
    </row>
    <row r="38788" spans="25:25" hidden="1" x14ac:dyDescent="0.25">
      <c r="Y38788" s="501"/>
    </row>
    <row r="38789" spans="25:25" hidden="1" x14ac:dyDescent="0.25">
      <c r="Y38789" s="501"/>
    </row>
    <row r="38790" spans="25:25" hidden="1" x14ac:dyDescent="0.25">
      <c r="Y38790" s="501"/>
    </row>
    <row r="38791" spans="25:25" hidden="1" x14ac:dyDescent="0.25">
      <c r="Y38791" s="501"/>
    </row>
    <row r="38792" spans="25:25" hidden="1" x14ac:dyDescent="0.25">
      <c r="Y38792" s="501"/>
    </row>
    <row r="38793" spans="25:25" hidden="1" x14ac:dyDescent="0.25">
      <c r="Y38793" s="501"/>
    </row>
    <row r="38794" spans="25:25" hidden="1" x14ac:dyDescent="0.25">
      <c r="Y38794" s="501"/>
    </row>
    <row r="38795" spans="25:25" hidden="1" x14ac:dyDescent="0.25">
      <c r="Y38795" s="501"/>
    </row>
    <row r="38796" spans="25:25" hidden="1" x14ac:dyDescent="0.25">
      <c r="Y38796" s="501"/>
    </row>
    <row r="38797" spans="25:25" hidden="1" x14ac:dyDescent="0.25">
      <c r="Y38797" s="501"/>
    </row>
    <row r="38798" spans="25:25" hidden="1" x14ac:dyDescent="0.25">
      <c r="Y38798" s="501"/>
    </row>
    <row r="38799" spans="25:25" hidden="1" x14ac:dyDescent="0.25">
      <c r="Y38799" s="501"/>
    </row>
    <row r="38800" spans="25:25" hidden="1" x14ac:dyDescent="0.25">
      <c r="Y38800" s="501"/>
    </row>
    <row r="38801" spans="25:25" hidden="1" x14ac:dyDescent="0.25">
      <c r="Y38801" s="501"/>
    </row>
    <row r="38802" spans="25:25" hidden="1" x14ac:dyDescent="0.25">
      <c r="Y38802" s="501"/>
    </row>
    <row r="38803" spans="25:25" hidden="1" x14ac:dyDescent="0.25">
      <c r="Y38803" s="501"/>
    </row>
    <row r="38804" spans="25:25" hidden="1" x14ac:dyDescent="0.25">
      <c r="Y38804" s="501"/>
    </row>
    <row r="38805" spans="25:25" hidden="1" x14ac:dyDescent="0.25">
      <c r="Y38805" s="501"/>
    </row>
    <row r="38806" spans="25:25" hidden="1" x14ac:dyDescent="0.25">
      <c r="Y38806" s="501"/>
    </row>
    <row r="38807" spans="25:25" hidden="1" x14ac:dyDescent="0.25">
      <c r="Y38807" s="501"/>
    </row>
    <row r="38808" spans="25:25" hidden="1" x14ac:dyDescent="0.25">
      <c r="Y38808" s="501"/>
    </row>
    <row r="38809" spans="25:25" hidden="1" x14ac:dyDescent="0.25">
      <c r="Y38809" s="501"/>
    </row>
    <row r="38810" spans="25:25" hidden="1" x14ac:dyDescent="0.25">
      <c r="Y38810" s="501"/>
    </row>
    <row r="38811" spans="25:25" hidden="1" x14ac:dyDescent="0.25">
      <c r="Y38811" s="501"/>
    </row>
    <row r="38812" spans="25:25" hidden="1" x14ac:dyDescent="0.25">
      <c r="Y38812" s="501"/>
    </row>
    <row r="38813" spans="25:25" hidden="1" x14ac:dyDescent="0.25">
      <c r="Y38813" s="501"/>
    </row>
    <row r="38814" spans="25:25" hidden="1" x14ac:dyDescent="0.25">
      <c r="Y38814" s="501"/>
    </row>
    <row r="38815" spans="25:25" hidden="1" x14ac:dyDescent="0.25">
      <c r="Y38815" s="501"/>
    </row>
    <row r="38816" spans="25:25" hidden="1" x14ac:dyDescent="0.25">
      <c r="Y38816" s="501"/>
    </row>
    <row r="38817" spans="25:25" hidden="1" x14ac:dyDescent="0.25">
      <c r="Y38817" s="501"/>
    </row>
    <row r="38818" spans="25:25" hidden="1" x14ac:dyDescent="0.25">
      <c r="Y38818" s="501"/>
    </row>
    <row r="38819" spans="25:25" hidden="1" x14ac:dyDescent="0.25">
      <c r="Y38819" s="501"/>
    </row>
    <row r="38820" spans="25:25" hidden="1" x14ac:dyDescent="0.25">
      <c r="Y38820" s="501"/>
    </row>
    <row r="38821" spans="25:25" hidden="1" x14ac:dyDescent="0.25">
      <c r="Y38821" s="501"/>
    </row>
    <row r="38822" spans="25:25" hidden="1" x14ac:dyDescent="0.25">
      <c r="Y38822" s="501"/>
    </row>
    <row r="38823" spans="25:25" hidden="1" x14ac:dyDescent="0.25">
      <c r="Y38823" s="501"/>
    </row>
    <row r="38824" spans="25:25" hidden="1" x14ac:dyDescent="0.25">
      <c r="Y38824" s="501"/>
    </row>
    <row r="38825" spans="25:25" hidden="1" x14ac:dyDescent="0.25">
      <c r="Y38825" s="501"/>
    </row>
    <row r="38826" spans="25:25" hidden="1" x14ac:dyDescent="0.25">
      <c r="Y38826" s="501"/>
    </row>
    <row r="38827" spans="25:25" hidden="1" x14ac:dyDescent="0.25">
      <c r="Y38827" s="501"/>
    </row>
    <row r="38828" spans="25:25" hidden="1" x14ac:dyDescent="0.25">
      <c r="Y38828" s="501"/>
    </row>
    <row r="38829" spans="25:25" hidden="1" x14ac:dyDescent="0.25">
      <c r="Y38829" s="501"/>
    </row>
    <row r="38830" spans="25:25" hidden="1" x14ac:dyDescent="0.25">
      <c r="Y38830" s="501"/>
    </row>
    <row r="38831" spans="25:25" hidden="1" x14ac:dyDescent="0.25">
      <c r="Y38831" s="501"/>
    </row>
    <row r="38832" spans="25:25" hidden="1" x14ac:dyDescent="0.25">
      <c r="Y38832" s="501"/>
    </row>
    <row r="38833" spans="25:25" hidden="1" x14ac:dyDescent="0.25">
      <c r="Y38833" s="501"/>
    </row>
    <row r="38834" spans="25:25" hidden="1" x14ac:dyDescent="0.25">
      <c r="Y38834" s="501"/>
    </row>
    <row r="38835" spans="25:25" hidden="1" x14ac:dyDescent="0.25">
      <c r="Y38835" s="501"/>
    </row>
    <row r="38836" spans="25:25" hidden="1" x14ac:dyDescent="0.25">
      <c r="Y38836" s="501"/>
    </row>
    <row r="38837" spans="25:25" hidden="1" x14ac:dyDescent="0.25">
      <c r="Y38837" s="501"/>
    </row>
    <row r="38838" spans="25:25" hidden="1" x14ac:dyDescent="0.25">
      <c r="Y38838" s="501"/>
    </row>
    <row r="38839" spans="25:25" hidden="1" x14ac:dyDescent="0.25">
      <c r="Y38839" s="501"/>
    </row>
    <row r="38840" spans="25:25" hidden="1" x14ac:dyDescent="0.25">
      <c r="Y38840" s="501"/>
    </row>
    <row r="38841" spans="25:25" hidden="1" x14ac:dyDescent="0.25">
      <c r="Y38841" s="501"/>
    </row>
    <row r="38842" spans="25:25" hidden="1" x14ac:dyDescent="0.25">
      <c r="Y38842" s="501"/>
    </row>
    <row r="38843" spans="25:25" hidden="1" x14ac:dyDescent="0.25">
      <c r="Y38843" s="501"/>
    </row>
    <row r="38844" spans="25:25" hidden="1" x14ac:dyDescent="0.25">
      <c r="Y38844" s="501"/>
    </row>
    <row r="38845" spans="25:25" hidden="1" x14ac:dyDescent="0.25">
      <c r="Y38845" s="501"/>
    </row>
    <row r="38846" spans="25:25" hidden="1" x14ac:dyDescent="0.25">
      <c r="Y38846" s="501"/>
    </row>
    <row r="38847" spans="25:25" hidden="1" x14ac:dyDescent="0.25">
      <c r="Y38847" s="501"/>
    </row>
    <row r="38848" spans="25:25" hidden="1" x14ac:dyDescent="0.25">
      <c r="Y38848" s="501"/>
    </row>
    <row r="38849" spans="25:25" hidden="1" x14ac:dyDescent="0.25">
      <c r="Y38849" s="501"/>
    </row>
    <row r="38850" spans="25:25" hidden="1" x14ac:dyDescent="0.25">
      <c r="Y38850" s="501"/>
    </row>
    <row r="38851" spans="25:25" hidden="1" x14ac:dyDescent="0.25">
      <c r="Y38851" s="501"/>
    </row>
    <row r="38852" spans="25:25" hidden="1" x14ac:dyDescent="0.25">
      <c r="Y38852" s="501"/>
    </row>
    <row r="38853" spans="25:25" hidden="1" x14ac:dyDescent="0.25">
      <c r="Y38853" s="501"/>
    </row>
    <row r="38854" spans="25:25" hidden="1" x14ac:dyDescent="0.25">
      <c r="Y38854" s="501"/>
    </row>
    <row r="38855" spans="25:25" hidden="1" x14ac:dyDescent="0.25">
      <c r="Y38855" s="501"/>
    </row>
    <row r="38856" spans="25:25" hidden="1" x14ac:dyDescent="0.25">
      <c r="Y38856" s="501"/>
    </row>
    <row r="38857" spans="25:25" hidden="1" x14ac:dyDescent="0.25">
      <c r="Y38857" s="501"/>
    </row>
    <row r="38858" spans="25:25" hidden="1" x14ac:dyDescent="0.25">
      <c r="Y38858" s="501"/>
    </row>
    <row r="38859" spans="25:25" hidden="1" x14ac:dyDescent="0.25">
      <c r="Y38859" s="501"/>
    </row>
    <row r="38860" spans="25:25" hidden="1" x14ac:dyDescent="0.25">
      <c r="Y38860" s="501"/>
    </row>
    <row r="38861" spans="25:25" hidden="1" x14ac:dyDescent="0.25">
      <c r="Y38861" s="501"/>
    </row>
    <row r="38862" spans="25:25" hidden="1" x14ac:dyDescent="0.25">
      <c r="Y38862" s="501"/>
    </row>
    <row r="38863" spans="25:25" hidden="1" x14ac:dyDescent="0.25">
      <c r="Y38863" s="501"/>
    </row>
    <row r="38864" spans="25:25" hidden="1" x14ac:dyDescent="0.25">
      <c r="Y38864" s="501"/>
    </row>
    <row r="38865" spans="25:25" hidden="1" x14ac:dyDescent="0.25">
      <c r="Y38865" s="501"/>
    </row>
    <row r="38866" spans="25:25" hidden="1" x14ac:dyDescent="0.25">
      <c r="Y38866" s="501"/>
    </row>
    <row r="38867" spans="25:25" hidden="1" x14ac:dyDescent="0.25">
      <c r="Y38867" s="501"/>
    </row>
    <row r="38868" spans="25:25" hidden="1" x14ac:dyDescent="0.25">
      <c r="Y38868" s="501"/>
    </row>
    <row r="38869" spans="25:25" hidden="1" x14ac:dyDescent="0.25">
      <c r="Y38869" s="501"/>
    </row>
    <row r="38870" spans="25:25" hidden="1" x14ac:dyDescent="0.25">
      <c r="Y38870" s="501"/>
    </row>
    <row r="38871" spans="25:25" hidden="1" x14ac:dyDescent="0.25">
      <c r="Y38871" s="501"/>
    </row>
    <row r="38872" spans="25:25" hidden="1" x14ac:dyDescent="0.25">
      <c r="Y38872" s="501"/>
    </row>
    <row r="38873" spans="25:25" hidden="1" x14ac:dyDescent="0.25">
      <c r="Y38873" s="501"/>
    </row>
    <row r="38874" spans="25:25" hidden="1" x14ac:dyDescent="0.25">
      <c r="Y38874" s="501"/>
    </row>
    <row r="38875" spans="25:25" hidden="1" x14ac:dyDescent="0.25">
      <c r="Y38875" s="501"/>
    </row>
    <row r="38876" spans="25:25" hidden="1" x14ac:dyDescent="0.25">
      <c r="Y38876" s="501"/>
    </row>
    <row r="38877" spans="25:25" hidden="1" x14ac:dyDescent="0.25">
      <c r="Y38877" s="501"/>
    </row>
    <row r="38878" spans="25:25" hidden="1" x14ac:dyDescent="0.25">
      <c r="Y38878" s="501"/>
    </row>
    <row r="38879" spans="25:25" hidden="1" x14ac:dyDescent="0.25">
      <c r="Y38879" s="501"/>
    </row>
    <row r="38880" spans="25:25" hidden="1" x14ac:dyDescent="0.25">
      <c r="Y38880" s="501"/>
    </row>
    <row r="38881" spans="25:25" hidden="1" x14ac:dyDescent="0.25">
      <c r="Y38881" s="501"/>
    </row>
    <row r="38882" spans="25:25" hidden="1" x14ac:dyDescent="0.25">
      <c r="Y38882" s="501"/>
    </row>
    <row r="38883" spans="25:25" hidden="1" x14ac:dyDescent="0.25">
      <c r="Y38883" s="501"/>
    </row>
    <row r="38884" spans="25:25" hidden="1" x14ac:dyDescent="0.25">
      <c r="Y38884" s="501"/>
    </row>
    <row r="38885" spans="25:25" hidden="1" x14ac:dyDescent="0.25">
      <c r="Y38885" s="501"/>
    </row>
    <row r="38886" spans="25:25" hidden="1" x14ac:dyDescent="0.25">
      <c r="Y38886" s="501"/>
    </row>
    <row r="38887" spans="25:25" hidden="1" x14ac:dyDescent="0.25">
      <c r="Y38887" s="501"/>
    </row>
    <row r="38888" spans="25:25" hidden="1" x14ac:dyDescent="0.25">
      <c r="Y38888" s="501"/>
    </row>
    <row r="38889" spans="25:25" hidden="1" x14ac:dyDescent="0.25">
      <c r="Y38889" s="501"/>
    </row>
    <row r="38890" spans="25:25" hidden="1" x14ac:dyDescent="0.25">
      <c r="Y38890" s="501"/>
    </row>
    <row r="38891" spans="25:25" hidden="1" x14ac:dyDescent="0.25">
      <c r="Y38891" s="501"/>
    </row>
    <row r="38892" spans="25:25" hidden="1" x14ac:dyDescent="0.25">
      <c r="Y38892" s="501"/>
    </row>
    <row r="38893" spans="25:25" hidden="1" x14ac:dyDescent="0.25">
      <c r="Y38893" s="501"/>
    </row>
    <row r="38894" spans="25:25" hidden="1" x14ac:dyDescent="0.25">
      <c r="Y38894" s="501"/>
    </row>
    <row r="38895" spans="25:25" hidden="1" x14ac:dyDescent="0.25">
      <c r="Y38895" s="501"/>
    </row>
    <row r="38896" spans="25:25" hidden="1" x14ac:dyDescent="0.25">
      <c r="Y38896" s="501"/>
    </row>
    <row r="38897" spans="25:25" hidden="1" x14ac:dyDescent="0.25">
      <c r="Y38897" s="501"/>
    </row>
    <row r="38898" spans="25:25" hidden="1" x14ac:dyDescent="0.25">
      <c r="Y38898" s="501"/>
    </row>
    <row r="38899" spans="25:25" hidden="1" x14ac:dyDescent="0.25">
      <c r="Y38899" s="501"/>
    </row>
    <row r="38900" spans="25:25" hidden="1" x14ac:dyDescent="0.25">
      <c r="Y38900" s="501"/>
    </row>
    <row r="38901" spans="25:25" hidden="1" x14ac:dyDescent="0.25">
      <c r="Y38901" s="501"/>
    </row>
    <row r="38902" spans="25:25" hidden="1" x14ac:dyDescent="0.25">
      <c r="Y38902" s="501"/>
    </row>
    <row r="38903" spans="25:25" hidden="1" x14ac:dyDescent="0.25">
      <c r="Y38903" s="501"/>
    </row>
    <row r="38904" spans="25:25" hidden="1" x14ac:dyDescent="0.25">
      <c r="Y38904" s="501"/>
    </row>
    <row r="38905" spans="25:25" hidden="1" x14ac:dyDescent="0.25">
      <c r="Y38905" s="501"/>
    </row>
    <row r="38906" spans="25:25" hidden="1" x14ac:dyDescent="0.25">
      <c r="Y38906" s="501"/>
    </row>
    <row r="38907" spans="25:25" hidden="1" x14ac:dyDescent="0.25">
      <c r="Y38907" s="501"/>
    </row>
    <row r="38908" spans="25:25" hidden="1" x14ac:dyDescent="0.25">
      <c r="Y38908" s="501"/>
    </row>
    <row r="38909" spans="25:25" hidden="1" x14ac:dyDescent="0.25">
      <c r="Y38909" s="501"/>
    </row>
    <row r="38910" spans="25:25" hidden="1" x14ac:dyDescent="0.25">
      <c r="Y38910" s="501"/>
    </row>
    <row r="38911" spans="25:25" hidden="1" x14ac:dyDescent="0.25">
      <c r="Y38911" s="501"/>
    </row>
    <row r="38912" spans="25:25" hidden="1" x14ac:dyDescent="0.25">
      <c r="Y38912" s="501"/>
    </row>
    <row r="38913" spans="25:25" hidden="1" x14ac:dyDescent="0.25">
      <c r="Y38913" s="501"/>
    </row>
    <row r="38914" spans="25:25" hidden="1" x14ac:dyDescent="0.25">
      <c r="Y38914" s="501"/>
    </row>
    <row r="38915" spans="25:25" hidden="1" x14ac:dyDescent="0.25">
      <c r="Y38915" s="501"/>
    </row>
    <row r="38916" spans="25:25" hidden="1" x14ac:dyDescent="0.25">
      <c r="Y38916" s="501"/>
    </row>
    <row r="38917" spans="25:25" hidden="1" x14ac:dyDescent="0.25">
      <c r="Y38917" s="501"/>
    </row>
    <row r="38918" spans="25:25" hidden="1" x14ac:dyDescent="0.25">
      <c r="Y38918" s="501"/>
    </row>
    <row r="38919" spans="25:25" hidden="1" x14ac:dyDescent="0.25">
      <c r="Y38919" s="501"/>
    </row>
    <row r="38920" spans="25:25" hidden="1" x14ac:dyDescent="0.25">
      <c r="Y38920" s="501"/>
    </row>
    <row r="38921" spans="25:25" hidden="1" x14ac:dyDescent="0.25">
      <c r="Y38921" s="501"/>
    </row>
    <row r="38922" spans="25:25" hidden="1" x14ac:dyDescent="0.25">
      <c r="Y38922" s="501"/>
    </row>
    <row r="38923" spans="25:25" hidden="1" x14ac:dyDescent="0.25">
      <c r="Y38923" s="501"/>
    </row>
    <row r="38924" spans="25:25" hidden="1" x14ac:dyDescent="0.25">
      <c r="Y38924" s="501"/>
    </row>
    <row r="38925" spans="25:25" hidden="1" x14ac:dyDescent="0.25">
      <c r="Y38925" s="501"/>
    </row>
    <row r="38926" spans="25:25" hidden="1" x14ac:dyDescent="0.25">
      <c r="Y38926" s="501"/>
    </row>
    <row r="38927" spans="25:25" hidden="1" x14ac:dyDescent="0.25">
      <c r="Y38927" s="501"/>
    </row>
    <row r="38928" spans="25:25" hidden="1" x14ac:dyDescent="0.25">
      <c r="Y38928" s="501"/>
    </row>
    <row r="38929" spans="25:25" hidden="1" x14ac:dyDescent="0.25">
      <c r="Y38929" s="501"/>
    </row>
    <row r="38930" spans="25:25" hidden="1" x14ac:dyDescent="0.25">
      <c r="Y38930" s="501"/>
    </row>
    <row r="38931" spans="25:25" hidden="1" x14ac:dyDescent="0.25">
      <c r="Y38931" s="501"/>
    </row>
    <row r="38932" spans="25:25" hidden="1" x14ac:dyDescent="0.25">
      <c r="Y38932" s="501"/>
    </row>
    <row r="38933" spans="25:25" hidden="1" x14ac:dyDescent="0.25">
      <c r="Y38933" s="501"/>
    </row>
    <row r="38934" spans="25:25" hidden="1" x14ac:dyDescent="0.25">
      <c r="Y38934" s="501"/>
    </row>
    <row r="38935" spans="25:25" hidden="1" x14ac:dyDescent="0.25">
      <c r="Y38935" s="501"/>
    </row>
    <row r="38936" spans="25:25" hidden="1" x14ac:dyDescent="0.25">
      <c r="Y38936" s="501"/>
    </row>
    <row r="38937" spans="25:25" hidden="1" x14ac:dyDescent="0.25">
      <c r="Y38937" s="501"/>
    </row>
    <row r="38938" spans="25:25" hidden="1" x14ac:dyDescent="0.25">
      <c r="Y38938" s="501"/>
    </row>
    <row r="38939" spans="25:25" hidden="1" x14ac:dyDescent="0.25">
      <c r="Y38939" s="501"/>
    </row>
    <row r="38940" spans="25:25" hidden="1" x14ac:dyDescent="0.25">
      <c r="Y38940" s="501"/>
    </row>
    <row r="38941" spans="25:25" hidden="1" x14ac:dyDescent="0.25">
      <c r="Y38941" s="501"/>
    </row>
    <row r="38942" spans="25:25" hidden="1" x14ac:dyDescent="0.25">
      <c r="Y38942" s="501"/>
    </row>
    <row r="38943" spans="25:25" hidden="1" x14ac:dyDescent="0.25">
      <c r="Y38943" s="501"/>
    </row>
    <row r="38944" spans="25:25" hidden="1" x14ac:dyDescent="0.25">
      <c r="Y38944" s="501"/>
    </row>
    <row r="38945" spans="25:25" hidden="1" x14ac:dyDescent="0.25">
      <c r="Y38945" s="501"/>
    </row>
    <row r="38946" spans="25:25" hidden="1" x14ac:dyDescent="0.25">
      <c r="Y38946" s="501"/>
    </row>
    <row r="38947" spans="25:25" hidden="1" x14ac:dyDescent="0.25">
      <c r="Y38947" s="501"/>
    </row>
    <row r="38948" spans="25:25" hidden="1" x14ac:dyDescent="0.25">
      <c r="Y38948" s="501"/>
    </row>
    <row r="38949" spans="25:25" hidden="1" x14ac:dyDescent="0.25">
      <c r="Y38949" s="501"/>
    </row>
    <row r="38950" spans="25:25" hidden="1" x14ac:dyDescent="0.25">
      <c r="Y38950" s="501"/>
    </row>
    <row r="38951" spans="25:25" hidden="1" x14ac:dyDescent="0.25">
      <c r="Y38951" s="501"/>
    </row>
    <row r="38952" spans="25:25" hidden="1" x14ac:dyDescent="0.25">
      <c r="Y38952" s="501"/>
    </row>
    <row r="38953" spans="25:25" hidden="1" x14ac:dyDescent="0.25">
      <c r="Y38953" s="501"/>
    </row>
    <row r="38954" spans="25:25" hidden="1" x14ac:dyDescent="0.25">
      <c r="Y38954" s="501"/>
    </row>
    <row r="38955" spans="25:25" hidden="1" x14ac:dyDescent="0.25">
      <c r="Y38955" s="501"/>
    </row>
    <row r="38956" spans="25:25" hidden="1" x14ac:dyDescent="0.25">
      <c r="Y38956" s="501"/>
    </row>
    <row r="38957" spans="25:25" hidden="1" x14ac:dyDescent="0.25">
      <c r="Y38957" s="501"/>
    </row>
    <row r="38958" spans="25:25" hidden="1" x14ac:dyDescent="0.25">
      <c r="Y38958" s="501"/>
    </row>
    <row r="38959" spans="25:25" hidden="1" x14ac:dyDescent="0.25">
      <c r="Y38959" s="501"/>
    </row>
    <row r="38960" spans="25:25" hidden="1" x14ac:dyDescent="0.25">
      <c r="Y38960" s="501"/>
    </row>
    <row r="38961" spans="25:25" hidden="1" x14ac:dyDescent="0.25">
      <c r="Y38961" s="501"/>
    </row>
    <row r="38962" spans="25:25" hidden="1" x14ac:dyDescent="0.25">
      <c r="Y38962" s="501"/>
    </row>
    <row r="38963" spans="25:25" hidden="1" x14ac:dyDescent="0.25">
      <c r="Y38963" s="501"/>
    </row>
    <row r="38964" spans="25:25" hidden="1" x14ac:dyDescent="0.25">
      <c r="Y38964" s="501"/>
    </row>
    <row r="38965" spans="25:25" hidden="1" x14ac:dyDescent="0.25">
      <c r="Y38965" s="501"/>
    </row>
    <row r="38966" spans="25:25" hidden="1" x14ac:dyDescent="0.25">
      <c r="Y38966" s="501"/>
    </row>
    <row r="38967" spans="25:25" hidden="1" x14ac:dyDescent="0.25">
      <c r="Y38967" s="501"/>
    </row>
    <row r="38968" spans="25:25" hidden="1" x14ac:dyDescent="0.25">
      <c r="Y38968" s="501"/>
    </row>
    <row r="38969" spans="25:25" hidden="1" x14ac:dyDescent="0.25">
      <c r="Y38969" s="501"/>
    </row>
    <row r="38970" spans="25:25" hidden="1" x14ac:dyDescent="0.25">
      <c r="Y38970" s="501"/>
    </row>
    <row r="38971" spans="25:25" hidden="1" x14ac:dyDescent="0.25">
      <c r="Y38971" s="501"/>
    </row>
    <row r="38972" spans="25:25" hidden="1" x14ac:dyDescent="0.25">
      <c r="Y38972" s="501"/>
    </row>
    <row r="38973" spans="25:25" hidden="1" x14ac:dyDescent="0.25">
      <c r="Y38973" s="501"/>
    </row>
    <row r="38974" spans="25:25" hidden="1" x14ac:dyDescent="0.25">
      <c r="Y38974" s="501"/>
    </row>
    <row r="38975" spans="25:25" hidden="1" x14ac:dyDescent="0.25">
      <c r="Y38975" s="501"/>
    </row>
    <row r="38976" spans="25:25" hidden="1" x14ac:dyDescent="0.25">
      <c r="Y38976" s="501"/>
    </row>
    <row r="38977" spans="25:25" hidden="1" x14ac:dyDescent="0.25">
      <c r="Y38977" s="501"/>
    </row>
    <row r="38978" spans="25:25" hidden="1" x14ac:dyDescent="0.25">
      <c r="Y38978" s="501"/>
    </row>
    <row r="38979" spans="25:25" hidden="1" x14ac:dyDescent="0.25">
      <c r="Y38979" s="501"/>
    </row>
    <row r="38980" spans="25:25" hidden="1" x14ac:dyDescent="0.25">
      <c r="Y38980" s="501"/>
    </row>
    <row r="38981" spans="25:25" hidden="1" x14ac:dyDescent="0.25">
      <c r="Y38981" s="501"/>
    </row>
    <row r="38982" spans="25:25" hidden="1" x14ac:dyDescent="0.25">
      <c r="Y38982" s="501"/>
    </row>
    <row r="38983" spans="25:25" hidden="1" x14ac:dyDescent="0.25">
      <c r="Y38983" s="501"/>
    </row>
    <row r="38984" spans="25:25" hidden="1" x14ac:dyDescent="0.25">
      <c r="Y38984" s="501"/>
    </row>
    <row r="38985" spans="25:25" hidden="1" x14ac:dyDescent="0.25">
      <c r="Y38985" s="501"/>
    </row>
    <row r="38986" spans="25:25" hidden="1" x14ac:dyDescent="0.25">
      <c r="Y38986" s="501"/>
    </row>
    <row r="38987" spans="25:25" hidden="1" x14ac:dyDescent="0.25">
      <c r="Y38987" s="501"/>
    </row>
    <row r="38988" spans="25:25" hidden="1" x14ac:dyDescent="0.25">
      <c r="Y38988" s="501"/>
    </row>
    <row r="38989" spans="25:25" hidden="1" x14ac:dyDescent="0.25">
      <c r="Y38989" s="501"/>
    </row>
    <row r="38990" spans="25:25" hidden="1" x14ac:dyDescent="0.25">
      <c r="Y38990" s="501"/>
    </row>
    <row r="38991" spans="25:25" hidden="1" x14ac:dyDescent="0.25">
      <c r="Y38991" s="501"/>
    </row>
    <row r="38992" spans="25:25" hidden="1" x14ac:dyDescent="0.25">
      <c r="Y38992" s="501"/>
    </row>
    <row r="38993" spans="25:25" hidden="1" x14ac:dyDescent="0.25">
      <c r="Y38993" s="501"/>
    </row>
    <row r="38994" spans="25:25" hidden="1" x14ac:dyDescent="0.25">
      <c r="Y38994" s="501"/>
    </row>
    <row r="38995" spans="25:25" hidden="1" x14ac:dyDescent="0.25">
      <c r="Y38995" s="501"/>
    </row>
    <row r="38996" spans="25:25" hidden="1" x14ac:dyDescent="0.25">
      <c r="Y38996" s="501"/>
    </row>
    <row r="38997" spans="25:25" hidden="1" x14ac:dyDescent="0.25">
      <c r="Y38997" s="501"/>
    </row>
    <row r="38998" spans="25:25" hidden="1" x14ac:dyDescent="0.25">
      <c r="Y38998" s="501"/>
    </row>
    <row r="38999" spans="25:25" hidden="1" x14ac:dyDescent="0.25">
      <c r="Y38999" s="501"/>
    </row>
    <row r="39000" spans="25:25" hidden="1" x14ac:dyDescent="0.25">
      <c r="Y39000" s="501"/>
    </row>
    <row r="39001" spans="25:25" hidden="1" x14ac:dyDescent="0.25">
      <c r="Y39001" s="501"/>
    </row>
    <row r="39002" spans="25:25" hidden="1" x14ac:dyDescent="0.25">
      <c r="Y39002" s="501"/>
    </row>
    <row r="39003" spans="25:25" hidden="1" x14ac:dyDescent="0.25">
      <c r="Y39003" s="501"/>
    </row>
    <row r="39004" spans="25:25" hidden="1" x14ac:dyDescent="0.25">
      <c r="Y39004" s="501"/>
    </row>
    <row r="39005" spans="25:25" hidden="1" x14ac:dyDescent="0.25">
      <c r="Y39005" s="501"/>
    </row>
    <row r="39006" spans="25:25" hidden="1" x14ac:dyDescent="0.25">
      <c r="Y39006" s="501"/>
    </row>
    <row r="39007" spans="25:25" hidden="1" x14ac:dyDescent="0.25">
      <c r="Y39007" s="501"/>
    </row>
    <row r="39008" spans="25:25" hidden="1" x14ac:dyDescent="0.25">
      <c r="Y39008" s="501"/>
    </row>
    <row r="39009" spans="25:25" hidden="1" x14ac:dyDescent="0.25">
      <c r="Y39009" s="501"/>
    </row>
    <row r="39010" spans="25:25" hidden="1" x14ac:dyDescent="0.25">
      <c r="Y39010" s="501"/>
    </row>
    <row r="39011" spans="25:25" hidden="1" x14ac:dyDescent="0.25">
      <c r="Y39011" s="501"/>
    </row>
    <row r="39012" spans="25:25" hidden="1" x14ac:dyDescent="0.25">
      <c r="Y39012" s="501"/>
    </row>
    <row r="39013" spans="25:25" hidden="1" x14ac:dyDescent="0.25">
      <c r="Y39013" s="501"/>
    </row>
    <row r="39014" spans="25:25" hidden="1" x14ac:dyDescent="0.25">
      <c r="Y39014" s="501"/>
    </row>
    <row r="39015" spans="25:25" hidden="1" x14ac:dyDescent="0.25">
      <c r="Y39015" s="501"/>
    </row>
    <row r="39016" spans="25:25" hidden="1" x14ac:dyDescent="0.25">
      <c r="Y39016" s="501"/>
    </row>
    <row r="39017" spans="25:25" hidden="1" x14ac:dyDescent="0.25">
      <c r="Y39017" s="501"/>
    </row>
    <row r="39018" spans="25:25" hidden="1" x14ac:dyDescent="0.25">
      <c r="Y39018" s="501"/>
    </row>
    <row r="39019" spans="25:25" hidden="1" x14ac:dyDescent="0.25">
      <c r="Y39019" s="501"/>
    </row>
    <row r="39020" spans="25:25" hidden="1" x14ac:dyDescent="0.25">
      <c r="Y39020" s="501"/>
    </row>
    <row r="39021" spans="25:25" hidden="1" x14ac:dyDescent="0.25">
      <c r="Y39021" s="501"/>
    </row>
    <row r="39022" spans="25:25" hidden="1" x14ac:dyDescent="0.25">
      <c r="Y39022" s="501"/>
    </row>
    <row r="39023" spans="25:25" hidden="1" x14ac:dyDescent="0.25">
      <c r="Y39023" s="501"/>
    </row>
    <row r="39024" spans="25:25" hidden="1" x14ac:dyDescent="0.25">
      <c r="Y39024" s="501"/>
    </row>
    <row r="39025" spans="25:25" hidden="1" x14ac:dyDescent="0.25">
      <c r="Y39025" s="501"/>
    </row>
    <row r="39026" spans="25:25" hidden="1" x14ac:dyDescent="0.25">
      <c r="Y39026" s="501"/>
    </row>
    <row r="39027" spans="25:25" hidden="1" x14ac:dyDescent="0.25">
      <c r="Y39027" s="501"/>
    </row>
    <row r="39028" spans="25:25" hidden="1" x14ac:dyDescent="0.25">
      <c r="Y39028" s="501"/>
    </row>
    <row r="39029" spans="25:25" hidden="1" x14ac:dyDescent="0.25">
      <c r="Y39029" s="501"/>
    </row>
    <row r="39030" spans="25:25" hidden="1" x14ac:dyDescent="0.25">
      <c r="Y39030" s="501"/>
    </row>
    <row r="39031" spans="25:25" hidden="1" x14ac:dyDescent="0.25">
      <c r="Y39031" s="501"/>
    </row>
    <row r="39032" spans="25:25" hidden="1" x14ac:dyDescent="0.25">
      <c r="Y39032" s="501"/>
    </row>
    <row r="39033" spans="25:25" hidden="1" x14ac:dyDescent="0.25">
      <c r="Y39033" s="501"/>
    </row>
    <row r="39034" spans="25:25" hidden="1" x14ac:dyDescent="0.25">
      <c r="Y39034" s="501"/>
    </row>
    <row r="39035" spans="25:25" hidden="1" x14ac:dyDescent="0.25">
      <c r="Y39035" s="501"/>
    </row>
    <row r="39036" spans="25:25" hidden="1" x14ac:dyDescent="0.25">
      <c r="Y39036" s="501"/>
    </row>
    <row r="39037" spans="25:25" hidden="1" x14ac:dyDescent="0.25">
      <c r="Y39037" s="501"/>
    </row>
    <row r="39038" spans="25:25" hidden="1" x14ac:dyDescent="0.25">
      <c r="Y39038" s="501"/>
    </row>
    <row r="39039" spans="25:25" hidden="1" x14ac:dyDescent="0.25">
      <c r="Y39039" s="501"/>
    </row>
    <row r="39040" spans="25:25" hidden="1" x14ac:dyDescent="0.25">
      <c r="Y39040" s="501"/>
    </row>
    <row r="39041" spans="25:25" hidden="1" x14ac:dyDescent="0.25">
      <c r="Y39041" s="501"/>
    </row>
    <row r="39042" spans="25:25" hidden="1" x14ac:dyDescent="0.25">
      <c r="Y39042" s="501"/>
    </row>
    <row r="39043" spans="25:25" hidden="1" x14ac:dyDescent="0.25">
      <c r="Y39043" s="501"/>
    </row>
    <row r="39044" spans="25:25" hidden="1" x14ac:dyDescent="0.25">
      <c r="Y39044" s="501"/>
    </row>
    <row r="39045" spans="25:25" hidden="1" x14ac:dyDescent="0.25">
      <c r="Y39045" s="501"/>
    </row>
    <row r="39046" spans="25:25" hidden="1" x14ac:dyDescent="0.25">
      <c r="Y39046" s="501"/>
    </row>
    <row r="39047" spans="25:25" hidden="1" x14ac:dyDescent="0.25">
      <c r="Y39047" s="501"/>
    </row>
    <row r="39048" spans="25:25" hidden="1" x14ac:dyDescent="0.25">
      <c r="Y39048" s="501"/>
    </row>
    <row r="39049" spans="25:25" hidden="1" x14ac:dyDescent="0.25">
      <c r="Y39049" s="501"/>
    </row>
    <row r="39050" spans="25:25" hidden="1" x14ac:dyDescent="0.25">
      <c r="Y39050" s="501"/>
    </row>
    <row r="39051" spans="25:25" hidden="1" x14ac:dyDescent="0.25">
      <c r="Y39051" s="501"/>
    </row>
    <row r="39052" spans="25:25" hidden="1" x14ac:dyDescent="0.25">
      <c r="Y39052" s="501"/>
    </row>
    <row r="39053" spans="25:25" hidden="1" x14ac:dyDescent="0.25">
      <c r="Y39053" s="501"/>
    </row>
    <row r="39054" spans="25:25" hidden="1" x14ac:dyDescent="0.25">
      <c r="Y39054" s="501"/>
    </row>
    <row r="39055" spans="25:25" hidden="1" x14ac:dyDescent="0.25">
      <c r="Y39055" s="501"/>
    </row>
    <row r="39056" spans="25:25" hidden="1" x14ac:dyDescent="0.25">
      <c r="Y39056" s="501"/>
    </row>
    <row r="39057" spans="25:25" hidden="1" x14ac:dyDescent="0.25">
      <c r="Y39057" s="501"/>
    </row>
    <row r="39058" spans="25:25" hidden="1" x14ac:dyDescent="0.25">
      <c r="Y39058" s="501"/>
    </row>
    <row r="39059" spans="25:25" hidden="1" x14ac:dyDescent="0.25">
      <c r="Y39059" s="501"/>
    </row>
    <row r="39060" spans="25:25" hidden="1" x14ac:dyDescent="0.25">
      <c r="Y39060" s="501"/>
    </row>
    <row r="39061" spans="25:25" hidden="1" x14ac:dyDescent="0.25">
      <c r="Y39061" s="501"/>
    </row>
    <row r="39062" spans="25:25" hidden="1" x14ac:dyDescent="0.25">
      <c r="Y39062" s="501"/>
    </row>
    <row r="39063" spans="25:25" hidden="1" x14ac:dyDescent="0.25">
      <c r="Y39063" s="501"/>
    </row>
    <row r="39064" spans="25:25" hidden="1" x14ac:dyDescent="0.25">
      <c r="Y39064" s="501"/>
    </row>
    <row r="39065" spans="25:25" hidden="1" x14ac:dyDescent="0.25">
      <c r="Y39065" s="501"/>
    </row>
    <row r="39066" spans="25:25" hidden="1" x14ac:dyDescent="0.25">
      <c r="Y39066" s="501"/>
    </row>
    <row r="39067" spans="25:25" hidden="1" x14ac:dyDescent="0.25">
      <c r="Y39067" s="501"/>
    </row>
    <row r="39068" spans="25:25" hidden="1" x14ac:dyDescent="0.25">
      <c r="Y39068" s="501"/>
    </row>
    <row r="39069" spans="25:25" hidden="1" x14ac:dyDescent="0.25">
      <c r="Y39069" s="501"/>
    </row>
    <row r="39070" spans="25:25" hidden="1" x14ac:dyDescent="0.25">
      <c r="Y39070" s="501"/>
    </row>
    <row r="39071" spans="25:25" hidden="1" x14ac:dyDescent="0.25">
      <c r="Y39071" s="501"/>
    </row>
    <row r="39072" spans="25:25" hidden="1" x14ac:dyDescent="0.25">
      <c r="Y39072" s="501"/>
    </row>
    <row r="39073" spans="25:25" hidden="1" x14ac:dyDescent="0.25">
      <c r="Y39073" s="501"/>
    </row>
    <row r="39074" spans="25:25" hidden="1" x14ac:dyDescent="0.25">
      <c r="Y39074" s="501"/>
    </row>
    <row r="39075" spans="25:25" hidden="1" x14ac:dyDescent="0.25">
      <c r="Y39075" s="501"/>
    </row>
    <row r="39076" spans="25:25" hidden="1" x14ac:dyDescent="0.25">
      <c r="Y39076" s="501"/>
    </row>
    <row r="39077" spans="25:25" hidden="1" x14ac:dyDescent="0.25">
      <c r="Y39077" s="501"/>
    </row>
    <row r="39078" spans="25:25" hidden="1" x14ac:dyDescent="0.25">
      <c r="Y39078" s="501"/>
    </row>
    <row r="39079" spans="25:25" hidden="1" x14ac:dyDescent="0.25">
      <c r="Y39079" s="501"/>
    </row>
    <row r="39080" spans="25:25" hidden="1" x14ac:dyDescent="0.25">
      <c r="Y39080" s="501"/>
    </row>
    <row r="39081" spans="25:25" hidden="1" x14ac:dyDescent="0.25">
      <c r="Y39081" s="501"/>
    </row>
    <row r="39082" spans="25:25" hidden="1" x14ac:dyDescent="0.25">
      <c r="Y39082" s="501"/>
    </row>
    <row r="39083" spans="25:25" hidden="1" x14ac:dyDescent="0.25">
      <c r="Y39083" s="501"/>
    </row>
    <row r="39084" spans="25:25" hidden="1" x14ac:dyDescent="0.25">
      <c r="Y39084" s="501"/>
    </row>
    <row r="39085" spans="25:25" hidden="1" x14ac:dyDescent="0.25">
      <c r="Y39085" s="501"/>
    </row>
    <row r="39086" spans="25:25" hidden="1" x14ac:dyDescent="0.25">
      <c r="Y39086" s="501"/>
    </row>
    <row r="39087" spans="25:25" hidden="1" x14ac:dyDescent="0.25">
      <c r="Y39087" s="501"/>
    </row>
    <row r="39088" spans="25:25" hidden="1" x14ac:dyDescent="0.25">
      <c r="Y39088" s="501"/>
    </row>
    <row r="39089" spans="25:25" hidden="1" x14ac:dyDescent="0.25">
      <c r="Y39089" s="501"/>
    </row>
    <row r="39090" spans="25:25" hidden="1" x14ac:dyDescent="0.25">
      <c r="Y39090" s="501"/>
    </row>
    <row r="39091" spans="25:25" hidden="1" x14ac:dyDescent="0.25">
      <c r="Y39091" s="501"/>
    </row>
    <row r="39092" spans="25:25" hidden="1" x14ac:dyDescent="0.25">
      <c r="Y39092" s="501"/>
    </row>
    <row r="39093" spans="25:25" hidden="1" x14ac:dyDescent="0.25">
      <c r="Y39093" s="501"/>
    </row>
    <row r="39094" spans="25:25" hidden="1" x14ac:dyDescent="0.25">
      <c r="Y39094" s="501"/>
    </row>
    <row r="39095" spans="25:25" hidden="1" x14ac:dyDescent="0.25">
      <c r="Y39095" s="501"/>
    </row>
    <row r="39096" spans="25:25" hidden="1" x14ac:dyDescent="0.25">
      <c r="Y39096" s="501"/>
    </row>
    <row r="39097" spans="25:25" hidden="1" x14ac:dyDescent="0.25">
      <c r="Y39097" s="501"/>
    </row>
    <row r="39098" spans="25:25" hidden="1" x14ac:dyDescent="0.25">
      <c r="Y39098" s="501"/>
    </row>
    <row r="39099" spans="25:25" hidden="1" x14ac:dyDescent="0.25">
      <c r="Y39099" s="501"/>
    </row>
    <row r="39100" spans="25:25" hidden="1" x14ac:dyDescent="0.25">
      <c r="Y39100" s="501"/>
    </row>
    <row r="39101" spans="25:25" hidden="1" x14ac:dyDescent="0.25">
      <c r="Y39101" s="501"/>
    </row>
    <row r="39102" spans="25:25" hidden="1" x14ac:dyDescent="0.25">
      <c r="Y39102" s="501"/>
    </row>
    <row r="39103" spans="25:25" hidden="1" x14ac:dyDescent="0.25">
      <c r="Y39103" s="501"/>
    </row>
    <row r="39104" spans="25:25" hidden="1" x14ac:dyDescent="0.25">
      <c r="Y39104" s="501"/>
    </row>
    <row r="39105" spans="25:25" hidden="1" x14ac:dyDescent="0.25">
      <c r="Y39105" s="501"/>
    </row>
    <row r="39106" spans="25:25" hidden="1" x14ac:dyDescent="0.25">
      <c r="Y39106" s="501"/>
    </row>
    <row r="39107" spans="25:25" hidden="1" x14ac:dyDescent="0.25">
      <c r="Y39107" s="501"/>
    </row>
    <row r="39108" spans="25:25" hidden="1" x14ac:dyDescent="0.25">
      <c r="Y39108" s="501"/>
    </row>
    <row r="39109" spans="25:25" hidden="1" x14ac:dyDescent="0.25">
      <c r="Y39109" s="501"/>
    </row>
    <row r="39110" spans="25:25" hidden="1" x14ac:dyDescent="0.25">
      <c r="Y39110" s="501"/>
    </row>
    <row r="39111" spans="25:25" hidden="1" x14ac:dyDescent="0.25">
      <c r="Y39111" s="501"/>
    </row>
    <row r="39112" spans="25:25" hidden="1" x14ac:dyDescent="0.25">
      <c r="Y39112" s="501"/>
    </row>
    <row r="39113" spans="25:25" hidden="1" x14ac:dyDescent="0.25">
      <c r="Y39113" s="501"/>
    </row>
    <row r="39114" spans="25:25" hidden="1" x14ac:dyDescent="0.25">
      <c r="Y39114" s="501"/>
    </row>
    <row r="39115" spans="25:25" hidden="1" x14ac:dyDescent="0.25">
      <c r="Y39115" s="501"/>
    </row>
    <row r="39116" spans="25:25" hidden="1" x14ac:dyDescent="0.25">
      <c r="Y39116" s="501"/>
    </row>
    <row r="39117" spans="25:25" hidden="1" x14ac:dyDescent="0.25">
      <c r="Y39117" s="501"/>
    </row>
    <row r="39118" spans="25:25" hidden="1" x14ac:dyDescent="0.25">
      <c r="Y39118" s="501"/>
    </row>
    <row r="39119" spans="25:25" hidden="1" x14ac:dyDescent="0.25">
      <c r="Y39119" s="501"/>
    </row>
    <row r="39120" spans="25:25" hidden="1" x14ac:dyDescent="0.25">
      <c r="Y39120" s="501"/>
    </row>
    <row r="39121" spans="25:25" hidden="1" x14ac:dyDescent="0.25">
      <c r="Y39121" s="501"/>
    </row>
    <row r="39122" spans="25:25" hidden="1" x14ac:dyDescent="0.25">
      <c r="Y39122" s="501"/>
    </row>
    <row r="39123" spans="25:25" hidden="1" x14ac:dyDescent="0.25">
      <c r="Y39123" s="501"/>
    </row>
    <row r="39124" spans="25:25" hidden="1" x14ac:dyDescent="0.25">
      <c r="Y39124" s="501"/>
    </row>
    <row r="39125" spans="25:25" hidden="1" x14ac:dyDescent="0.25">
      <c r="Y39125" s="501"/>
    </row>
    <row r="39126" spans="25:25" hidden="1" x14ac:dyDescent="0.25">
      <c r="Y39126" s="501"/>
    </row>
    <row r="39127" spans="25:25" hidden="1" x14ac:dyDescent="0.25">
      <c r="Y39127" s="501"/>
    </row>
    <row r="39128" spans="25:25" hidden="1" x14ac:dyDescent="0.25">
      <c r="Y39128" s="501"/>
    </row>
    <row r="39129" spans="25:25" hidden="1" x14ac:dyDescent="0.25">
      <c r="Y39129" s="501"/>
    </row>
    <row r="39130" spans="25:25" hidden="1" x14ac:dyDescent="0.25">
      <c r="Y39130" s="501"/>
    </row>
    <row r="39131" spans="25:25" hidden="1" x14ac:dyDescent="0.25">
      <c r="Y39131" s="501"/>
    </row>
    <row r="39132" spans="25:25" hidden="1" x14ac:dyDescent="0.25">
      <c r="Y39132" s="501"/>
    </row>
    <row r="39133" spans="25:25" hidden="1" x14ac:dyDescent="0.25">
      <c r="Y39133" s="501"/>
    </row>
    <row r="39134" spans="25:25" hidden="1" x14ac:dyDescent="0.25">
      <c r="Y39134" s="501"/>
    </row>
    <row r="39135" spans="25:25" hidden="1" x14ac:dyDescent="0.25">
      <c r="Y39135" s="501"/>
    </row>
    <row r="39136" spans="25:25" hidden="1" x14ac:dyDescent="0.25">
      <c r="Y39136" s="501"/>
    </row>
    <row r="39137" spans="25:25" hidden="1" x14ac:dyDescent="0.25">
      <c r="Y39137" s="501"/>
    </row>
    <row r="39138" spans="25:25" hidden="1" x14ac:dyDescent="0.25">
      <c r="Y39138" s="501"/>
    </row>
    <row r="39139" spans="25:25" hidden="1" x14ac:dyDescent="0.25">
      <c r="Y39139" s="501"/>
    </row>
    <row r="39140" spans="25:25" hidden="1" x14ac:dyDescent="0.25">
      <c r="Y39140" s="501"/>
    </row>
    <row r="39141" spans="25:25" hidden="1" x14ac:dyDescent="0.25">
      <c r="Y39141" s="501"/>
    </row>
    <row r="39142" spans="25:25" hidden="1" x14ac:dyDescent="0.25">
      <c r="Y39142" s="501"/>
    </row>
    <row r="39143" spans="25:25" hidden="1" x14ac:dyDescent="0.25">
      <c r="Y39143" s="501"/>
    </row>
    <row r="39144" spans="25:25" hidden="1" x14ac:dyDescent="0.25">
      <c r="Y39144" s="501"/>
    </row>
    <row r="39145" spans="25:25" hidden="1" x14ac:dyDescent="0.25">
      <c r="Y39145" s="501"/>
    </row>
    <row r="39146" spans="25:25" hidden="1" x14ac:dyDescent="0.25">
      <c r="Y39146" s="501"/>
    </row>
    <row r="39147" spans="25:25" hidden="1" x14ac:dyDescent="0.25">
      <c r="Y39147" s="501"/>
    </row>
    <row r="39148" spans="25:25" hidden="1" x14ac:dyDescent="0.25">
      <c r="Y39148" s="501"/>
    </row>
    <row r="39149" spans="25:25" hidden="1" x14ac:dyDescent="0.25">
      <c r="Y39149" s="501"/>
    </row>
    <row r="39150" spans="25:25" hidden="1" x14ac:dyDescent="0.25">
      <c r="Y39150" s="501"/>
    </row>
    <row r="39151" spans="25:25" hidden="1" x14ac:dyDescent="0.25">
      <c r="Y39151" s="501"/>
    </row>
    <row r="39152" spans="25:25" hidden="1" x14ac:dyDescent="0.25">
      <c r="Y39152" s="501"/>
    </row>
    <row r="39153" spans="25:25" hidden="1" x14ac:dyDescent="0.25">
      <c r="Y39153" s="501"/>
    </row>
    <row r="39154" spans="25:25" hidden="1" x14ac:dyDescent="0.25">
      <c r="Y39154" s="501"/>
    </row>
    <row r="39155" spans="25:25" hidden="1" x14ac:dyDescent="0.25">
      <c r="Y39155" s="501"/>
    </row>
    <row r="39156" spans="25:25" hidden="1" x14ac:dyDescent="0.25">
      <c r="Y39156" s="501"/>
    </row>
    <row r="39157" spans="25:25" hidden="1" x14ac:dyDescent="0.25">
      <c r="Y39157" s="501"/>
    </row>
    <row r="39158" spans="25:25" hidden="1" x14ac:dyDescent="0.25">
      <c r="Y39158" s="501"/>
    </row>
    <row r="39159" spans="25:25" hidden="1" x14ac:dyDescent="0.25">
      <c r="Y39159" s="501"/>
    </row>
    <row r="39160" spans="25:25" hidden="1" x14ac:dyDescent="0.25">
      <c r="Y39160" s="501"/>
    </row>
    <row r="39161" spans="25:25" hidden="1" x14ac:dyDescent="0.25">
      <c r="Y39161" s="501"/>
    </row>
    <row r="39162" spans="25:25" hidden="1" x14ac:dyDescent="0.25">
      <c r="Y39162" s="501"/>
    </row>
    <row r="39163" spans="25:25" hidden="1" x14ac:dyDescent="0.25">
      <c r="Y39163" s="501"/>
    </row>
    <row r="39164" spans="25:25" hidden="1" x14ac:dyDescent="0.25">
      <c r="Y39164" s="501"/>
    </row>
    <row r="39165" spans="25:25" hidden="1" x14ac:dyDescent="0.25">
      <c r="Y39165" s="501"/>
    </row>
    <row r="39166" spans="25:25" hidden="1" x14ac:dyDescent="0.25">
      <c r="Y39166" s="501"/>
    </row>
    <row r="39167" spans="25:25" hidden="1" x14ac:dyDescent="0.25">
      <c r="Y39167" s="501"/>
    </row>
    <row r="39168" spans="25:25" hidden="1" x14ac:dyDescent="0.25">
      <c r="Y39168" s="501"/>
    </row>
    <row r="39169" spans="25:25" hidden="1" x14ac:dyDescent="0.25">
      <c r="Y39169" s="501"/>
    </row>
    <row r="39170" spans="25:25" hidden="1" x14ac:dyDescent="0.25">
      <c r="Y39170" s="501"/>
    </row>
    <row r="39171" spans="25:25" hidden="1" x14ac:dyDescent="0.25">
      <c r="Y39171" s="501"/>
    </row>
    <row r="39172" spans="25:25" hidden="1" x14ac:dyDescent="0.25">
      <c r="Y39172" s="501"/>
    </row>
    <row r="39173" spans="25:25" hidden="1" x14ac:dyDescent="0.25">
      <c r="Y39173" s="501"/>
    </row>
    <row r="39174" spans="25:25" hidden="1" x14ac:dyDescent="0.25">
      <c r="Y39174" s="501"/>
    </row>
    <row r="39175" spans="25:25" hidden="1" x14ac:dyDescent="0.25">
      <c r="Y39175" s="501"/>
    </row>
    <row r="39176" spans="25:25" hidden="1" x14ac:dyDescent="0.25">
      <c r="Y39176" s="501"/>
    </row>
    <row r="39177" spans="25:25" hidden="1" x14ac:dyDescent="0.25">
      <c r="Y39177" s="501"/>
    </row>
    <row r="39178" spans="25:25" hidden="1" x14ac:dyDescent="0.25">
      <c r="Y39178" s="501"/>
    </row>
    <row r="39179" spans="25:25" hidden="1" x14ac:dyDescent="0.25">
      <c r="Y39179" s="501"/>
    </row>
    <row r="39180" spans="25:25" hidden="1" x14ac:dyDescent="0.25">
      <c r="Y39180" s="501"/>
    </row>
    <row r="39181" spans="25:25" hidden="1" x14ac:dyDescent="0.25">
      <c r="Y39181" s="501"/>
    </row>
    <row r="39182" spans="25:25" hidden="1" x14ac:dyDescent="0.25">
      <c r="Y39182" s="501"/>
    </row>
    <row r="39183" spans="25:25" hidden="1" x14ac:dyDescent="0.25">
      <c r="Y39183" s="501"/>
    </row>
    <row r="39184" spans="25:25" hidden="1" x14ac:dyDescent="0.25">
      <c r="Y39184" s="501"/>
    </row>
    <row r="39185" spans="25:25" hidden="1" x14ac:dyDescent="0.25">
      <c r="Y39185" s="501"/>
    </row>
    <row r="39186" spans="25:25" hidden="1" x14ac:dyDescent="0.25">
      <c r="Y39186" s="501"/>
    </row>
    <row r="39187" spans="25:25" hidden="1" x14ac:dyDescent="0.25">
      <c r="Y39187" s="501"/>
    </row>
    <row r="39188" spans="25:25" hidden="1" x14ac:dyDescent="0.25">
      <c r="Y39188" s="501"/>
    </row>
    <row r="39189" spans="25:25" hidden="1" x14ac:dyDescent="0.25">
      <c r="Y39189" s="501"/>
    </row>
    <row r="39190" spans="25:25" hidden="1" x14ac:dyDescent="0.25">
      <c r="Y39190" s="501"/>
    </row>
    <row r="39191" spans="25:25" hidden="1" x14ac:dyDescent="0.25">
      <c r="Y39191" s="501"/>
    </row>
    <row r="39192" spans="25:25" hidden="1" x14ac:dyDescent="0.25">
      <c r="Y39192" s="501"/>
    </row>
    <row r="39193" spans="25:25" hidden="1" x14ac:dyDescent="0.25">
      <c r="Y39193" s="501"/>
    </row>
    <row r="39194" spans="25:25" hidden="1" x14ac:dyDescent="0.25">
      <c r="Y39194" s="501"/>
    </row>
    <row r="39195" spans="25:25" hidden="1" x14ac:dyDescent="0.25">
      <c r="Y39195" s="501"/>
    </row>
    <row r="39196" spans="25:25" hidden="1" x14ac:dyDescent="0.25">
      <c r="Y39196" s="501"/>
    </row>
    <row r="39197" spans="25:25" hidden="1" x14ac:dyDescent="0.25">
      <c r="Y39197" s="501"/>
    </row>
    <row r="39198" spans="25:25" hidden="1" x14ac:dyDescent="0.25">
      <c r="Y39198" s="501"/>
    </row>
    <row r="39199" spans="25:25" hidden="1" x14ac:dyDescent="0.25">
      <c r="Y39199" s="501"/>
    </row>
    <row r="39200" spans="25:25" hidden="1" x14ac:dyDescent="0.25">
      <c r="Y39200" s="501"/>
    </row>
    <row r="39201" spans="25:25" hidden="1" x14ac:dyDescent="0.25">
      <c r="Y39201" s="501"/>
    </row>
    <row r="39202" spans="25:25" hidden="1" x14ac:dyDescent="0.25">
      <c r="Y39202" s="501"/>
    </row>
    <row r="39203" spans="25:25" hidden="1" x14ac:dyDescent="0.25">
      <c r="Y39203" s="501"/>
    </row>
    <row r="39204" spans="25:25" hidden="1" x14ac:dyDescent="0.25">
      <c r="Y39204" s="501"/>
    </row>
    <row r="39205" spans="25:25" hidden="1" x14ac:dyDescent="0.25">
      <c r="Y39205" s="501"/>
    </row>
    <row r="39206" spans="25:25" hidden="1" x14ac:dyDescent="0.25">
      <c r="Y39206" s="501"/>
    </row>
    <row r="39207" spans="25:25" hidden="1" x14ac:dyDescent="0.25">
      <c r="Y39207" s="501"/>
    </row>
    <row r="39208" spans="25:25" hidden="1" x14ac:dyDescent="0.25">
      <c r="Y39208" s="501"/>
    </row>
    <row r="39209" spans="25:25" hidden="1" x14ac:dyDescent="0.25">
      <c r="Y39209" s="501"/>
    </row>
    <row r="39210" spans="25:25" hidden="1" x14ac:dyDescent="0.25">
      <c r="Y39210" s="501"/>
    </row>
    <row r="39211" spans="25:25" hidden="1" x14ac:dyDescent="0.25">
      <c r="Y39211" s="501"/>
    </row>
    <row r="39212" spans="25:25" hidden="1" x14ac:dyDescent="0.25">
      <c r="Y39212" s="501"/>
    </row>
    <row r="39213" spans="25:25" hidden="1" x14ac:dyDescent="0.25">
      <c r="Y39213" s="501"/>
    </row>
    <row r="39214" spans="25:25" hidden="1" x14ac:dyDescent="0.25">
      <c r="Y39214" s="501"/>
    </row>
    <row r="39215" spans="25:25" hidden="1" x14ac:dyDescent="0.25">
      <c r="Y39215" s="501"/>
    </row>
    <row r="39216" spans="25:25" hidden="1" x14ac:dyDescent="0.25">
      <c r="Y39216" s="501"/>
    </row>
    <row r="39217" spans="25:25" hidden="1" x14ac:dyDescent="0.25">
      <c r="Y39217" s="501"/>
    </row>
    <row r="39218" spans="25:25" hidden="1" x14ac:dyDescent="0.25">
      <c r="Y39218" s="501"/>
    </row>
    <row r="39219" spans="25:25" hidden="1" x14ac:dyDescent="0.25">
      <c r="Y39219" s="501"/>
    </row>
    <row r="39220" spans="25:25" hidden="1" x14ac:dyDescent="0.25">
      <c r="Y39220" s="501"/>
    </row>
    <row r="39221" spans="25:25" hidden="1" x14ac:dyDescent="0.25">
      <c r="Y39221" s="501"/>
    </row>
    <row r="39222" spans="25:25" hidden="1" x14ac:dyDescent="0.25">
      <c r="Y39222" s="501"/>
    </row>
    <row r="39223" spans="25:25" hidden="1" x14ac:dyDescent="0.25">
      <c r="Y39223" s="501"/>
    </row>
    <row r="39224" spans="25:25" hidden="1" x14ac:dyDescent="0.25">
      <c r="Y39224" s="501"/>
    </row>
    <row r="39225" spans="25:25" hidden="1" x14ac:dyDescent="0.25">
      <c r="Y39225" s="501"/>
    </row>
    <row r="39226" spans="25:25" hidden="1" x14ac:dyDescent="0.25">
      <c r="Y39226" s="501"/>
    </row>
    <row r="39227" spans="25:25" hidden="1" x14ac:dyDescent="0.25">
      <c r="Y39227" s="501"/>
    </row>
    <row r="39228" spans="25:25" hidden="1" x14ac:dyDescent="0.25">
      <c r="Y39228" s="501"/>
    </row>
    <row r="39229" spans="25:25" hidden="1" x14ac:dyDescent="0.25">
      <c r="Y39229" s="501"/>
    </row>
    <row r="39230" spans="25:25" hidden="1" x14ac:dyDescent="0.25">
      <c r="Y39230" s="501"/>
    </row>
    <row r="39231" spans="25:25" hidden="1" x14ac:dyDescent="0.25">
      <c r="Y39231" s="501"/>
    </row>
    <row r="39232" spans="25:25" hidden="1" x14ac:dyDescent="0.25">
      <c r="Y39232" s="501"/>
    </row>
    <row r="39233" spans="25:25" hidden="1" x14ac:dyDescent="0.25">
      <c r="Y39233" s="501"/>
    </row>
    <row r="39234" spans="25:25" hidden="1" x14ac:dyDescent="0.25">
      <c r="Y39234" s="501"/>
    </row>
    <row r="39235" spans="25:25" hidden="1" x14ac:dyDescent="0.25">
      <c r="Y39235" s="501"/>
    </row>
    <row r="39236" spans="25:25" hidden="1" x14ac:dyDescent="0.25">
      <c r="Y39236" s="501"/>
    </row>
    <row r="39237" spans="25:25" hidden="1" x14ac:dyDescent="0.25">
      <c r="Y39237" s="501"/>
    </row>
    <row r="39238" spans="25:25" hidden="1" x14ac:dyDescent="0.25">
      <c r="Y39238" s="501"/>
    </row>
    <row r="39239" spans="25:25" hidden="1" x14ac:dyDescent="0.25">
      <c r="Y39239" s="501"/>
    </row>
    <row r="39240" spans="25:25" hidden="1" x14ac:dyDescent="0.25">
      <c r="Y39240" s="501"/>
    </row>
    <row r="39241" spans="25:25" hidden="1" x14ac:dyDescent="0.25">
      <c r="Y39241" s="501"/>
    </row>
    <row r="39242" spans="25:25" hidden="1" x14ac:dyDescent="0.25">
      <c r="Y39242" s="501"/>
    </row>
    <row r="39243" spans="25:25" hidden="1" x14ac:dyDescent="0.25">
      <c r="Y39243" s="501"/>
    </row>
    <row r="39244" spans="25:25" hidden="1" x14ac:dyDescent="0.25">
      <c r="Y39244" s="501"/>
    </row>
    <row r="39245" spans="25:25" hidden="1" x14ac:dyDescent="0.25">
      <c r="Y39245" s="501"/>
    </row>
    <row r="39246" spans="25:25" hidden="1" x14ac:dyDescent="0.25">
      <c r="Y39246" s="501"/>
    </row>
    <row r="39247" spans="25:25" hidden="1" x14ac:dyDescent="0.25">
      <c r="Y39247" s="501"/>
    </row>
    <row r="39248" spans="25:25" hidden="1" x14ac:dyDescent="0.25">
      <c r="Y39248" s="501"/>
    </row>
    <row r="39249" spans="25:25" hidden="1" x14ac:dyDescent="0.25">
      <c r="Y39249" s="501"/>
    </row>
    <row r="39250" spans="25:25" hidden="1" x14ac:dyDescent="0.25">
      <c r="Y39250" s="501"/>
    </row>
    <row r="39251" spans="25:25" hidden="1" x14ac:dyDescent="0.25">
      <c r="Y39251" s="501"/>
    </row>
    <row r="39252" spans="25:25" hidden="1" x14ac:dyDescent="0.25">
      <c r="Y39252" s="501"/>
    </row>
    <row r="39253" spans="25:25" hidden="1" x14ac:dyDescent="0.25">
      <c r="Y39253" s="501"/>
    </row>
    <row r="39254" spans="25:25" hidden="1" x14ac:dyDescent="0.25">
      <c r="Y39254" s="501"/>
    </row>
    <row r="39255" spans="25:25" hidden="1" x14ac:dyDescent="0.25">
      <c r="Y39255" s="501"/>
    </row>
    <row r="39256" spans="25:25" hidden="1" x14ac:dyDescent="0.25">
      <c r="Y39256" s="501"/>
    </row>
    <row r="39257" spans="25:25" hidden="1" x14ac:dyDescent="0.25">
      <c r="Y39257" s="501"/>
    </row>
    <row r="39258" spans="25:25" hidden="1" x14ac:dyDescent="0.25">
      <c r="Y39258" s="501"/>
    </row>
    <row r="39259" spans="25:25" hidden="1" x14ac:dyDescent="0.25">
      <c r="Y39259" s="501"/>
    </row>
    <row r="39260" spans="25:25" hidden="1" x14ac:dyDescent="0.25">
      <c r="Y39260" s="501"/>
    </row>
    <row r="39261" spans="25:25" hidden="1" x14ac:dyDescent="0.25">
      <c r="Y39261" s="501"/>
    </row>
    <row r="39262" spans="25:25" hidden="1" x14ac:dyDescent="0.25">
      <c r="Y39262" s="501"/>
    </row>
    <row r="39263" spans="25:25" hidden="1" x14ac:dyDescent="0.25">
      <c r="Y39263" s="501"/>
    </row>
    <row r="39264" spans="25:25" hidden="1" x14ac:dyDescent="0.25">
      <c r="Y39264" s="501"/>
    </row>
    <row r="39265" spans="25:25" hidden="1" x14ac:dyDescent="0.25">
      <c r="Y39265" s="501"/>
    </row>
    <row r="39266" spans="25:25" hidden="1" x14ac:dyDescent="0.25">
      <c r="Y39266" s="501"/>
    </row>
    <row r="39267" spans="25:25" hidden="1" x14ac:dyDescent="0.25">
      <c r="Y39267" s="501"/>
    </row>
    <row r="39268" spans="25:25" hidden="1" x14ac:dyDescent="0.25">
      <c r="Y39268" s="501"/>
    </row>
    <row r="39269" spans="25:25" hidden="1" x14ac:dyDescent="0.25">
      <c r="Y39269" s="501"/>
    </row>
    <row r="39270" spans="25:25" hidden="1" x14ac:dyDescent="0.25">
      <c r="Y39270" s="501"/>
    </row>
    <row r="39271" spans="25:25" hidden="1" x14ac:dyDescent="0.25">
      <c r="Y39271" s="501"/>
    </row>
    <row r="39272" spans="25:25" hidden="1" x14ac:dyDescent="0.25">
      <c r="Y39272" s="501"/>
    </row>
    <row r="39273" spans="25:25" hidden="1" x14ac:dyDescent="0.25">
      <c r="Y39273" s="501"/>
    </row>
    <row r="39274" spans="25:25" hidden="1" x14ac:dyDescent="0.25">
      <c r="Y39274" s="501"/>
    </row>
    <row r="39275" spans="25:25" hidden="1" x14ac:dyDescent="0.25">
      <c r="Y39275" s="501"/>
    </row>
    <row r="39276" spans="25:25" hidden="1" x14ac:dyDescent="0.25">
      <c r="Y39276" s="501"/>
    </row>
    <row r="39277" spans="25:25" hidden="1" x14ac:dyDescent="0.25">
      <c r="Y39277" s="501"/>
    </row>
    <row r="39278" spans="25:25" hidden="1" x14ac:dyDescent="0.25">
      <c r="Y39278" s="501"/>
    </row>
    <row r="39279" spans="25:25" hidden="1" x14ac:dyDescent="0.25">
      <c r="Y39279" s="501"/>
    </row>
    <row r="39280" spans="25:25" hidden="1" x14ac:dyDescent="0.25">
      <c r="Y39280" s="501"/>
    </row>
    <row r="39281" spans="25:25" hidden="1" x14ac:dyDescent="0.25">
      <c r="Y39281" s="501"/>
    </row>
    <row r="39282" spans="25:25" hidden="1" x14ac:dyDescent="0.25">
      <c r="Y39282" s="501"/>
    </row>
    <row r="39283" spans="25:25" hidden="1" x14ac:dyDescent="0.25">
      <c r="Y39283" s="501"/>
    </row>
    <row r="39284" spans="25:25" hidden="1" x14ac:dyDescent="0.25">
      <c r="Y39284" s="501"/>
    </row>
    <row r="39285" spans="25:25" hidden="1" x14ac:dyDescent="0.25">
      <c r="Y39285" s="501"/>
    </row>
    <row r="39286" spans="25:25" hidden="1" x14ac:dyDescent="0.25">
      <c r="Y39286" s="501"/>
    </row>
    <row r="39287" spans="25:25" hidden="1" x14ac:dyDescent="0.25">
      <c r="Y39287" s="501"/>
    </row>
    <row r="39288" spans="25:25" hidden="1" x14ac:dyDescent="0.25">
      <c r="Y39288" s="501"/>
    </row>
    <row r="39289" spans="25:25" hidden="1" x14ac:dyDescent="0.25">
      <c r="Y39289" s="501"/>
    </row>
    <row r="39290" spans="25:25" hidden="1" x14ac:dyDescent="0.25">
      <c r="Y39290" s="501"/>
    </row>
    <row r="39291" spans="25:25" hidden="1" x14ac:dyDescent="0.25">
      <c r="Y39291" s="501"/>
    </row>
    <row r="39292" spans="25:25" hidden="1" x14ac:dyDescent="0.25">
      <c r="Y39292" s="501"/>
    </row>
    <row r="39293" spans="25:25" hidden="1" x14ac:dyDescent="0.25">
      <c r="Y39293" s="501"/>
    </row>
    <row r="39294" spans="25:25" hidden="1" x14ac:dyDescent="0.25">
      <c r="Y39294" s="501"/>
    </row>
    <row r="39295" spans="25:25" hidden="1" x14ac:dyDescent="0.25">
      <c r="Y39295" s="501"/>
    </row>
    <row r="39296" spans="25:25" hidden="1" x14ac:dyDescent="0.25">
      <c r="Y39296" s="501"/>
    </row>
    <row r="39297" spans="25:25" hidden="1" x14ac:dyDescent="0.25">
      <c r="Y39297" s="501"/>
    </row>
    <row r="39298" spans="25:25" hidden="1" x14ac:dyDescent="0.25">
      <c r="Y39298" s="501"/>
    </row>
    <row r="39299" spans="25:25" hidden="1" x14ac:dyDescent="0.25">
      <c r="Y39299" s="501"/>
    </row>
    <row r="39300" spans="25:25" hidden="1" x14ac:dyDescent="0.25">
      <c r="Y39300" s="501"/>
    </row>
    <row r="39301" spans="25:25" hidden="1" x14ac:dyDescent="0.25">
      <c r="Y39301" s="501"/>
    </row>
    <row r="39302" spans="25:25" hidden="1" x14ac:dyDescent="0.25">
      <c r="Y39302" s="501"/>
    </row>
    <row r="39303" spans="25:25" hidden="1" x14ac:dyDescent="0.25">
      <c r="Y39303" s="501"/>
    </row>
    <row r="39304" spans="25:25" hidden="1" x14ac:dyDescent="0.25">
      <c r="Y39304" s="501"/>
    </row>
    <row r="39305" spans="25:25" hidden="1" x14ac:dyDescent="0.25">
      <c r="Y39305" s="501"/>
    </row>
    <row r="39306" spans="25:25" hidden="1" x14ac:dyDescent="0.25">
      <c r="Y39306" s="501"/>
    </row>
    <row r="39307" spans="25:25" hidden="1" x14ac:dyDescent="0.25">
      <c r="Y39307" s="501"/>
    </row>
    <row r="39308" spans="25:25" hidden="1" x14ac:dyDescent="0.25">
      <c r="Y39308" s="501"/>
    </row>
    <row r="39309" spans="25:25" hidden="1" x14ac:dyDescent="0.25">
      <c r="Y39309" s="501"/>
    </row>
    <row r="39310" spans="25:25" hidden="1" x14ac:dyDescent="0.25">
      <c r="Y39310" s="501"/>
    </row>
    <row r="39311" spans="25:25" hidden="1" x14ac:dyDescent="0.25">
      <c r="Y39311" s="501"/>
    </row>
    <row r="39312" spans="25:25" hidden="1" x14ac:dyDescent="0.25">
      <c r="Y39312" s="501"/>
    </row>
    <row r="39313" spans="25:25" hidden="1" x14ac:dyDescent="0.25">
      <c r="Y39313" s="501"/>
    </row>
    <row r="39314" spans="25:25" hidden="1" x14ac:dyDescent="0.25">
      <c r="Y39314" s="501"/>
    </row>
    <row r="39315" spans="25:25" hidden="1" x14ac:dyDescent="0.25">
      <c r="Y39315" s="501"/>
    </row>
    <row r="39316" spans="25:25" hidden="1" x14ac:dyDescent="0.25">
      <c r="Y39316" s="501"/>
    </row>
    <row r="39317" spans="25:25" hidden="1" x14ac:dyDescent="0.25">
      <c r="Y39317" s="501"/>
    </row>
    <row r="39318" spans="25:25" hidden="1" x14ac:dyDescent="0.25">
      <c r="Y39318" s="501"/>
    </row>
    <row r="39319" spans="25:25" hidden="1" x14ac:dyDescent="0.25">
      <c r="Y39319" s="501"/>
    </row>
    <row r="39320" spans="25:25" hidden="1" x14ac:dyDescent="0.25">
      <c r="Y39320" s="501"/>
    </row>
    <row r="39321" spans="25:25" hidden="1" x14ac:dyDescent="0.25">
      <c r="Y39321" s="501"/>
    </row>
    <row r="39322" spans="25:25" hidden="1" x14ac:dyDescent="0.25">
      <c r="Y39322" s="501"/>
    </row>
    <row r="39323" spans="25:25" hidden="1" x14ac:dyDescent="0.25">
      <c r="Y39323" s="501"/>
    </row>
    <row r="39324" spans="25:25" hidden="1" x14ac:dyDescent="0.25">
      <c r="Y39324" s="501"/>
    </row>
    <row r="39325" spans="25:25" hidden="1" x14ac:dyDescent="0.25">
      <c r="Y39325" s="501"/>
    </row>
    <row r="39326" spans="25:25" hidden="1" x14ac:dyDescent="0.25">
      <c r="Y39326" s="501"/>
    </row>
    <row r="39327" spans="25:25" hidden="1" x14ac:dyDescent="0.25">
      <c r="Y39327" s="501"/>
    </row>
    <row r="39328" spans="25:25" hidden="1" x14ac:dyDescent="0.25">
      <c r="Y39328" s="501"/>
    </row>
    <row r="39329" spans="25:25" hidden="1" x14ac:dyDescent="0.25">
      <c r="Y39329" s="501"/>
    </row>
    <row r="39330" spans="25:25" hidden="1" x14ac:dyDescent="0.25">
      <c r="Y39330" s="501"/>
    </row>
    <row r="39331" spans="25:25" hidden="1" x14ac:dyDescent="0.25">
      <c r="Y39331" s="501"/>
    </row>
    <row r="39332" spans="25:25" hidden="1" x14ac:dyDescent="0.25">
      <c r="Y39332" s="501"/>
    </row>
    <row r="39333" spans="25:25" hidden="1" x14ac:dyDescent="0.25">
      <c r="Y39333" s="501"/>
    </row>
    <row r="39334" spans="25:25" hidden="1" x14ac:dyDescent="0.25">
      <c r="Y39334" s="501"/>
    </row>
    <row r="39335" spans="25:25" hidden="1" x14ac:dyDescent="0.25">
      <c r="Y39335" s="501"/>
    </row>
    <row r="39336" spans="25:25" hidden="1" x14ac:dyDescent="0.25">
      <c r="Y39336" s="501"/>
    </row>
    <row r="39337" spans="25:25" hidden="1" x14ac:dyDescent="0.25">
      <c r="Y39337" s="501"/>
    </row>
    <row r="39338" spans="25:25" hidden="1" x14ac:dyDescent="0.25">
      <c r="Y39338" s="501"/>
    </row>
    <row r="39339" spans="25:25" hidden="1" x14ac:dyDescent="0.25">
      <c r="Y39339" s="501"/>
    </row>
    <row r="39340" spans="25:25" hidden="1" x14ac:dyDescent="0.25">
      <c r="Y39340" s="501"/>
    </row>
    <row r="39341" spans="25:25" hidden="1" x14ac:dyDescent="0.25">
      <c r="Y39341" s="501"/>
    </row>
    <row r="39342" spans="25:25" hidden="1" x14ac:dyDescent="0.25">
      <c r="Y39342" s="501"/>
    </row>
    <row r="39343" spans="25:25" hidden="1" x14ac:dyDescent="0.25">
      <c r="Y39343" s="501"/>
    </row>
    <row r="39344" spans="25:25" hidden="1" x14ac:dyDescent="0.25">
      <c r="Y39344" s="501"/>
    </row>
    <row r="39345" spans="25:25" hidden="1" x14ac:dyDescent="0.25">
      <c r="Y39345" s="501"/>
    </row>
    <row r="39346" spans="25:25" hidden="1" x14ac:dyDescent="0.25">
      <c r="Y39346" s="501"/>
    </row>
    <row r="39347" spans="25:25" hidden="1" x14ac:dyDescent="0.25">
      <c r="Y39347" s="501"/>
    </row>
    <row r="39348" spans="25:25" hidden="1" x14ac:dyDescent="0.25">
      <c r="Y39348" s="501"/>
    </row>
    <row r="39349" spans="25:25" hidden="1" x14ac:dyDescent="0.25">
      <c r="Y39349" s="501"/>
    </row>
    <row r="39350" spans="25:25" hidden="1" x14ac:dyDescent="0.25">
      <c r="Y39350" s="501"/>
    </row>
    <row r="39351" spans="25:25" hidden="1" x14ac:dyDescent="0.25">
      <c r="Y39351" s="501"/>
    </row>
    <row r="39352" spans="25:25" hidden="1" x14ac:dyDescent="0.25">
      <c r="Y39352" s="501"/>
    </row>
    <row r="39353" spans="25:25" hidden="1" x14ac:dyDescent="0.25">
      <c r="Y39353" s="501"/>
    </row>
    <row r="39354" spans="25:25" hidden="1" x14ac:dyDescent="0.25">
      <c r="Y39354" s="501"/>
    </row>
    <row r="39355" spans="25:25" hidden="1" x14ac:dyDescent="0.25">
      <c r="Y39355" s="501"/>
    </row>
    <row r="39356" spans="25:25" hidden="1" x14ac:dyDescent="0.25">
      <c r="Y39356" s="501"/>
    </row>
    <row r="39357" spans="25:25" hidden="1" x14ac:dyDescent="0.25">
      <c r="Y39357" s="501"/>
    </row>
    <row r="39358" spans="25:25" hidden="1" x14ac:dyDescent="0.25">
      <c r="Y39358" s="501"/>
    </row>
    <row r="39359" spans="25:25" hidden="1" x14ac:dyDescent="0.25">
      <c r="Y39359" s="501"/>
    </row>
    <row r="39360" spans="25:25" hidden="1" x14ac:dyDescent="0.25">
      <c r="Y39360" s="501"/>
    </row>
    <row r="39361" spans="25:25" hidden="1" x14ac:dyDescent="0.25">
      <c r="Y39361" s="501"/>
    </row>
    <row r="39362" spans="25:25" hidden="1" x14ac:dyDescent="0.25">
      <c r="Y39362" s="501"/>
    </row>
    <row r="39363" spans="25:25" hidden="1" x14ac:dyDescent="0.25">
      <c r="Y39363" s="501"/>
    </row>
    <row r="39364" spans="25:25" hidden="1" x14ac:dyDescent="0.25">
      <c r="Y39364" s="501"/>
    </row>
    <row r="39365" spans="25:25" hidden="1" x14ac:dyDescent="0.25">
      <c r="Y39365" s="501"/>
    </row>
    <row r="39366" spans="25:25" hidden="1" x14ac:dyDescent="0.25">
      <c r="Y39366" s="501"/>
    </row>
    <row r="39367" spans="25:25" hidden="1" x14ac:dyDescent="0.25">
      <c r="Y39367" s="501"/>
    </row>
    <row r="39368" spans="25:25" hidden="1" x14ac:dyDescent="0.25">
      <c r="Y39368" s="501"/>
    </row>
    <row r="39369" spans="25:25" hidden="1" x14ac:dyDescent="0.25">
      <c r="Y39369" s="501"/>
    </row>
    <row r="39370" spans="25:25" hidden="1" x14ac:dyDescent="0.25">
      <c r="Y39370" s="501"/>
    </row>
    <row r="39371" spans="25:25" hidden="1" x14ac:dyDescent="0.25">
      <c r="Y39371" s="501"/>
    </row>
    <row r="39372" spans="25:25" hidden="1" x14ac:dyDescent="0.25">
      <c r="Y39372" s="501"/>
    </row>
    <row r="39373" spans="25:25" hidden="1" x14ac:dyDescent="0.25">
      <c r="Y39373" s="501"/>
    </row>
    <row r="39374" spans="25:25" hidden="1" x14ac:dyDescent="0.25">
      <c r="Y39374" s="501"/>
    </row>
    <row r="39375" spans="25:25" hidden="1" x14ac:dyDescent="0.25">
      <c r="Y39375" s="501"/>
    </row>
    <row r="39376" spans="25:25" hidden="1" x14ac:dyDescent="0.25">
      <c r="Y39376" s="501"/>
    </row>
    <row r="39377" spans="25:25" hidden="1" x14ac:dyDescent="0.25">
      <c r="Y39377" s="501"/>
    </row>
    <row r="39378" spans="25:25" hidden="1" x14ac:dyDescent="0.25">
      <c r="Y39378" s="501"/>
    </row>
    <row r="39379" spans="25:25" hidden="1" x14ac:dyDescent="0.25">
      <c r="Y39379" s="501"/>
    </row>
    <row r="39380" spans="25:25" hidden="1" x14ac:dyDescent="0.25">
      <c r="Y39380" s="501"/>
    </row>
    <row r="39381" spans="25:25" hidden="1" x14ac:dyDescent="0.25">
      <c r="Y39381" s="501"/>
    </row>
    <row r="39382" spans="25:25" hidden="1" x14ac:dyDescent="0.25">
      <c r="Y39382" s="501"/>
    </row>
    <row r="39383" spans="25:25" hidden="1" x14ac:dyDescent="0.25">
      <c r="Y39383" s="501"/>
    </row>
    <row r="39384" spans="25:25" hidden="1" x14ac:dyDescent="0.25">
      <c r="Y39384" s="501"/>
    </row>
    <row r="39385" spans="25:25" hidden="1" x14ac:dyDescent="0.25">
      <c r="Y39385" s="501"/>
    </row>
    <row r="39386" spans="25:25" hidden="1" x14ac:dyDescent="0.25">
      <c r="Y39386" s="501"/>
    </row>
    <row r="39387" spans="25:25" hidden="1" x14ac:dyDescent="0.25">
      <c r="Y39387" s="501"/>
    </row>
    <row r="39388" spans="25:25" hidden="1" x14ac:dyDescent="0.25">
      <c r="Y39388" s="501"/>
    </row>
    <row r="39389" spans="25:25" hidden="1" x14ac:dyDescent="0.25">
      <c r="Y39389" s="501"/>
    </row>
    <row r="39390" spans="25:25" hidden="1" x14ac:dyDescent="0.25">
      <c r="Y39390" s="501"/>
    </row>
    <row r="39391" spans="25:25" hidden="1" x14ac:dyDescent="0.25">
      <c r="Y39391" s="501"/>
    </row>
    <row r="39392" spans="25:25" hidden="1" x14ac:dyDescent="0.25">
      <c r="Y39392" s="501"/>
    </row>
    <row r="39393" spans="25:25" hidden="1" x14ac:dyDescent="0.25">
      <c r="Y39393" s="501"/>
    </row>
    <row r="39394" spans="25:25" hidden="1" x14ac:dyDescent="0.25">
      <c r="Y39394" s="501"/>
    </row>
    <row r="39395" spans="25:25" hidden="1" x14ac:dyDescent="0.25">
      <c r="Y39395" s="501"/>
    </row>
    <row r="39396" spans="25:25" hidden="1" x14ac:dyDescent="0.25">
      <c r="Y39396" s="501"/>
    </row>
    <row r="39397" spans="25:25" hidden="1" x14ac:dyDescent="0.25">
      <c r="Y39397" s="501"/>
    </row>
    <row r="39398" spans="25:25" hidden="1" x14ac:dyDescent="0.25">
      <c r="Y39398" s="501"/>
    </row>
    <row r="39399" spans="25:25" hidden="1" x14ac:dyDescent="0.25">
      <c r="Y39399" s="501"/>
    </row>
    <row r="39400" spans="25:25" hidden="1" x14ac:dyDescent="0.25">
      <c r="Y39400" s="501"/>
    </row>
    <row r="39401" spans="25:25" hidden="1" x14ac:dyDescent="0.25">
      <c r="Y39401" s="501"/>
    </row>
    <row r="39402" spans="25:25" hidden="1" x14ac:dyDescent="0.25">
      <c r="Y39402" s="501"/>
    </row>
    <row r="39403" spans="25:25" hidden="1" x14ac:dyDescent="0.25">
      <c r="Y39403" s="501"/>
    </row>
    <row r="39404" spans="25:25" hidden="1" x14ac:dyDescent="0.25">
      <c r="Y39404" s="501"/>
    </row>
    <row r="39405" spans="25:25" hidden="1" x14ac:dyDescent="0.25">
      <c r="Y39405" s="501"/>
    </row>
    <row r="39406" spans="25:25" hidden="1" x14ac:dyDescent="0.25">
      <c r="Y39406" s="501"/>
    </row>
    <row r="39407" spans="25:25" hidden="1" x14ac:dyDescent="0.25">
      <c r="Y39407" s="501"/>
    </row>
    <row r="39408" spans="25:25" hidden="1" x14ac:dyDescent="0.25">
      <c r="Y39408" s="501"/>
    </row>
    <row r="39409" spans="25:25" hidden="1" x14ac:dyDescent="0.25">
      <c r="Y39409" s="501"/>
    </row>
    <row r="39410" spans="25:25" hidden="1" x14ac:dyDescent="0.25">
      <c r="Y39410" s="501"/>
    </row>
    <row r="39411" spans="25:25" hidden="1" x14ac:dyDescent="0.25">
      <c r="Y39411" s="501"/>
    </row>
    <row r="39412" spans="25:25" hidden="1" x14ac:dyDescent="0.25">
      <c r="Y39412" s="501"/>
    </row>
    <row r="39413" spans="25:25" hidden="1" x14ac:dyDescent="0.25">
      <c r="Y39413" s="501"/>
    </row>
    <row r="39414" spans="25:25" hidden="1" x14ac:dyDescent="0.25">
      <c r="Y39414" s="501"/>
    </row>
    <row r="39415" spans="25:25" hidden="1" x14ac:dyDescent="0.25">
      <c r="Y39415" s="501"/>
    </row>
    <row r="39416" spans="25:25" hidden="1" x14ac:dyDescent="0.25">
      <c r="Y39416" s="501"/>
    </row>
    <row r="39417" spans="25:25" hidden="1" x14ac:dyDescent="0.25">
      <c r="Y39417" s="501"/>
    </row>
    <row r="39418" spans="25:25" hidden="1" x14ac:dyDescent="0.25">
      <c r="Y39418" s="501"/>
    </row>
    <row r="39419" spans="25:25" hidden="1" x14ac:dyDescent="0.25">
      <c r="Y39419" s="501"/>
    </row>
    <row r="39420" spans="25:25" hidden="1" x14ac:dyDescent="0.25">
      <c r="Y39420" s="501"/>
    </row>
    <row r="39421" spans="25:25" hidden="1" x14ac:dyDescent="0.25">
      <c r="Y39421" s="501"/>
    </row>
    <row r="39422" spans="25:25" hidden="1" x14ac:dyDescent="0.25">
      <c r="Y39422" s="501"/>
    </row>
    <row r="39423" spans="25:25" hidden="1" x14ac:dyDescent="0.25">
      <c r="Y39423" s="501"/>
    </row>
    <row r="39424" spans="25:25" hidden="1" x14ac:dyDescent="0.25">
      <c r="Y39424" s="501"/>
    </row>
    <row r="39425" spans="25:25" hidden="1" x14ac:dyDescent="0.25">
      <c r="Y39425" s="501"/>
    </row>
    <row r="39426" spans="25:25" hidden="1" x14ac:dyDescent="0.25">
      <c r="Y39426" s="501"/>
    </row>
    <row r="39427" spans="25:25" hidden="1" x14ac:dyDescent="0.25">
      <c r="Y39427" s="501"/>
    </row>
    <row r="39428" spans="25:25" hidden="1" x14ac:dyDescent="0.25">
      <c r="Y39428" s="501"/>
    </row>
    <row r="39429" spans="25:25" hidden="1" x14ac:dyDescent="0.25">
      <c r="Y39429" s="501"/>
    </row>
    <row r="39430" spans="25:25" hidden="1" x14ac:dyDescent="0.25">
      <c r="Y39430" s="501"/>
    </row>
    <row r="39431" spans="25:25" hidden="1" x14ac:dyDescent="0.25">
      <c r="Y39431" s="501"/>
    </row>
    <row r="39432" spans="25:25" hidden="1" x14ac:dyDescent="0.25">
      <c r="Y39432" s="501"/>
    </row>
    <row r="39433" spans="25:25" hidden="1" x14ac:dyDescent="0.25">
      <c r="Y39433" s="501"/>
    </row>
    <row r="39434" spans="25:25" hidden="1" x14ac:dyDescent="0.25">
      <c r="Y39434" s="501"/>
    </row>
    <row r="39435" spans="25:25" hidden="1" x14ac:dyDescent="0.25">
      <c r="Y39435" s="501"/>
    </row>
    <row r="39436" spans="25:25" hidden="1" x14ac:dyDescent="0.25">
      <c r="Y39436" s="501"/>
    </row>
    <row r="39437" spans="25:25" hidden="1" x14ac:dyDescent="0.25">
      <c r="Y39437" s="501"/>
    </row>
    <row r="39438" spans="25:25" hidden="1" x14ac:dyDescent="0.25">
      <c r="Y39438" s="501"/>
    </row>
    <row r="39439" spans="25:25" hidden="1" x14ac:dyDescent="0.25">
      <c r="Y39439" s="501"/>
    </row>
    <row r="39440" spans="25:25" hidden="1" x14ac:dyDescent="0.25">
      <c r="Y39440" s="501"/>
    </row>
    <row r="39441" spans="25:25" hidden="1" x14ac:dyDescent="0.25">
      <c r="Y39441" s="501"/>
    </row>
    <row r="39442" spans="25:25" hidden="1" x14ac:dyDescent="0.25">
      <c r="Y39442" s="501"/>
    </row>
    <row r="39443" spans="25:25" hidden="1" x14ac:dyDescent="0.25">
      <c r="Y39443" s="501"/>
    </row>
    <row r="39444" spans="25:25" hidden="1" x14ac:dyDescent="0.25">
      <c r="Y39444" s="501"/>
    </row>
    <row r="39445" spans="25:25" hidden="1" x14ac:dyDescent="0.25">
      <c r="Y39445" s="501"/>
    </row>
    <row r="39446" spans="25:25" hidden="1" x14ac:dyDescent="0.25">
      <c r="Y39446" s="501"/>
    </row>
    <row r="39447" spans="25:25" hidden="1" x14ac:dyDescent="0.25">
      <c r="Y39447" s="501"/>
    </row>
    <row r="39448" spans="25:25" hidden="1" x14ac:dyDescent="0.25">
      <c r="Y39448" s="501"/>
    </row>
    <row r="39449" spans="25:25" hidden="1" x14ac:dyDescent="0.25">
      <c r="Y39449" s="501"/>
    </row>
    <row r="39450" spans="25:25" hidden="1" x14ac:dyDescent="0.25">
      <c r="Y39450" s="501"/>
    </row>
    <row r="39451" spans="25:25" hidden="1" x14ac:dyDescent="0.25">
      <c r="Y39451" s="501"/>
    </row>
    <row r="39452" spans="25:25" hidden="1" x14ac:dyDescent="0.25">
      <c r="Y39452" s="501"/>
    </row>
    <row r="39453" spans="25:25" hidden="1" x14ac:dyDescent="0.25">
      <c r="Y39453" s="501"/>
    </row>
    <row r="39454" spans="25:25" hidden="1" x14ac:dyDescent="0.25">
      <c r="Y39454" s="501"/>
    </row>
    <row r="39455" spans="25:25" hidden="1" x14ac:dyDescent="0.25">
      <c r="Y39455" s="501"/>
    </row>
    <row r="39456" spans="25:25" hidden="1" x14ac:dyDescent="0.25">
      <c r="Y39456" s="501"/>
    </row>
    <row r="39457" spans="25:25" hidden="1" x14ac:dyDescent="0.25">
      <c r="Y39457" s="501"/>
    </row>
    <row r="39458" spans="25:25" hidden="1" x14ac:dyDescent="0.25">
      <c r="Y39458" s="501"/>
    </row>
    <row r="39459" spans="25:25" hidden="1" x14ac:dyDescent="0.25">
      <c r="Y39459" s="501"/>
    </row>
    <row r="39460" spans="25:25" hidden="1" x14ac:dyDescent="0.25">
      <c r="Y39460" s="501"/>
    </row>
    <row r="39461" spans="25:25" hidden="1" x14ac:dyDescent="0.25">
      <c r="Y39461" s="501"/>
    </row>
    <row r="39462" spans="25:25" hidden="1" x14ac:dyDescent="0.25">
      <c r="Y39462" s="501"/>
    </row>
    <row r="39463" spans="25:25" hidden="1" x14ac:dyDescent="0.25">
      <c r="Y39463" s="501"/>
    </row>
    <row r="39464" spans="25:25" hidden="1" x14ac:dyDescent="0.25">
      <c r="Y39464" s="501"/>
    </row>
    <row r="39465" spans="25:25" hidden="1" x14ac:dyDescent="0.25">
      <c r="Y39465" s="501"/>
    </row>
    <row r="39466" spans="25:25" hidden="1" x14ac:dyDescent="0.25">
      <c r="Y39466" s="501"/>
    </row>
    <row r="39467" spans="25:25" hidden="1" x14ac:dyDescent="0.25">
      <c r="Y39467" s="501"/>
    </row>
    <row r="39468" spans="25:25" hidden="1" x14ac:dyDescent="0.25">
      <c r="Y39468" s="501"/>
    </row>
    <row r="39469" spans="25:25" hidden="1" x14ac:dyDescent="0.25">
      <c r="Y39469" s="501"/>
    </row>
    <row r="39470" spans="25:25" hidden="1" x14ac:dyDescent="0.25">
      <c r="Y39470" s="501"/>
    </row>
    <row r="39471" spans="25:25" hidden="1" x14ac:dyDescent="0.25">
      <c r="Y39471" s="501"/>
    </row>
    <row r="39472" spans="25:25" hidden="1" x14ac:dyDescent="0.25">
      <c r="Y39472" s="501"/>
    </row>
    <row r="39473" spans="25:25" hidden="1" x14ac:dyDescent="0.25">
      <c r="Y39473" s="501"/>
    </row>
    <row r="39474" spans="25:25" hidden="1" x14ac:dyDescent="0.25">
      <c r="Y39474" s="501"/>
    </row>
    <row r="39475" spans="25:25" hidden="1" x14ac:dyDescent="0.25">
      <c r="Y39475" s="501"/>
    </row>
    <row r="39476" spans="25:25" hidden="1" x14ac:dyDescent="0.25">
      <c r="Y39476" s="501"/>
    </row>
    <row r="39477" spans="25:25" hidden="1" x14ac:dyDescent="0.25">
      <c r="Y39477" s="501"/>
    </row>
    <row r="39478" spans="25:25" hidden="1" x14ac:dyDescent="0.25">
      <c r="Y39478" s="501"/>
    </row>
    <row r="39479" spans="25:25" hidden="1" x14ac:dyDescent="0.25">
      <c r="Y39479" s="501"/>
    </row>
    <row r="39480" spans="25:25" hidden="1" x14ac:dyDescent="0.25">
      <c r="Y39480" s="501"/>
    </row>
    <row r="39481" spans="25:25" hidden="1" x14ac:dyDescent="0.25">
      <c r="Y39481" s="501"/>
    </row>
    <row r="39482" spans="25:25" hidden="1" x14ac:dyDescent="0.25">
      <c r="Y39482" s="501"/>
    </row>
    <row r="39483" spans="25:25" hidden="1" x14ac:dyDescent="0.25">
      <c r="Y39483" s="501"/>
    </row>
    <row r="39484" spans="25:25" hidden="1" x14ac:dyDescent="0.25">
      <c r="Y39484" s="501"/>
    </row>
    <row r="39485" spans="25:25" hidden="1" x14ac:dyDescent="0.25">
      <c r="Y39485" s="501"/>
    </row>
    <row r="39486" spans="25:25" hidden="1" x14ac:dyDescent="0.25">
      <c r="Y39486" s="501"/>
    </row>
    <row r="39487" spans="25:25" hidden="1" x14ac:dyDescent="0.25">
      <c r="Y39487" s="501"/>
    </row>
    <row r="39488" spans="25:25" hidden="1" x14ac:dyDescent="0.25">
      <c r="Y39488" s="501"/>
    </row>
    <row r="39489" spans="25:25" hidden="1" x14ac:dyDescent="0.25">
      <c r="Y39489" s="501"/>
    </row>
    <row r="39490" spans="25:25" hidden="1" x14ac:dyDescent="0.25">
      <c r="Y39490" s="501"/>
    </row>
    <row r="39491" spans="25:25" hidden="1" x14ac:dyDescent="0.25">
      <c r="Y39491" s="501"/>
    </row>
    <row r="39492" spans="25:25" hidden="1" x14ac:dyDescent="0.25">
      <c r="Y39492" s="501"/>
    </row>
    <row r="39493" spans="25:25" hidden="1" x14ac:dyDescent="0.25">
      <c r="Y39493" s="501"/>
    </row>
    <row r="39494" spans="25:25" hidden="1" x14ac:dyDescent="0.25">
      <c r="Y39494" s="501"/>
    </row>
    <row r="39495" spans="25:25" hidden="1" x14ac:dyDescent="0.25">
      <c r="Y39495" s="501"/>
    </row>
    <row r="39496" spans="25:25" hidden="1" x14ac:dyDescent="0.25">
      <c r="Y39496" s="501"/>
    </row>
    <row r="39497" spans="25:25" hidden="1" x14ac:dyDescent="0.25">
      <c r="Y39497" s="501"/>
    </row>
    <row r="39498" spans="25:25" hidden="1" x14ac:dyDescent="0.25">
      <c r="Y39498" s="501"/>
    </row>
    <row r="39499" spans="25:25" hidden="1" x14ac:dyDescent="0.25">
      <c r="Y39499" s="501"/>
    </row>
    <row r="39500" spans="25:25" hidden="1" x14ac:dyDescent="0.25">
      <c r="Y39500" s="501"/>
    </row>
    <row r="39501" spans="25:25" hidden="1" x14ac:dyDescent="0.25">
      <c r="Y39501" s="501"/>
    </row>
    <row r="39502" spans="25:25" hidden="1" x14ac:dyDescent="0.25">
      <c r="Y39502" s="501"/>
    </row>
    <row r="39503" spans="25:25" hidden="1" x14ac:dyDescent="0.25">
      <c r="Y39503" s="501"/>
    </row>
    <row r="39504" spans="25:25" hidden="1" x14ac:dyDescent="0.25">
      <c r="Y39504" s="501"/>
    </row>
    <row r="39505" spans="25:25" hidden="1" x14ac:dyDescent="0.25">
      <c r="Y39505" s="501"/>
    </row>
    <row r="39506" spans="25:25" hidden="1" x14ac:dyDescent="0.25">
      <c r="Y39506" s="501"/>
    </row>
    <row r="39507" spans="25:25" hidden="1" x14ac:dyDescent="0.25">
      <c r="Y39507" s="501"/>
    </row>
    <row r="39508" spans="25:25" hidden="1" x14ac:dyDescent="0.25">
      <c r="Y39508" s="501"/>
    </row>
    <row r="39509" spans="25:25" hidden="1" x14ac:dyDescent="0.25">
      <c r="Y39509" s="501"/>
    </row>
    <row r="39510" spans="25:25" hidden="1" x14ac:dyDescent="0.25">
      <c r="Y39510" s="501"/>
    </row>
    <row r="39511" spans="25:25" hidden="1" x14ac:dyDescent="0.25">
      <c r="Y39511" s="501"/>
    </row>
    <row r="39512" spans="25:25" hidden="1" x14ac:dyDescent="0.25">
      <c r="Y39512" s="501"/>
    </row>
    <row r="39513" spans="25:25" hidden="1" x14ac:dyDescent="0.25">
      <c r="Y39513" s="501"/>
    </row>
    <row r="39514" spans="25:25" hidden="1" x14ac:dyDescent="0.25">
      <c r="Y39514" s="501"/>
    </row>
    <row r="39515" spans="25:25" hidden="1" x14ac:dyDescent="0.25">
      <c r="Y39515" s="501"/>
    </row>
    <row r="39516" spans="25:25" hidden="1" x14ac:dyDescent="0.25">
      <c r="Y39516" s="501"/>
    </row>
    <row r="39517" spans="25:25" hidden="1" x14ac:dyDescent="0.25">
      <c r="Y39517" s="501"/>
    </row>
    <row r="39518" spans="25:25" hidden="1" x14ac:dyDescent="0.25">
      <c r="Y39518" s="501"/>
    </row>
    <row r="39519" spans="25:25" hidden="1" x14ac:dyDescent="0.25">
      <c r="Y39519" s="501"/>
    </row>
    <row r="39520" spans="25:25" hidden="1" x14ac:dyDescent="0.25">
      <c r="Y39520" s="501"/>
    </row>
    <row r="39521" spans="25:25" hidden="1" x14ac:dyDescent="0.25">
      <c r="Y39521" s="501"/>
    </row>
    <row r="39522" spans="25:25" hidden="1" x14ac:dyDescent="0.25">
      <c r="Y39522" s="501"/>
    </row>
    <row r="39523" spans="25:25" hidden="1" x14ac:dyDescent="0.25">
      <c r="Y39523" s="501"/>
    </row>
    <row r="39524" spans="25:25" hidden="1" x14ac:dyDescent="0.25">
      <c r="Y39524" s="501"/>
    </row>
    <row r="39525" spans="25:25" hidden="1" x14ac:dyDescent="0.25">
      <c r="Y39525" s="501"/>
    </row>
    <row r="39526" spans="25:25" hidden="1" x14ac:dyDescent="0.25">
      <c r="Y39526" s="501"/>
    </row>
    <row r="39527" spans="25:25" hidden="1" x14ac:dyDescent="0.25">
      <c r="Y39527" s="501"/>
    </row>
    <row r="39528" spans="25:25" hidden="1" x14ac:dyDescent="0.25">
      <c r="Y39528" s="501"/>
    </row>
    <row r="39529" spans="25:25" hidden="1" x14ac:dyDescent="0.25">
      <c r="Y39529" s="501"/>
    </row>
    <row r="39530" spans="25:25" hidden="1" x14ac:dyDescent="0.25">
      <c r="Y39530" s="501"/>
    </row>
    <row r="39531" spans="25:25" hidden="1" x14ac:dyDescent="0.25">
      <c r="Y39531" s="501"/>
    </row>
    <row r="39532" spans="25:25" hidden="1" x14ac:dyDescent="0.25">
      <c r="Y39532" s="501"/>
    </row>
    <row r="39533" spans="25:25" hidden="1" x14ac:dyDescent="0.25">
      <c r="Y39533" s="501"/>
    </row>
    <row r="39534" spans="25:25" hidden="1" x14ac:dyDescent="0.25">
      <c r="Y39534" s="501"/>
    </row>
    <row r="39535" spans="25:25" hidden="1" x14ac:dyDescent="0.25">
      <c r="Y39535" s="501"/>
    </row>
    <row r="39536" spans="25:25" hidden="1" x14ac:dyDescent="0.25">
      <c r="Y39536" s="501"/>
    </row>
    <row r="39537" spans="25:25" hidden="1" x14ac:dyDescent="0.25">
      <c r="Y39537" s="501"/>
    </row>
    <row r="39538" spans="25:25" hidden="1" x14ac:dyDescent="0.25">
      <c r="Y39538" s="501"/>
    </row>
    <row r="39539" spans="25:25" hidden="1" x14ac:dyDescent="0.25">
      <c r="Y39539" s="501"/>
    </row>
    <row r="39540" spans="25:25" hidden="1" x14ac:dyDescent="0.25">
      <c r="Y39540" s="501"/>
    </row>
    <row r="39541" spans="25:25" hidden="1" x14ac:dyDescent="0.25">
      <c r="Y39541" s="501"/>
    </row>
    <row r="39542" spans="25:25" hidden="1" x14ac:dyDescent="0.25">
      <c r="Y39542" s="501"/>
    </row>
    <row r="39543" spans="25:25" hidden="1" x14ac:dyDescent="0.25">
      <c r="Y39543" s="501"/>
    </row>
    <row r="39544" spans="25:25" hidden="1" x14ac:dyDescent="0.25">
      <c r="Y39544" s="501"/>
    </row>
    <row r="39545" spans="25:25" hidden="1" x14ac:dyDescent="0.25">
      <c r="Y39545" s="501"/>
    </row>
    <row r="39546" spans="25:25" hidden="1" x14ac:dyDescent="0.25">
      <c r="Y39546" s="501"/>
    </row>
    <row r="39547" spans="25:25" hidden="1" x14ac:dyDescent="0.25">
      <c r="Y39547" s="501"/>
    </row>
    <row r="39548" spans="25:25" hidden="1" x14ac:dyDescent="0.25">
      <c r="Y39548" s="501"/>
    </row>
    <row r="39549" spans="25:25" hidden="1" x14ac:dyDescent="0.25">
      <c r="Y39549" s="501"/>
    </row>
    <row r="39550" spans="25:25" hidden="1" x14ac:dyDescent="0.25">
      <c r="Y39550" s="501"/>
    </row>
    <row r="39551" spans="25:25" hidden="1" x14ac:dyDescent="0.25">
      <c r="Y39551" s="501"/>
    </row>
    <row r="39552" spans="25:25" hidden="1" x14ac:dyDescent="0.25">
      <c r="Y39552" s="501"/>
    </row>
    <row r="39553" spans="25:25" hidden="1" x14ac:dyDescent="0.25">
      <c r="Y39553" s="501"/>
    </row>
    <row r="39554" spans="25:25" hidden="1" x14ac:dyDescent="0.25">
      <c r="Y39554" s="501"/>
    </row>
    <row r="39555" spans="25:25" hidden="1" x14ac:dyDescent="0.25">
      <c r="Y39555" s="501"/>
    </row>
    <row r="39556" spans="25:25" hidden="1" x14ac:dyDescent="0.25">
      <c r="Y39556" s="501"/>
    </row>
    <row r="39557" spans="25:25" hidden="1" x14ac:dyDescent="0.25">
      <c r="Y39557" s="501"/>
    </row>
    <row r="39558" spans="25:25" hidden="1" x14ac:dyDescent="0.25">
      <c r="Y39558" s="501"/>
    </row>
    <row r="39559" spans="25:25" hidden="1" x14ac:dyDescent="0.25">
      <c r="Y39559" s="501"/>
    </row>
    <row r="39560" spans="25:25" hidden="1" x14ac:dyDescent="0.25">
      <c r="Y39560" s="501"/>
    </row>
    <row r="39561" spans="25:25" hidden="1" x14ac:dyDescent="0.25">
      <c r="Y39561" s="501"/>
    </row>
    <row r="39562" spans="25:25" hidden="1" x14ac:dyDescent="0.25">
      <c r="Y39562" s="501"/>
    </row>
    <row r="39563" spans="25:25" hidden="1" x14ac:dyDescent="0.25">
      <c r="Y39563" s="501"/>
    </row>
    <row r="39564" spans="25:25" hidden="1" x14ac:dyDescent="0.25">
      <c r="Y39564" s="501"/>
    </row>
    <row r="39565" spans="25:25" hidden="1" x14ac:dyDescent="0.25">
      <c r="Y39565" s="501"/>
    </row>
    <row r="39566" spans="25:25" hidden="1" x14ac:dyDescent="0.25">
      <c r="Y39566" s="501"/>
    </row>
    <row r="39567" spans="25:25" hidden="1" x14ac:dyDescent="0.25">
      <c r="Y39567" s="501"/>
    </row>
    <row r="39568" spans="25:25" hidden="1" x14ac:dyDescent="0.25">
      <c r="Y39568" s="501"/>
    </row>
    <row r="39569" spans="25:25" hidden="1" x14ac:dyDescent="0.25">
      <c r="Y39569" s="501"/>
    </row>
    <row r="39570" spans="25:25" hidden="1" x14ac:dyDescent="0.25">
      <c r="Y39570" s="501"/>
    </row>
    <row r="39571" spans="25:25" hidden="1" x14ac:dyDescent="0.25">
      <c r="Y39571" s="501"/>
    </row>
    <row r="39572" spans="25:25" hidden="1" x14ac:dyDescent="0.25">
      <c r="Y39572" s="501"/>
    </row>
    <row r="39573" spans="25:25" hidden="1" x14ac:dyDescent="0.25">
      <c r="Y39573" s="501"/>
    </row>
    <row r="39574" spans="25:25" hidden="1" x14ac:dyDescent="0.25">
      <c r="Y39574" s="501"/>
    </row>
    <row r="39575" spans="25:25" hidden="1" x14ac:dyDescent="0.25">
      <c r="Y39575" s="501"/>
    </row>
    <row r="39576" spans="25:25" hidden="1" x14ac:dyDescent="0.25">
      <c r="Y39576" s="501"/>
    </row>
    <row r="39577" spans="25:25" hidden="1" x14ac:dyDescent="0.25">
      <c r="Y39577" s="501"/>
    </row>
    <row r="39578" spans="25:25" hidden="1" x14ac:dyDescent="0.25">
      <c r="Y39578" s="501"/>
    </row>
    <row r="39579" spans="25:25" hidden="1" x14ac:dyDescent="0.25">
      <c r="Y39579" s="501"/>
    </row>
    <row r="39580" spans="25:25" hidden="1" x14ac:dyDescent="0.25">
      <c r="Y39580" s="501"/>
    </row>
    <row r="39581" spans="25:25" hidden="1" x14ac:dyDescent="0.25">
      <c r="Y39581" s="501"/>
    </row>
    <row r="39582" spans="25:25" hidden="1" x14ac:dyDescent="0.25">
      <c r="Y39582" s="501"/>
    </row>
    <row r="39583" spans="25:25" hidden="1" x14ac:dyDescent="0.25">
      <c r="Y39583" s="501"/>
    </row>
    <row r="39584" spans="25:25" hidden="1" x14ac:dyDescent="0.25">
      <c r="Y39584" s="501"/>
    </row>
    <row r="39585" spans="25:25" hidden="1" x14ac:dyDescent="0.25">
      <c r="Y39585" s="501"/>
    </row>
    <row r="39586" spans="25:25" hidden="1" x14ac:dyDescent="0.25">
      <c r="Y39586" s="501"/>
    </row>
    <row r="39587" spans="25:25" hidden="1" x14ac:dyDescent="0.25">
      <c r="Y39587" s="501"/>
    </row>
    <row r="39588" spans="25:25" hidden="1" x14ac:dyDescent="0.25">
      <c r="Y39588" s="501"/>
    </row>
    <row r="39589" spans="25:25" hidden="1" x14ac:dyDescent="0.25">
      <c r="Y39589" s="501"/>
    </row>
    <row r="39590" spans="25:25" hidden="1" x14ac:dyDescent="0.25">
      <c r="Y39590" s="501"/>
    </row>
    <row r="39591" spans="25:25" hidden="1" x14ac:dyDescent="0.25">
      <c r="Y39591" s="501"/>
    </row>
    <row r="39592" spans="25:25" hidden="1" x14ac:dyDescent="0.25">
      <c r="Y39592" s="501"/>
    </row>
    <row r="39593" spans="25:25" hidden="1" x14ac:dyDescent="0.25">
      <c r="Y39593" s="501"/>
    </row>
    <row r="39594" spans="25:25" hidden="1" x14ac:dyDescent="0.25">
      <c r="Y39594" s="501"/>
    </row>
    <row r="39595" spans="25:25" hidden="1" x14ac:dyDescent="0.25">
      <c r="Y39595" s="501"/>
    </row>
    <row r="39596" spans="25:25" hidden="1" x14ac:dyDescent="0.25">
      <c r="Y39596" s="501"/>
    </row>
    <row r="39597" spans="25:25" hidden="1" x14ac:dyDescent="0.25">
      <c r="Y39597" s="501"/>
    </row>
    <row r="39598" spans="25:25" hidden="1" x14ac:dyDescent="0.25">
      <c r="Y39598" s="501"/>
    </row>
    <row r="39599" spans="25:25" hidden="1" x14ac:dyDescent="0.25">
      <c r="Y39599" s="501"/>
    </row>
    <row r="39600" spans="25:25" hidden="1" x14ac:dyDescent="0.25">
      <c r="Y39600" s="501"/>
    </row>
    <row r="39601" spans="25:25" hidden="1" x14ac:dyDescent="0.25">
      <c r="Y39601" s="501"/>
    </row>
    <row r="39602" spans="25:25" hidden="1" x14ac:dyDescent="0.25">
      <c r="Y39602" s="501"/>
    </row>
    <row r="39603" spans="25:25" hidden="1" x14ac:dyDescent="0.25">
      <c r="Y39603" s="501"/>
    </row>
    <row r="39604" spans="25:25" hidden="1" x14ac:dyDescent="0.25">
      <c r="Y39604" s="501"/>
    </row>
    <row r="39605" spans="25:25" hidden="1" x14ac:dyDescent="0.25">
      <c r="Y39605" s="501"/>
    </row>
    <row r="39606" spans="25:25" hidden="1" x14ac:dyDescent="0.25">
      <c r="Y39606" s="501"/>
    </row>
    <row r="39607" spans="25:25" hidden="1" x14ac:dyDescent="0.25">
      <c r="Y39607" s="501"/>
    </row>
    <row r="39608" spans="25:25" hidden="1" x14ac:dyDescent="0.25">
      <c r="Y39608" s="501"/>
    </row>
    <row r="39609" spans="25:25" hidden="1" x14ac:dyDescent="0.25">
      <c r="Y39609" s="501"/>
    </row>
    <row r="39610" spans="25:25" hidden="1" x14ac:dyDescent="0.25">
      <c r="Y39610" s="501"/>
    </row>
    <row r="39611" spans="25:25" hidden="1" x14ac:dyDescent="0.25">
      <c r="Y39611" s="501"/>
    </row>
    <row r="39612" spans="25:25" hidden="1" x14ac:dyDescent="0.25">
      <c r="Y39612" s="501"/>
    </row>
    <row r="39613" spans="25:25" hidden="1" x14ac:dyDescent="0.25">
      <c r="Y39613" s="501"/>
    </row>
    <row r="39614" spans="25:25" hidden="1" x14ac:dyDescent="0.25">
      <c r="Y39614" s="501"/>
    </row>
    <row r="39615" spans="25:25" hidden="1" x14ac:dyDescent="0.25">
      <c r="Y39615" s="501"/>
    </row>
    <row r="39616" spans="25:25" hidden="1" x14ac:dyDescent="0.25">
      <c r="Y39616" s="501"/>
    </row>
    <row r="39617" spans="25:25" hidden="1" x14ac:dyDescent="0.25">
      <c r="Y39617" s="501"/>
    </row>
    <row r="39618" spans="25:25" hidden="1" x14ac:dyDescent="0.25">
      <c r="Y39618" s="501"/>
    </row>
    <row r="39619" spans="25:25" hidden="1" x14ac:dyDescent="0.25">
      <c r="Y39619" s="501"/>
    </row>
    <row r="39620" spans="25:25" hidden="1" x14ac:dyDescent="0.25">
      <c r="Y39620" s="501"/>
    </row>
    <row r="39621" spans="25:25" hidden="1" x14ac:dyDescent="0.25">
      <c r="Y39621" s="501"/>
    </row>
    <row r="39622" spans="25:25" hidden="1" x14ac:dyDescent="0.25">
      <c r="Y39622" s="501"/>
    </row>
    <row r="39623" spans="25:25" hidden="1" x14ac:dyDescent="0.25">
      <c r="Y39623" s="501"/>
    </row>
    <row r="39624" spans="25:25" hidden="1" x14ac:dyDescent="0.25">
      <c r="Y39624" s="501"/>
    </row>
    <row r="39625" spans="25:25" hidden="1" x14ac:dyDescent="0.25">
      <c r="Y39625" s="501"/>
    </row>
    <row r="39626" spans="25:25" hidden="1" x14ac:dyDescent="0.25">
      <c r="Y39626" s="501"/>
    </row>
    <row r="39627" spans="25:25" hidden="1" x14ac:dyDescent="0.25">
      <c r="Y39627" s="501"/>
    </row>
    <row r="39628" spans="25:25" hidden="1" x14ac:dyDescent="0.25">
      <c r="Y39628" s="501"/>
    </row>
    <row r="39629" spans="25:25" hidden="1" x14ac:dyDescent="0.25">
      <c r="Y39629" s="501"/>
    </row>
    <row r="39630" spans="25:25" hidden="1" x14ac:dyDescent="0.25">
      <c r="Y39630" s="501"/>
    </row>
    <row r="39631" spans="25:25" hidden="1" x14ac:dyDescent="0.25">
      <c r="Y39631" s="501"/>
    </row>
    <row r="39632" spans="25:25" hidden="1" x14ac:dyDescent="0.25">
      <c r="Y39632" s="501"/>
    </row>
    <row r="39633" spans="25:25" hidden="1" x14ac:dyDescent="0.25">
      <c r="Y39633" s="501"/>
    </row>
    <row r="39634" spans="25:25" hidden="1" x14ac:dyDescent="0.25">
      <c r="Y39634" s="501"/>
    </row>
    <row r="39635" spans="25:25" hidden="1" x14ac:dyDescent="0.25">
      <c r="Y39635" s="501"/>
    </row>
    <row r="39636" spans="25:25" hidden="1" x14ac:dyDescent="0.25">
      <c r="Y39636" s="501"/>
    </row>
    <row r="39637" spans="25:25" hidden="1" x14ac:dyDescent="0.25">
      <c r="Y39637" s="501"/>
    </row>
    <row r="39638" spans="25:25" hidden="1" x14ac:dyDescent="0.25">
      <c r="Y39638" s="501"/>
    </row>
    <row r="39639" spans="25:25" hidden="1" x14ac:dyDescent="0.25">
      <c r="Y39639" s="501"/>
    </row>
    <row r="39640" spans="25:25" hidden="1" x14ac:dyDescent="0.25">
      <c r="Y39640" s="501"/>
    </row>
    <row r="39641" spans="25:25" hidden="1" x14ac:dyDescent="0.25">
      <c r="Y39641" s="501"/>
    </row>
    <row r="39642" spans="25:25" hidden="1" x14ac:dyDescent="0.25">
      <c r="Y39642" s="501"/>
    </row>
    <row r="39643" spans="25:25" hidden="1" x14ac:dyDescent="0.25">
      <c r="Y39643" s="501"/>
    </row>
    <row r="39644" spans="25:25" hidden="1" x14ac:dyDescent="0.25">
      <c r="Y39644" s="501"/>
    </row>
    <row r="39645" spans="25:25" hidden="1" x14ac:dyDescent="0.25">
      <c r="Y39645" s="501"/>
    </row>
    <row r="39646" spans="25:25" hidden="1" x14ac:dyDescent="0.25">
      <c r="Y39646" s="501"/>
    </row>
    <row r="39647" spans="25:25" hidden="1" x14ac:dyDescent="0.25">
      <c r="Y39647" s="501"/>
    </row>
    <row r="39648" spans="25:25" hidden="1" x14ac:dyDescent="0.25">
      <c r="Y39648" s="501"/>
    </row>
    <row r="39649" spans="25:25" hidden="1" x14ac:dyDescent="0.25">
      <c r="Y39649" s="501"/>
    </row>
    <row r="39650" spans="25:25" hidden="1" x14ac:dyDescent="0.25">
      <c r="Y39650" s="501"/>
    </row>
    <row r="39651" spans="25:25" hidden="1" x14ac:dyDescent="0.25">
      <c r="Y39651" s="501"/>
    </row>
    <row r="39652" spans="25:25" hidden="1" x14ac:dyDescent="0.25">
      <c r="Y39652" s="501"/>
    </row>
    <row r="39653" spans="25:25" hidden="1" x14ac:dyDescent="0.25">
      <c r="Y39653" s="501"/>
    </row>
    <row r="39654" spans="25:25" hidden="1" x14ac:dyDescent="0.25">
      <c r="Y39654" s="501"/>
    </row>
    <row r="39655" spans="25:25" hidden="1" x14ac:dyDescent="0.25">
      <c r="Y39655" s="501"/>
    </row>
    <row r="39656" spans="25:25" hidden="1" x14ac:dyDescent="0.25">
      <c r="Y39656" s="501"/>
    </row>
    <row r="39657" spans="25:25" hidden="1" x14ac:dyDescent="0.25">
      <c r="Y39657" s="501"/>
    </row>
    <row r="39658" spans="25:25" hidden="1" x14ac:dyDescent="0.25">
      <c r="Y39658" s="501"/>
    </row>
    <row r="39659" spans="25:25" hidden="1" x14ac:dyDescent="0.25">
      <c r="Y39659" s="501"/>
    </row>
    <row r="39660" spans="25:25" hidden="1" x14ac:dyDescent="0.25">
      <c r="Y39660" s="501"/>
    </row>
    <row r="39661" spans="25:25" hidden="1" x14ac:dyDescent="0.25">
      <c r="Y39661" s="501"/>
    </row>
    <row r="39662" spans="25:25" hidden="1" x14ac:dyDescent="0.25">
      <c r="Y39662" s="501"/>
    </row>
    <row r="39663" spans="25:25" hidden="1" x14ac:dyDescent="0.25">
      <c r="Y39663" s="501"/>
    </row>
    <row r="39664" spans="25:25" hidden="1" x14ac:dyDescent="0.25">
      <c r="Y39664" s="501"/>
    </row>
    <row r="39665" spans="25:25" hidden="1" x14ac:dyDescent="0.25">
      <c r="Y39665" s="501"/>
    </row>
    <row r="39666" spans="25:25" hidden="1" x14ac:dyDescent="0.25">
      <c r="Y39666" s="501"/>
    </row>
    <row r="39667" spans="25:25" hidden="1" x14ac:dyDescent="0.25">
      <c r="Y39667" s="501"/>
    </row>
    <row r="39668" spans="25:25" hidden="1" x14ac:dyDescent="0.25">
      <c r="Y39668" s="501"/>
    </row>
    <row r="39669" spans="25:25" hidden="1" x14ac:dyDescent="0.25">
      <c r="Y39669" s="501"/>
    </row>
    <row r="39670" spans="25:25" hidden="1" x14ac:dyDescent="0.25">
      <c r="Y39670" s="501"/>
    </row>
    <row r="39671" spans="25:25" hidden="1" x14ac:dyDescent="0.25">
      <c r="Y39671" s="501"/>
    </row>
    <row r="39672" spans="25:25" hidden="1" x14ac:dyDescent="0.25">
      <c r="Y39672" s="501"/>
    </row>
    <row r="39673" spans="25:25" hidden="1" x14ac:dyDescent="0.25">
      <c r="Y39673" s="501"/>
    </row>
    <row r="39674" spans="25:25" hidden="1" x14ac:dyDescent="0.25">
      <c r="Y39674" s="501"/>
    </row>
    <row r="39675" spans="25:25" hidden="1" x14ac:dyDescent="0.25">
      <c r="Y39675" s="501"/>
    </row>
    <row r="39676" spans="25:25" hidden="1" x14ac:dyDescent="0.25">
      <c r="Y39676" s="501"/>
    </row>
    <row r="39677" spans="25:25" hidden="1" x14ac:dyDescent="0.25">
      <c r="Y39677" s="501"/>
    </row>
    <row r="39678" spans="25:25" hidden="1" x14ac:dyDescent="0.25">
      <c r="Y39678" s="501"/>
    </row>
    <row r="39679" spans="25:25" hidden="1" x14ac:dyDescent="0.25">
      <c r="Y39679" s="501"/>
    </row>
    <row r="39680" spans="25:25" hidden="1" x14ac:dyDescent="0.25">
      <c r="Y39680" s="501"/>
    </row>
    <row r="39681" spans="25:25" hidden="1" x14ac:dyDescent="0.25">
      <c r="Y39681" s="501"/>
    </row>
    <row r="39682" spans="25:25" hidden="1" x14ac:dyDescent="0.25">
      <c r="Y39682" s="501"/>
    </row>
    <row r="39683" spans="25:25" hidden="1" x14ac:dyDescent="0.25">
      <c r="Y39683" s="501"/>
    </row>
    <row r="39684" spans="25:25" hidden="1" x14ac:dyDescent="0.25">
      <c r="Y39684" s="501"/>
    </row>
    <row r="39685" spans="25:25" hidden="1" x14ac:dyDescent="0.25">
      <c r="Y39685" s="501"/>
    </row>
    <row r="39686" spans="25:25" hidden="1" x14ac:dyDescent="0.25">
      <c r="Y39686" s="501"/>
    </row>
    <row r="39687" spans="25:25" hidden="1" x14ac:dyDescent="0.25">
      <c r="Y39687" s="501"/>
    </row>
    <row r="39688" spans="25:25" hidden="1" x14ac:dyDescent="0.25">
      <c r="Y39688" s="501"/>
    </row>
    <row r="39689" spans="25:25" hidden="1" x14ac:dyDescent="0.25">
      <c r="Y39689" s="501"/>
    </row>
    <row r="39690" spans="25:25" hidden="1" x14ac:dyDescent="0.25">
      <c r="Y39690" s="501"/>
    </row>
    <row r="39691" spans="25:25" hidden="1" x14ac:dyDescent="0.25">
      <c r="Y39691" s="501"/>
    </row>
    <row r="39692" spans="25:25" hidden="1" x14ac:dyDescent="0.25">
      <c r="Y39692" s="501"/>
    </row>
    <row r="39693" spans="25:25" hidden="1" x14ac:dyDescent="0.25">
      <c r="Y39693" s="501"/>
    </row>
    <row r="39694" spans="25:25" hidden="1" x14ac:dyDescent="0.25">
      <c r="Y39694" s="501"/>
    </row>
    <row r="39695" spans="25:25" hidden="1" x14ac:dyDescent="0.25">
      <c r="Y39695" s="501"/>
    </row>
    <row r="39696" spans="25:25" hidden="1" x14ac:dyDescent="0.25">
      <c r="Y39696" s="501"/>
    </row>
    <row r="39697" spans="25:25" hidden="1" x14ac:dyDescent="0.25">
      <c r="Y39697" s="501"/>
    </row>
    <row r="39698" spans="25:25" hidden="1" x14ac:dyDescent="0.25">
      <c r="Y39698" s="501"/>
    </row>
    <row r="39699" spans="25:25" hidden="1" x14ac:dyDescent="0.25">
      <c r="Y39699" s="501"/>
    </row>
    <row r="39700" spans="25:25" hidden="1" x14ac:dyDescent="0.25">
      <c r="Y39700" s="501"/>
    </row>
    <row r="39701" spans="25:25" hidden="1" x14ac:dyDescent="0.25">
      <c r="Y39701" s="501"/>
    </row>
    <row r="39702" spans="25:25" hidden="1" x14ac:dyDescent="0.25">
      <c r="Y39702" s="501"/>
    </row>
    <row r="39703" spans="25:25" hidden="1" x14ac:dyDescent="0.25">
      <c r="Y39703" s="501"/>
    </row>
    <row r="39704" spans="25:25" hidden="1" x14ac:dyDescent="0.25">
      <c r="Y39704" s="501"/>
    </row>
    <row r="39705" spans="25:25" hidden="1" x14ac:dyDescent="0.25">
      <c r="Y39705" s="501"/>
    </row>
    <row r="39706" spans="25:25" hidden="1" x14ac:dyDescent="0.25">
      <c r="Y39706" s="501"/>
    </row>
    <row r="39707" spans="25:25" hidden="1" x14ac:dyDescent="0.25">
      <c r="Y39707" s="501"/>
    </row>
    <row r="39708" spans="25:25" hidden="1" x14ac:dyDescent="0.25">
      <c r="Y39708" s="501"/>
    </row>
    <row r="39709" spans="25:25" hidden="1" x14ac:dyDescent="0.25">
      <c r="Y39709" s="501"/>
    </row>
    <row r="39710" spans="25:25" hidden="1" x14ac:dyDescent="0.25">
      <c r="Y39710" s="501"/>
    </row>
    <row r="39711" spans="25:25" hidden="1" x14ac:dyDescent="0.25">
      <c r="Y39711" s="501"/>
    </row>
    <row r="39712" spans="25:25" hidden="1" x14ac:dyDescent="0.25">
      <c r="Y39712" s="501"/>
    </row>
    <row r="39713" spans="25:25" hidden="1" x14ac:dyDescent="0.25">
      <c r="Y39713" s="501"/>
    </row>
    <row r="39714" spans="25:25" hidden="1" x14ac:dyDescent="0.25">
      <c r="Y39714" s="501"/>
    </row>
    <row r="39715" spans="25:25" hidden="1" x14ac:dyDescent="0.25">
      <c r="Y39715" s="501"/>
    </row>
    <row r="39716" spans="25:25" hidden="1" x14ac:dyDescent="0.25">
      <c r="Y39716" s="501"/>
    </row>
    <row r="39717" spans="25:25" hidden="1" x14ac:dyDescent="0.25">
      <c r="Y39717" s="501"/>
    </row>
    <row r="39718" spans="25:25" hidden="1" x14ac:dyDescent="0.25">
      <c r="Y39718" s="501"/>
    </row>
    <row r="39719" spans="25:25" hidden="1" x14ac:dyDescent="0.25">
      <c r="Y39719" s="501"/>
    </row>
    <row r="39720" spans="25:25" hidden="1" x14ac:dyDescent="0.25">
      <c r="Y39720" s="501"/>
    </row>
    <row r="39721" spans="25:25" hidden="1" x14ac:dyDescent="0.25">
      <c r="Y39721" s="501"/>
    </row>
    <row r="39722" spans="25:25" hidden="1" x14ac:dyDescent="0.25">
      <c r="Y39722" s="501"/>
    </row>
    <row r="39723" spans="25:25" hidden="1" x14ac:dyDescent="0.25">
      <c r="Y39723" s="501"/>
    </row>
    <row r="39724" spans="25:25" hidden="1" x14ac:dyDescent="0.25">
      <c r="Y39724" s="501"/>
    </row>
    <row r="39725" spans="25:25" hidden="1" x14ac:dyDescent="0.25">
      <c r="Y39725" s="501"/>
    </row>
    <row r="39726" spans="25:25" hidden="1" x14ac:dyDescent="0.25">
      <c r="Y39726" s="501"/>
    </row>
    <row r="39727" spans="25:25" hidden="1" x14ac:dyDescent="0.25">
      <c r="Y39727" s="501"/>
    </row>
    <row r="39728" spans="25:25" hidden="1" x14ac:dyDescent="0.25">
      <c r="Y39728" s="501"/>
    </row>
    <row r="39729" spans="25:25" hidden="1" x14ac:dyDescent="0.25">
      <c r="Y39729" s="501"/>
    </row>
    <row r="39730" spans="25:25" hidden="1" x14ac:dyDescent="0.25">
      <c r="Y39730" s="501"/>
    </row>
    <row r="39731" spans="25:25" hidden="1" x14ac:dyDescent="0.25">
      <c r="Y39731" s="501"/>
    </row>
    <row r="39732" spans="25:25" hidden="1" x14ac:dyDescent="0.25">
      <c r="Y39732" s="501"/>
    </row>
    <row r="39733" spans="25:25" hidden="1" x14ac:dyDescent="0.25">
      <c r="Y39733" s="501"/>
    </row>
    <row r="39734" spans="25:25" hidden="1" x14ac:dyDescent="0.25">
      <c r="Y39734" s="501"/>
    </row>
    <row r="39735" spans="25:25" hidden="1" x14ac:dyDescent="0.25">
      <c r="Y39735" s="501"/>
    </row>
    <row r="39736" spans="25:25" hidden="1" x14ac:dyDescent="0.25">
      <c r="Y39736" s="501"/>
    </row>
    <row r="39737" spans="25:25" hidden="1" x14ac:dyDescent="0.25">
      <c r="Y39737" s="501"/>
    </row>
    <row r="39738" spans="25:25" hidden="1" x14ac:dyDescent="0.25">
      <c r="Y39738" s="501"/>
    </row>
    <row r="39739" spans="25:25" hidden="1" x14ac:dyDescent="0.25">
      <c r="Y39739" s="501"/>
    </row>
    <row r="39740" spans="25:25" hidden="1" x14ac:dyDescent="0.25">
      <c r="Y39740" s="501"/>
    </row>
    <row r="39741" spans="25:25" hidden="1" x14ac:dyDescent="0.25">
      <c r="Y39741" s="501"/>
    </row>
    <row r="39742" spans="25:25" hidden="1" x14ac:dyDescent="0.25">
      <c r="Y39742" s="501"/>
    </row>
    <row r="39743" spans="25:25" hidden="1" x14ac:dyDescent="0.25">
      <c r="Y39743" s="501"/>
    </row>
    <row r="39744" spans="25:25" hidden="1" x14ac:dyDescent="0.25">
      <c r="Y39744" s="501"/>
    </row>
    <row r="39745" spans="25:25" hidden="1" x14ac:dyDescent="0.25">
      <c r="Y39745" s="501"/>
    </row>
    <row r="39746" spans="25:25" hidden="1" x14ac:dyDescent="0.25">
      <c r="Y39746" s="501"/>
    </row>
    <row r="39747" spans="25:25" hidden="1" x14ac:dyDescent="0.25">
      <c r="Y39747" s="501"/>
    </row>
    <row r="39748" spans="25:25" hidden="1" x14ac:dyDescent="0.25">
      <c r="Y39748" s="501"/>
    </row>
    <row r="39749" spans="25:25" hidden="1" x14ac:dyDescent="0.25">
      <c r="Y39749" s="501"/>
    </row>
    <row r="39750" spans="25:25" hidden="1" x14ac:dyDescent="0.25">
      <c r="Y39750" s="501"/>
    </row>
    <row r="39751" spans="25:25" hidden="1" x14ac:dyDescent="0.25">
      <c r="Y39751" s="501"/>
    </row>
    <row r="39752" spans="25:25" hidden="1" x14ac:dyDescent="0.25">
      <c r="Y39752" s="501"/>
    </row>
    <row r="39753" spans="25:25" hidden="1" x14ac:dyDescent="0.25">
      <c r="Y39753" s="501"/>
    </row>
    <row r="39754" spans="25:25" hidden="1" x14ac:dyDescent="0.25">
      <c r="Y39754" s="501"/>
    </row>
    <row r="39755" spans="25:25" hidden="1" x14ac:dyDescent="0.25">
      <c r="Y39755" s="501"/>
    </row>
    <row r="39756" spans="25:25" hidden="1" x14ac:dyDescent="0.25">
      <c r="Y39756" s="501"/>
    </row>
    <row r="39757" spans="25:25" hidden="1" x14ac:dyDescent="0.25">
      <c r="Y39757" s="501"/>
    </row>
    <row r="39758" spans="25:25" hidden="1" x14ac:dyDescent="0.25">
      <c r="Y39758" s="501"/>
    </row>
    <row r="39759" spans="25:25" hidden="1" x14ac:dyDescent="0.25">
      <c r="Y39759" s="501"/>
    </row>
    <row r="39760" spans="25:25" hidden="1" x14ac:dyDescent="0.25">
      <c r="Y39760" s="501"/>
    </row>
    <row r="39761" spans="25:25" hidden="1" x14ac:dyDescent="0.25">
      <c r="Y39761" s="501"/>
    </row>
    <row r="39762" spans="25:25" hidden="1" x14ac:dyDescent="0.25">
      <c r="Y39762" s="501"/>
    </row>
    <row r="39763" spans="25:25" hidden="1" x14ac:dyDescent="0.25">
      <c r="Y39763" s="501"/>
    </row>
    <row r="39764" spans="25:25" hidden="1" x14ac:dyDescent="0.25">
      <c r="Y39764" s="501"/>
    </row>
    <row r="39765" spans="25:25" hidden="1" x14ac:dyDescent="0.25">
      <c r="Y39765" s="501"/>
    </row>
    <row r="39766" spans="25:25" hidden="1" x14ac:dyDescent="0.25">
      <c r="Y39766" s="501"/>
    </row>
    <row r="39767" spans="25:25" hidden="1" x14ac:dyDescent="0.25">
      <c r="Y39767" s="501"/>
    </row>
    <row r="39768" spans="25:25" hidden="1" x14ac:dyDescent="0.25">
      <c r="Y39768" s="501"/>
    </row>
    <row r="39769" spans="25:25" hidden="1" x14ac:dyDescent="0.25">
      <c r="Y39769" s="501"/>
    </row>
    <row r="39770" spans="25:25" hidden="1" x14ac:dyDescent="0.25">
      <c r="Y39770" s="501"/>
    </row>
    <row r="39771" spans="25:25" hidden="1" x14ac:dyDescent="0.25">
      <c r="Y39771" s="501"/>
    </row>
    <row r="39772" spans="25:25" hidden="1" x14ac:dyDescent="0.25">
      <c r="Y39772" s="501"/>
    </row>
    <row r="39773" spans="25:25" hidden="1" x14ac:dyDescent="0.25">
      <c r="Y39773" s="501"/>
    </row>
    <row r="39774" spans="25:25" hidden="1" x14ac:dyDescent="0.25">
      <c r="Y39774" s="501"/>
    </row>
    <row r="39775" spans="25:25" hidden="1" x14ac:dyDescent="0.25">
      <c r="Y39775" s="501"/>
    </row>
    <row r="39776" spans="25:25" hidden="1" x14ac:dyDescent="0.25">
      <c r="Y39776" s="501"/>
    </row>
    <row r="39777" spans="25:25" hidden="1" x14ac:dyDescent="0.25">
      <c r="Y39777" s="501"/>
    </row>
    <row r="39778" spans="25:25" hidden="1" x14ac:dyDescent="0.25">
      <c r="Y39778" s="501"/>
    </row>
    <row r="39779" spans="25:25" hidden="1" x14ac:dyDescent="0.25">
      <c r="Y39779" s="501"/>
    </row>
    <row r="39780" spans="25:25" hidden="1" x14ac:dyDescent="0.25">
      <c r="Y39780" s="501"/>
    </row>
    <row r="39781" spans="25:25" hidden="1" x14ac:dyDescent="0.25">
      <c r="Y39781" s="501"/>
    </row>
    <row r="39782" spans="25:25" hidden="1" x14ac:dyDescent="0.25">
      <c r="Y39782" s="501"/>
    </row>
    <row r="39783" spans="25:25" hidden="1" x14ac:dyDescent="0.25">
      <c r="Y39783" s="501"/>
    </row>
    <row r="39784" spans="25:25" hidden="1" x14ac:dyDescent="0.25">
      <c r="Y39784" s="501"/>
    </row>
    <row r="39785" spans="25:25" hidden="1" x14ac:dyDescent="0.25">
      <c r="Y39785" s="501"/>
    </row>
    <row r="39786" spans="25:25" hidden="1" x14ac:dyDescent="0.25">
      <c r="Y39786" s="501"/>
    </row>
    <row r="39787" spans="25:25" hidden="1" x14ac:dyDescent="0.25">
      <c r="Y39787" s="501"/>
    </row>
    <row r="39788" spans="25:25" hidden="1" x14ac:dyDescent="0.25">
      <c r="Y39788" s="501"/>
    </row>
    <row r="39789" spans="25:25" hidden="1" x14ac:dyDescent="0.25">
      <c r="Y39789" s="501"/>
    </row>
    <row r="39790" spans="25:25" hidden="1" x14ac:dyDescent="0.25">
      <c r="Y39790" s="501"/>
    </row>
    <row r="39791" spans="25:25" hidden="1" x14ac:dyDescent="0.25">
      <c r="Y39791" s="501"/>
    </row>
    <row r="39792" spans="25:25" hidden="1" x14ac:dyDescent="0.25">
      <c r="Y39792" s="501"/>
    </row>
    <row r="39793" spans="25:25" hidden="1" x14ac:dyDescent="0.25">
      <c r="Y39793" s="501"/>
    </row>
    <row r="39794" spans="25:25" hidden="1" x14ac:dyDescent="0.25">
      <c r="Y39794" s="501"/>
    </row>
    <row r="39795" spans="25:25" hidden="1" x14ac:dyDescent="0.25">
      <c r="Y39795" s="501"/>
    </row>
    <row r="39796" spans="25:25" hidden="1" x14ac:dyDescent="0.25">
      <c r="Y39796" s="501"/>
    </row>
    <row r="39797" spans="25:25" hidden="1" x14ac:dyDescent="0.25">
      <c r="Y39797" s="501"/>
    </row>
    <row r="39798" spans="25:25" hidden="1" x14ac:dyDescent="0.25">
      <c r="Y39798" s="501"/>
    </row>
    <row r="39799" spans="25:25" hidden="1" x14ac:dyDescent="0.25">
      <c r="Y39799" s="501"/>
    </row>
    <row r="39800" spans="25:25" hidden="1" x14ac:dyDescent="0.25">
      <c r="Y39800" s="501"/>
    </row>
    <row r="39801" spans="25:25" hidden="1" x14ac:dyDescent="0.25">
      <c r="Y39801" s="501"/>
    </row>
    <row r="39802" spans="25:25" hidden="1" x14ac:dyDescent="0.25">
      <c r="Y39802" s="501"/>
    </row>
    <row r="39803" spans="25:25" hidden="1" x14ac:dyDescent="0.25">
      <c r="Y39803" s="501"/>
    </row>
    <row r="39804" spans="25:25" hidden="1" x14ac:dyDescent="0.25">
      <c r="Y39804" s="501"/>
    </row>
    <row r="39805" spans="25:25" hidden="1" x14ac:dyDescent="0.25">
      <c r="Y39805" s="501"/>
    </row>
    <row r="39806" spans="25:25" hidden="1" x14ac:dyDescent="0.25">
      <c r="Y39806" s="501"/>
    </row>
    <row r="39807" spans="25:25" hidden="1" x14ac:dyDescent="0.25">
      <c r="Y39807" s="501"/>
    </row>
    <row r="39808" spans="25:25" hidden="1" x14ac:dyDescent="0.25">
      <c r="Y39808" s="501"/>
    </row>
    <row r="39809" spans="25:25" hidden="1" x14ac:dyDescent="0.25">
      <c r="Y39809" s="501"/>
    </row>
    <row r="39810" spans="25:25" hidden="1" x14ac:dyDescent="0.25">
      <c r="Y39810" s="501"/>
    </row>
    <row r="39811" spans="25:25" hidden="1" x14ac:dyDescent="0.25">
      <c r="Y39811" s="501"/>
    </row>
    <row r="39812" spans="25:25" hidden="1" x14ac:dyDescent="0.25">
      <c r="Y39812" s="501"/>
    </row>
    <row r="39813" spans="25:25" hidden="1" x14ac:dyDescent="0.25">
      <c r="Y39813" s="501"/>
    </row>
    <row r="39814" spans="25:25" hidden="1" x14ac:dyDescent="0.25">
      <c r="Y39814" s="501"/>
    </row>
    <row r="39815" spans="25:25" hidden="1" x14ac:dyDescent="0.25">
      <c r="Y39815" s="501"/>
    </row>
    <row r="39816" spans="25:25" hidden="1" x14ac:dyDescent="0.25">
      <c r="Y39816" s="501"/>
    </row>
    <row r="39817" spans="25:25" hidden="1" x14ac:dyDescent="0.25">
      <c r="Y39817" s="501"/>
    </row>
    <row r="39818" spans="25:25" hidden="1" x14ac:dyDescent="0.25">
      <c r="Y39818" s="501"/>
    </row>
    <row r="39819" spans="25:25" hidden="1" x14ac:dyDescent="0.25">
      <c r="Y39819" s="501"/>
    </row>
    <row r="39820" spans="25:25" hidden="1" x14ac:dyDescent="0.25">
      <c r="Y39820" s="501"/>
    </row>
    <row r="39821" spans="25:25" hidden="1" x14ac:dyDescent="0.25">
      <c r="Y39821" s="501"/>
    </row>
    <row r="39822" spans="25:25" hidden="1" x14ac:dyDescent="0.25">
      <c r="Y39822" s="501"/>
    </row>
    <row r="39823" spans="25:25" hidden="1" x14ac:dyDescent="0.25">
      <c r="Y39823" s="501"/>
    </row>
    <row r="39824" spans="25:25" hidden="1" x14ac:dyDescent="0.25">
      <c r="Y39824" s="501"/>
    </row>
    <row r="39825" spans="25:25" hidden="1" x14ac:dyDescent="0.25">
      <c r="Y39825" s="501"/>
    </row>
    <row r="39826" spans="25:25" hidden="1" x14ac:dyDescent="0.25">
      <c r="Y39826" s="501"/>
    </row>
    <row r="39827" spans="25:25" hidden="1" x14ac:dyDescent="0.25">
      <c r="Y39827" s="501"/>
    </row>
    <row r="39828" spans="25:25" hidden="1" x14ac:dyDescent="0.25">
      <c r="Y39828" s="501"/>
    </row>
    <row r="39829" spans="25:25" hidden="1" x14ac:dyDescent="0.25">
      <c r="Y39829" s="501"/>
    </row>
    <row r="39830" spans="25:25" hidden="1" x14ac:dyDescent="0.25">
      <c r="Y39830" s="501"/>
    </row>
    <row r="39831" spans="25:25" hidden="1" x14ac:dyDescent="0.25">
      <c r="Y39831" s="501"/>
    </row>
    <row r="39832" spans="25:25" hidden="1" x14ac:dyDescent="0.25">
      <c r="Y39832" s="501"/>
    </row>
    <row r="39833" spans="25:25" hidden="1" x14ac:dyDescent="0.25">
      <c r="Y39833" s="501"/>
    </row>
    <row r="39834" spans="25:25" hidden="1" x14ac:dyDescent="0.25">
      <c r="Y39834" s="501"/>
    </row>
    <row r="39835" spans="25:25" hidden="1" x14ac:dyDescent="0.25">
      <c r="Y39835" s="501"/>
    </row>
    <row r="39836" spans="25:25" hidden="1" x14ac:dyDescent="0.25">
      <c r="Y39836" s="501"/>
    </row>
    <row r="39837" spans="25:25" hidden="1" x14ac:dyDescent="0.25">
      <c r="Y39837" s="501"/>
    </row>
    <row r="39838" spans="25:25" hidden="1" x14ac:dyDescent="0.25">
      <c r="Y39838" s="501"/>
    </row>
    <row r="39839" spans="25:25" hidden="1" x14ac:dyDescent="0.25">
      <c r="Y39839" s="501"/>
    </row>
    <row r="39840" spans="25:25" hidden="1" x14ac:dyDescent="0.25">
      <c r="Y39840" s="501"/>
    </row>
    <row r="39841" spans="25:25" hidden="1" x14ac:dyDescent="0.25">
      <c r="Y39841" s="501"/>
    </row>
    <row r="39842" spans="25:25" hidden="1" x14ac:dyDescent="0.25">
      <c r="Y39842" s="501"/>
    </row>
    <row r="39843" spans="25:25" hidden="1" x14ac:dyDescent="0.25">
      <c r="Y39843" s="501"/>
    </row>
    <row r="39844" spans="25:25" hidden="1" x14ac:dyDescent="0.25">
      <c r="Y39844" s="501"/>
    </row>
    <row r="39845" spans="25:25" hidden="1" x14ac:dyDescent="0.25">
      <c r="Y39845" s="501"/>
    </row>
    <row r="39846" spans="25:25" hidden="1" x14ac:dyDescent="0.25">
      <c r="Y39846" s="501"/>
    </row>
    <row r="39847" spans="25:25" hidden="1" x14ac:dyDescent="0.25">
      <c r="Y39847" s="501"/>
    </row>
    <row r="39848" spans="25:25" hidden="1" x14ac:dyDescent="0.25">
      <c r="Y39848" s="501"/>
    </row>
    <row r="39849" spans="25:25" hidden="1" x14ac:dyDescent="0.25">
      <c r="Y39849" s="501"/>
    </row>
    <row r="39850" spans="25:25" hidden="1" x14ac:dyDescent="0.25">
      <c r="Y39850" s="501"/>
    </row>
    <row r="39851" spans="25:25" hidden="1" x14ac:dyDescent="0.25">
      <c r="Y39851" s="501"/>
    </row>
    <row r="39852" spans="25:25" hidden="1" x14ac:dyDescent="0.25">
      <c r="Y39852" s="501"/>
    </row>
    <row r="39853" spans="25:25" hidden="1" x14ac:dyDescent="0.25">
      <c r="Y39853" s="501"/>
    </row>
    <row r="39854" spans="25:25" hidden="1" x14ac:dyDescent="0.25">
      <c r="Y39854" s="501"/>
    </row>
    <row r="39855" spans="25:25" hidden="1" x14ac:dyDescent="0.25">
      <c r="Y39855" s="501"/>
    </row>
    <row r="39856" spans="25:25" hidden="1" x14ac:dyDescent="0.25">
      <c r="Y39856" s="501"/>
    </row>
    <row r="39857" spans="25:25" hidden="1" x14ac:dyDescent="0.25">
      <c r="Y39857" s="501"/>
    </row>
    <row r="39858" spans="25:25" hidden="1" x14ac:dyDescent="0.25">
      <c r="Y39858" s="501"/>
    </row>
    <row r="39859" spans="25:25" hidden="1" x14ac:dyDescent="0.25">
      <c r="Y39859" s="501"/>
    </row>
    <row r="39860" spans="25:25" hidden="1" x14ac:dyDescent="0.25">
      <c r="Y39860" s="501"/>
    </row>
    <row r="39861" spans="25:25" hidden="1" x14ac:dyDescent="0.25">
      <c r="Y39861" s="501"/>
    </row>
    <row r="39862" spans="25:25" hidden="1" x14ac:dyDescent="0.25">
      <c r="Y39862" s="501"/>
    </row>
    <row r="39863" spans="25:25" hidden="1" x14ac:dyDescent="0.25">
      <c r="Y39863" s="501"/>
    </row>
    <row r="39864" spans="25:25" hidden="1" x14ac:dyDescent="0.25">
      <c r="Y39864" s="501"/>
    </row>
    <row r="39865" spans="25:25" hidden="1" x14ac:dyDescent="0.25">
      <c r="Y39865" s="501"/>
    </row>
    <row r="39866" spans="25:25" hidden="1" x14ac:dyDescent="0.25">
      <c r="Y39866" s="501"/>
    </row>
    <row r="39867" spans="25:25" hidden="1" x14ac:dyDescent="0.25">
      <c r="Y39867" s="501"/>
    </row>
    <row r="39868" spans="25:25" hidden="1" x14ac:dyDescent="0.25">
      <c r="Y39868" s="501"/>
    </row>
    <row r="39869" spans="25:25" hidden="1" x14ac:dyDescent="0.25">
      <c r="Y39869" s="501"/>
    </row>
    <row r="39870" spans="25:25" hidden="1" x14ac:dyDescent="0.25">
      <c r="Y39870" s="501"/>
    </row>
    <row r="39871" spans="25:25" hidden="1" x14ac:dyDescent="0.25">
      <c r="Y39871" s="501"/>
    </row>
    <row r="39872" spans="25:25" hidden="1" x14ac:dyDescent="0.25">
      <c r="Y39872" s="501"/>
    </row>
    <row r="39873" spans="25:25" hidden="1" x14ac:dyDescent="0.25">
      <c r="Y39873" s="501"/>
    </row>
    <row r="39874" spans="25:25" hidden="1" x14ac:dyDescent="0.25">
      <c r="Y39874" s="501"/>
    </row>
    <row r="39875" spans="25:25" hidden="1" x14ac:dyDescent="0.25">
      <c r="Y39875" s="501"/>
    </row>
    <row r="39876" spans="25:25" hidden="1" x14ac:dyDescent="0.25">
      <c r="Y39876" s="501"/>
    </row>
    <row r="39877" spans="25:25" hidden="1" x14ac:dyDescent="0.25">
      <c r="Y39877" s="501"/>
    </row>
    <row r="39878" spans="25:25" hidden="1" x14ac:dyDescent="0.25">
      <c r="Y39878" s="501"/>
    </row>
    <row r="39879" spans="25:25" hidden="1" x14ac:dyDescent="0.25">
      <c r="Y39879" s="501"/>
    </row>
    <row r="39880" spans="25:25" hidden="1" x14ac:dyDescent="0.25">
      <c r="Y39880" s="501"/>
    </row>
    <row r="39881" spans="25:25" hidden="1" x14ac:dyDescent="0.25">
      <c r="Y39881" s="501"/>
    </row>
    <row r="39882" spans="25:25" hidden="1" x14ac:dyDescent="0.25">
      <c r="Y39882" s="501"/>
    </row>
    <row r="39883" spans="25:25" hidden="1" x14ac:dyDescent="0.25">
      <c r="Y39883" s="501"/>
    </row>
    <row r="39884" spans="25:25" hidden="1" x14ac:dyDescent="0.25">
      <c r="Y39884" s="501"/>
    </row>
    <row r="39885" spans="25:25" hidden="1" x14ac:dyDescent="0.25">
      <c r="Y39885" s="501"/>
    </row>
    <row r="39886" spans="25:25" hidden="1" x14ac:dyDescent="0.25">
      <c r="Y39886" s="501"/>
    </row>
    <row r="39887" spans="25:25" hidden="1" x14ac:dyDescent="0.25">
      <c r="Y39887" s="501"/>
    </row>
    <row r="39888" spans="25:25" hidden="1" x14ac:dyDescent="0.25">
      <c r="Y39888" s="501"/>
    </row>
    <row r="39889" spans="25:25" hidden="1" x14ac:dyDescent="0.25">
      <c r="Y39889" s="501"/>
    </row>
    <row r="39890" spans="25:25" hidden="1" x14ac:dyDescent="0.25">
      <c r="Y39890" s="501"/>
    </row>
    <row r="39891" spans="25:25" hidden="1" x14ac:dyDescent="0.25">
      <c r="Y39891" s="501"/>
    </row>
    <row r="39892" spans="25:25" hidden="1" x14ac:dyDescent="0.25">
      <c r="Y39892" s="501"/>
    </row>
    <row r="39893" spans="25:25" hidden="1" x14ac:dyDescent="0.25">
      <c r="Y39893" s="501"/>
    </row>
    <row r="39894" spans="25:25" hidden="1" x14ac:dyDescent="0.25">
      <c r="Y39894" s="501"/>
    </row>
    <row r="39895" spans="25:25" hidden="1" x14ac:dyDescent="0.25">
      <c r="Y39895" s="501"/>
    </row>
    <row r="39896" spans="25:25" hidden="1" x14ac:dyDescent="0.25">
      <c r="Y39896" s="501"/>
    </row>
    <row r="39897" spans="25:25" hidden="1" x14ac:dyDescent="0.25">
      <c r="Y39897" s="501"/>
    </row>
    <row r="39898" spans="25:25" hidden="1" x14ac:dyDescent="0.25">
      <c r="Y39898" s="501"/>
    </row>
    <row r="39899" spans="25:25" hidden="1" x14ac:dyDescent="0.25">
      <c r="Y39899" s="501"/>
    </row>
    <row r="39900" spans="25:25" hidden="1" x14ac:dyDescent="0.25">
      <c r="Y39900" s="501"/>
    </row>
    <row r="39901" spans="25:25" hidden="1" x14ac:dyDescent="0.25">
      <c r="Y39901" s="501"/>
    </row>
    <row r="39902" spans="25:25" hidden="1" x14ac:dyDescent="0.25">
      <c r="Y39902" s="501"/>
    </row>
    <row r="39903" spans="25:25" hidden="1" x14ac:dyDescent="0.25">
      <c r="Y39903" s="501"/>
    </row>
    <row r="39904" spans="25:25" hidden="1" x14ac:dyDescent="0.25">
      <c r="Y39904" s="501"/>
    </row>
    <row r="39905" spans="25:25" hidden="1" x14ac:dyDescent="0.25">
      <c r="Y39905" s="501"/>
    </row>
    <row r="39906" spans="25:25" hidden="1" x14ac:dyDescent="0.25">
      <c r="Y39906" s="501"/>
    </row>
    <row r="39907" spans="25:25" hidden="1" x14ac:dyDescent="0.25">
      <c r="Y39907" s="501"/>
    </row>
    <row r="39908" spans="25:25" hidden="1" x14ac:dyDescent="0.25">
      <c r="Y39908" s="501"/>
    </row>
    <row r="39909" spans="25:25" hidden="1" x14ac:dyDescent="0.25">
      <c r="Y39909" s="501"/>
    </row>
    <row r="39910" spans="25:25" hidden="1" x14ac:dyDescent="0.25">
      <c r="Y39910" s="501"/>
    </row>
    <row r="39911" spans="25:25" hidden="1" x14ac:dyDescent="0.25">
      <c r="Y39911" s="501"/>
    </row>
    <row r="39912" spans="25:25" hidden="1" x14ac:dyDescent="0.25">
      <c r="Y39912" s="501"/>
    </row>
    <row r="39913" spans="25:25" hidden="1" x14ac:dyDescent="0.25">
      <c r="Y39913" s="501"/>
    </row>
    <row r="39914" spans="25:25" hidden="1" x14ac:dyDescent="0.25">
      <c r="Y39914" s="501"/>
    </row>
    <row r="39915" spans="25:25" hidden="1" x14ac:dyDescent="0.25">
      <c r="Y39915" s="501"/>
    </row>
    <row r="39916" spans="25:25" hidden="1" x14ac:dyDescent="0.25">
      <c r="Y39916" s="501"/>
    </row>
    <row r="39917" spans="25:25" hidden="1" x14ac:dyDescent="0.25">
      <c r="Y39917" s="501"/>
    </row>
    <row r="39918" spans="25:25" hidden="1" x14ac:dyDescent="0.25">
      <c r="Y39918" s="501"/>
    </row>
    <row r="39919" spans="25:25" hidden="1" x14ac:dyDescent="0.25">
      <c r="Y39919" s="501"/>
    </row>
    <row r="39920" spans="25:25" hidden="1" x14ac:dyDescent="0.25">
      <c r="Y39920" s="501"/>
    </row>
    <row r="39921" spans="25:25" hidden="1" x14ac:dyDescent="0.25">
      <c r="Y39921" s="501"/>
    </row>
    <row r="39922" spans="25:25" hidden="1" x14ac:dyDescent="0.25">
      <c r="Y39922" s="501"/>
    </row>
    <row r="39923" spans="25:25" hidden="1" x14ac:dyDescent="0.25">
      <c r="Y39923" s="501"/>
    </row>
    <row r="39924" spans="25:25" hidden="1" x14ac:dyDescent="0.25">
      <c r="Y39924" s="501"/>
    </row>
    <row r="39925" spans="25:25" hidden="1" x14ac:dyDescent="0.25">
      <c r="Y39925" s="501"/>
    </row>
    <row r="39926" spans="25:25" hidden="1" x14ac:dyDescent="0.25">
      <c r="Y39926" s="501"/>
    </row>
    <row r="39927" spans="25:25" hidden="1" x14ac:dyDescent="0.25">
      <c r="Y39927" s="501"/>
    </row>
    <row r="39928" spans="25:25" hidden="1" x14ac:dyDescent="0.25">
      <c r="Y39928" s="501"/>
    </row>
    <row r="39929" spans="25:25" hidden="1" x14ac:dyDescent="0.25">
      <c r="Y39929" s="501"/>
    </row>
    <row r="39930" spans="25:25" hidden="1" x14ac:dyDescent="0.25">
      <c r="Y39930" s="501"/>
    </row>
    <row r="39931" spans="25:25" hidden="1" x14ac:dyDescent="0.25">
      <c r="Y39931" s="501"/>
    </row>
    <row r="39932" spans="25:25" hidden="1" x14ac:dyDescent="0.25">
      <c r="Y39932" s="501"/>
    </row>
    <row r="39933" spans="25:25" hidden="1" x14ac:dyDescent="0.25">
      <c r="Y39933" s="501"/>
    </row>
    <row r="39934" spans="25:25" hidden="1" x14ac:dyDescent="0.25">
      <c r="Y39934" s="501"/>
    </row>
    <row r="39935" spans="25:25" hidden="1" x14ac:dyDescent="0.25">
      <c r="Y39935" s="501"/>
    </row>
    <row r="39936" spans="25:25" hidden="1" x14ac:dyDescent="0.25">
      <c r="Y39936" s="501"/>
    </row>
    <row r="39937" spans="25:25" hidden="1" x14ac:dyDescent="0.25">
      <c r="Y39937" s="501"/>
    </row>
    <row r="39938" spans="25:25" hidden="1" x14ac:dyDescent="0.25">
      <c r="Y39938" s="501"/>
    </row>
    <row r="39939" spans="25:25" hidden="1" x14ac:dyDescent="0.25">
      <c r="Y39939" s="501"/>
    </row>
    <row r="39940" spans="25:25" hidden="1" x14ac:dyDescent="0.25">
      <c r="Y39940" s="501"/>
    </row>
    <row r="39941" spans="25:25" hidden="1" x14ac:dyDescent="0.25">
      <c r="Y39941" s="501"/>
    </row>
    <row r="39942" spans="25:25" hidden="1" x14ac:dyDescent="0.25">
      <c r="Y39942" s="501"/>
    </row>
    <row r="39943" spans="25:25" hidden="1" x14ac:dyDescent="0.25">
      <c r="Y39943" s="501"/>
    </row>
    <row r="39944" spans="25:25" hidden="1" x14ac:dyDescent="0.25">
      <c r="Y39944" s="501"/>
    </row>
    <row r="39945" spans="25:25" hidden="1" x14ac:dyDescent="0.25">
      <c r="Y39945" s="501"/>
    </row>
    <row r="39946" spans="25:25" hidden="1" x14ac:dyDescent="0.25">
      <c r="Y39946" s="501"/>
    </row>
    <row r="39947" spans="25:25" hidden="1" x14ac:dyDescent="0.25">
      <c r="Y39947" s="501"/>
    </row>
    <row r="39948" spans="25:25" hidden="1" x14ac:dyDescent="0.25">
      <c r="Y39948" s="501"/>
    </row>
    <row r="39949" spans="25:25" hidden="1" x14ac:dyDescent="0.25">
      <c r="Y39949" s="501"/>
    </row>
    <row r="39950" spans="25:25" hidden="1" x14ac:dyDescent="0.25">
      <c r="Y39950" s="501"/>
    </row>
    <row r="39951" spans="25:25" hidden="1" x14ac:dyDescent="0.25">
      <c r="Y39951" s="501"/>
    </row>
    <row r="39952" spans="25:25" hidden="1" x14ac:dyDescent="0.25">
      <c r="Y39952" s="501"/>
    </row>
    <row r="39953" spans="25:25" hidden="1" x14ac:dyDescent="0.25">
      <c r="Y39953" s="501"/>
    </row>
    <row r="39954" spans="25:25" hidden="1" x14ac:dyDescent="0.25">
      <c r="Y39954" s="501"/>
    </row>
    <row r="39955" spans="25:25" hidden="1" x14ac:dyDescent="0.25">
      <c r="Y39955" s="501"/>
    </row>
    <row r="39956" spans="25:25" hidden="1" x14ac:dyDescent="0.25">
      <c r="Y39956" s="501"/>
    </row>
    <row r="39957" spans="25:25" hidden="1" x14ac:dyDescent="0.25">
      <c r="Y39957" s="501"/>
    </row>
    <row r="39958" spans="25:25" hidden="1" x14ac:dyDescent="0.25">
      <c r="Y39958" s="501"/>
    </row>
    <row r="39959" spans="25:25" hidden="1" x14ac:dyDescent="0.25">
      <c r="Y39959" s="501"/>
    </row>
    <row r="39960" spans="25:25" hidden="1" x14ac:dyDescent="0.25">
      <c r="Y39960" s="501"/>
    </row>
    <row r="39961" spans="25:25" hidden="1" x14ac:dyDescent="0.25">
      <c r="Y39961" s="501"/>
    </row>
    <row r="39962" spans="25:25" hidden="1" x14ac:dyDescent="0.25">
      <c r="Y39962" s="501"/>
    </row>
    <row r="39963" spans="25:25" hidden="1" x14ac:dyDescent="0.25">
      <c r="Y39963" s="501"/>
    </row>
    <row r="39964" spans="25:25" hidden="1" x14ac:dyDescent="0.25">
      <c r="Y39964" s="501"/>
    </row>
    <row r="39965" spans="25:25" hidden="1" x14ac:dyDescent="0.25">
      <c r="Y39965" s="501"/>
    </row>
    <row r="39966" spans="25:25" hidden="1" x14ac:dyDescent="0.25">
      <c r="Y39966" s="501"/>
    </row>
    <row r="39967" spans="25:25" hidden="1" x14ac:dyDescent="0.25">
      <c r="Y39967" s="501"/>
    </row>
    <row r="39968" spans="25:25" hidden="1" x14ac:dyDescent="0.25">
      <c r="Y39968" s="501"/>
    </row>
    <row r="39969" spans="25:25" hidden="1" x14ac:dyDescent="0.25">
      <c r="Y39969" s="501"/>
    </row>
    <row r="39970" spans="25:25" hidden="1" x14ac:dyDescent="0.25">
      <c r="Y39970" s="501"/>
    </row>
    <row r="39971" spans="25:25" hidden="1" x14ac:dyDescent="0.25">
      <c r="Y39971" s="501"/>
    </row>
    <row r="39972" spans="25:25" hidden="1" x14ac:dyDescent="0.25">
      <c r="Y39972" s="501"/>
    </row>
    <row r="39973" spans="25:25" hidden="1" x14ac:dyDescent="0.25">
      <c r="Y39973" s="501"/>
    </row>
    <row r="39974" spans="25:25" hidden="1" x14ac:dyDescent="0.25">
      <c r="Y39974" s="501"/>
    </row>
    <row r="39975" spans="25:25" hidden="1" x14ac:dyDescent="0.25">
      <c r="Y39975" s="501"/>
    </row>
    <row r="39976" spans="25:25" hidden="1" x14ac:dyDescent="0.25">
      <c r="Y39976" s="501"/>
    </row>
    <row r="39977" spans="25:25" hidden="1" x14ac:dyDescent="0.25">
      <c r="Y39977" s="501"/>
    </row>
    <row r="39978" spans="25:25" hidden="1" x14ac:dyDescent="0.25">
      <c r="Y39978" s="501"/>
    </row>
    <row r="39979" spans="25:25" hidden="1" x14ac:dyDescent="0.25">
      <c r="Y39979" s="501"/>
    </row>
    <row r="39980" spans="25:25" hidden="1" x14ac:dyDescent="0.25">
      <c r="Y39980" s="501"/>
    </row>
    <row r="39981" spans="25:25" hidden="1" x14ac:dyDescent="0.25">
      <c r="Y39981" s="501"/>
    </row>
    <row r="39982" spans="25:25" hidden="1" x14ac:dyDescent="0.25">
      <c r="Y39982" s="501"/>
    </row>
    <row r="39983" spans="25:25" hidden="1" x14ac:dyDescent="0.25">
      <c r="Y39983" s="501"/>
    </row>
    <row r="39984" spans="25:25" hidden="1" x14ac:dyDescent="0.25">
      <c r="Y39984" s="501"/>
    </row>
    <row r="39985" spans="25:25" hidden="1" x14ac:dyDescent="0.25">
      <c r="Y39985" s="501"/>
    </row>
    <row r="39986" spans="25:25" hidden="1" x14ac:dyDescent="0.25">
      <c r="Y39986" s="501"/>
    </row>
    <row r="39987" spans="25:25" hidden="1" x14ac:dyDescent="0.25">
      <c r="Y39987" s="501"/>
    </row>
    <row r="39988" spans="25:25" hidden="1" x14ac:dyDescent="0.25">
      <c r="Y39988" s="501"/>
    </row>
    <row r="39989" spans="25:25" hidden="1" x14ac:dyDescent="0.25">
      <c r="Y39989" s="501"/>
    </row>
    <row r="39990" spans="25:25" hidden="1" x14ac:dyDescent="0.25">
      <c r="Y39990" s="501"/>
    </row>
    <row r="39991" spans="25:25" hidden="1" x14ac:dyDescent="0.25">
      <c r="Y39991" s="501"/>
    </row>
    <row r="39992" spans="25:25" hidden="1" x14ac:dyDescent="0.25">
      <c r="Y39992" s="501"/>
    </row>
    <row r="39993" spans="25:25" hidden="1" x14ac:dyDescent="0.25">
      <c r="Y39993" s="501"/>
    </row>
    <row r="39994" spans="25:25" hidden="1" x14ac:dyDescent="0.25">
      <c r="Y39994" s="501"/>
    </row>
    <row r="39995" spans="25:25" hidden="1" x14ac:dyDescent="0.25">
      <c r="Y39995" s="501"/>
    </row>
    <row r="39996" spans="25:25" hidden="1" x14ac:dyDescent="0.25">
      <c r="Y39996" s="501"/>
    </row>
    <row r="39997" spans="25:25" hidden="1" x14ac:dyDescent="0.25">
      <c r="Y39997" s="501"/>
    </row>
    <row r="39998" spans="25:25" hidden="1" x14ac:dyDescent="0.25">
      <c r="Y39998" s="501"/>
    </row>
    <row r="39999" spans="25:25" hidden="1" x14ac:dyDescent="0.25">
      <c r="Y39999" s="501"/>
    </row>
    <row r="40000" spans="25:25" hidden="1" x14ac:dyDescent="0.25">
      <c r="Y40000" s="501"/>
    </row>
    <row r="40001" spans="25:25" hidden="1" x14ac:dyDescent="0.25">
      <c r="Y40001" s="501"/>
    </row>
    <row r="40002" spans="25:25" hidden="1" x14ac:dyDescent="0.25">
      <c r="Y40002" s="501"/>
    </row>
    <row r="40003" spans="25:25" hidden="1" x14ac:dyDescent="0.25">
      <c r="Y40003" s="501"/>
    </row>
    <row r="40004" spans="25:25" hidden="1" x14ac:dyDescent="0.25">
      <c r="Y40004" s="501"/>
    </row>
    <row r="40005" spans="25:25" hidden="1" x14ac:dyDescent="0.25">
      <c r="Y40005" s="501"/>
    </row>
    <row r="40006" spans="25:25" hidden="1" x14ac:dyDescent="0.25">
      <c r="Y40006" s="501"/>
    </row>
    <row r="40007" spans="25:25" hidden="1" x14ac:dyDescent="0.25">
      <c r="Y40007" s="501"/>
    </row>
    <row r="40008" spans="25:25" hidden="1" x14ac:dyDescent="0.25">
      <c r="Y40008" s="501"/>
    </row>
    <row r="40009" spans="25:25" hidden="1" x14ac:dyDescent="0.25">
      <c r="Y40009" s="501"/>
    </row>
    <row r="40010" spans="25:25" hidden="1" x14ac:dyDescent="0.25">
      <c r="Y40010" s="501"/>
    </row>
    <row r="40011" spans="25:25" hidden="1" x14ac:dyDescent="0.25">
      <c r="Y40011" s="501"/>
    </row>
    <row r="40012" spans="25:25" hidden="1" x14ac:dyDescent="0.25">
      <c r="Y40012" s="501"/>
    </row>
    <row r="40013" spans="25:25" hidden="1" x14ac:dyDescent="0.25">
      <c r="Y40013" s="501"/>
    </row>
    <row r="40014" spans="25:25" hidden="1" x14ac:dyDescent="0.25">
      <c r="Y40014" s="501"/>
    </row>
    <row r="40015" spans="25:25" hidden="1" x14ac:dyDescent="0.25">
      <c r="Y40015" s="501"/>
    </row>
    <row r="40016" spans="25:25" hidden="1" x14ac:dyDescent="0.25">
      <c r="Y40016" s="501"/>
    </row>
    <row r="40017" spans="25:25" hidden="1" x14ac:dyDescent="0.25">
      <c r="Y40017" s="501"/>
    </row>
    <row r="40018" spans="25:25" hidden="1" x14ac:dyDescent="0.25">
      <c r="Y40018" s="501"/>
    </row>
    <row r="40019" spans="25:25" hidden="1" x14ac:dyDescent="0.25">
      <c r="Y40019" s="501"/>
    </row>
    <row r="40020" spans="25:25" hidden="1" x14ac:dyDescent="0.25">
      <c r="Y40020" s="501"/>
    </row>
    <row r="40021" spans="25:25" hidden="1" x14ac:dyDescent="0.25">
      <c r="Y40021" s="501"/>
    </row>
    <row r="40022" spans="25:25" hidden="1" x14ac:dyDescent="0.25">
      <c r="Y40022" s="501"/>
    </row>
    <row r="40023" spans="25:25" hidden="1" x14ac:dyDescent="0.25">
      <c r="Y40023" s="501"/>
    </row>
    <row r="40024" spans="25:25" hidden="1" x14ac:dyDescent="0.25">
      <c r="Y40024" s="501"/>
    </row>
    <row r="40025" spans="25:25" hidden="1" x14ac:dyDescent="0.25">
      <c r="Y40025" s="501"/>
    </row>
    <row r="40026" spans="25:25" hidden="1" x14ac:dyDescent="0.25">
      <c r="Y40026" s="501"/>
    </row>
    <row r="40027" spans="25:25" hidden="1" x14ac:dyDescent="0.25">
      <c r="Y40027" s="501"/>
    </row>
    <row r="40028" spans="25:25" hidden="1" x14ac:dyDescent="0.25">
      <c r="Y40028" s="501"/>
    </row>
    <row r="40029" spans="25:25" hidden="1" x14ac:dyDescent="0.25">
      <c r="Y40029" s="501"/>
    </row>
    <row r="40030" spans="25:25" hidden="1" x14ac:dyDescent="0.25">
      <c r="Y40030" s="501"/>
    </row>
    <row r="40031" spans="25:25" hidden="1" x14ac:dyDescent="0.25">
      <c r="Y40031" s="501"/>
    </row>
    <row r="40032" spans="25:25" hidden="1" x14ac:dyDescent="0.25">
      <c r="Y40032" s="501"/>
    </row>
    <row r="40033" spans="25:25" hidden="1" x14ac:dyDescent="0.25">
      <c r="Y40033" s="501"/>
    </row>
    <row r="40034" spans="25:25" hidden="1" x14ac:dyDescent="0.25">
      <c r="Y40034" s="501"/>
    </row>
    <row r="40035" spans="25:25" hidden="1" x14ac:dyDescent="0.25">
      <c r="Y40035" s="501"/>
    </row>
    <row r="40036" spans="25:25" hidden="1" x14ac:dyDescent="0.25">
      <c r="Y40036" s="501"/>
    </row>
    <row r="40037" spans="25:25" hidden="1" x14ac:dyDescent="0.25">
      <c r="Y40037" s="501"/>
    </row>
    <row r="40038" spans="25:25" hidden="1" x14ac:dyDescent="0.25">
      <c r="Y40038" s="501"/>
    </row>
    <row r="40039" spans="25:25" hidden="1" x14ac:dyDescent="0.25">
      <c r="Y40039" s="501"/>
    </row>
    <row r="40040" spans="25:25" hidden="1" x14ac:dyDescent="0.25">
      <c r="Y40040" s="501"/>
    </row>
    <row r="40041" spans="25:25" hidden="1" x14ac:dyDescent="0.25">
      <c r="Y40041" s="501"/>
    </row>
    <row r="40042" spans="25:25" hidden="1" x14ac:dyDescent="0.25">
      <c r="Y40042" s="501"/>
    </row>
    <row r="40043" spans="25:25" hidden="1" x14ac:dyDescent="0.25">
      <c r="Y40043" s="501"/>
    </row>
    <row r="40044" spans="25:25" hidden="1" x14ac:dyDescent="0.25">
      <c r="Y40044" s="501"/>
    </row>
    <row r="40045" spans="25:25" hidden="1" x14ac:dyDescent="0.25">
      <c r="Y40045" s="501"/>
    </row>
    <row r="40046" spans="25:25" hidden="1" x14ac:dyDescent="0.25">
      <c r="Y40046" s="501"/>
    </row>
    <row r="40047" spans="25:25" hidden="1" x14ac:dyDescent="0.25">
      <c r="Y40047" s="501"/>
    </row>
    <row r="40048" spans="25:25" hidden="1" x14ac:dyDescent="0.25">
      <c r="Y40048" s="501"/>
    </row>
    <row r="40049" spans="25:25" hidden="1" x14ac:dyDescent="0.25">
      <c r="Y40049" s="501"/>
    </row>
    <row r="40050" spans="25:25" hidden="1" x14ac:dyDescent="0.25">
      <c r="Y40050" s="501"/>
    </row>
    <row r="40051" spans="25:25" hidden="1" x14ac:dyDescent="0.25">
      <c r="Y40051" s="501"/>
    </row>
    <row r="40052" spans="25:25" hidden="1" x14ac:dyDescent="0.25">
      <c r="Y40052" s="501"/>
    </row>
    <row r="40053" spans="25:25" hidden="1" x14ac:dyDescent="0.25">
      <c r="Y40053" s="501"/>
    </row>
    <row r="40054" spans="25:25" hidden="1" x14ac:dyDescent="0.25">
      <c r="Y40054" s="501"/>
    </row>
    <row r="40055" spans="25:25" hidden="1" x14ac:dyDescent="0.25">
      <c r="Y40055" s="501"/>
    </row>
    <row r="40056" spans="25:25" hidden="1" x14ac:dyDescent="0.25">
      <c r="Y40056" s="501"/>
    </row>
    <row r="40057" spans="25:25" hidden="1" x14ac:dyDescent="0.25">
      <c r="Y40057" s="501"/>
    </row>
    <row r="40058" spans="25:25" hidden="1" x14ac:dyDescent="0.25">
      <c r="Y40058" s="501"/>
    </row>
    <row r="40059" spans="25:25" hidden="1" x14ac:dyDescent="0.25">
      <c r="Y40059" s="501"/>
    </row>
    <row r="40060" spans="25:25" hidden="1" x14ac:dyDescent="0.25">
      <c r="Y40060" s="501"/>
    </row>
    <row r="40061" spans="25:25" hidden="1" x14ac:dyDescent="0.25">
      <c r="Y40061" s="501"/>
    </row>
    <row r="40062" spans="25:25" hidden="1" x14ac:dyDescent="0.25">
      <c r="Y40062" s="501"/>
    </row>
    <row r="40063" spans="25:25" hidden="1" x14ac:dyDescent="0.25">
      <c r="Y40063" s="501"/>
    </row>
    <row r="40064" spans="25:25" hidden="1" x14ac:dyDescent="0.25">
      <c r="Y40064" s="501"/>
    </row>
    <row r="40065" spans="25:25" hidden="1" x14ac:dyDescent="0.25">
      <c r="Y40065" s="501"/>
    </row>
    <row r="40066" spans="25:25" hidden="1" x14ac:dyDescent="0.25">
      <c r="Y40066" s="501"/>
    </row>
    <row r="40067" spans="25:25" hidden="1" x14ac:dyDescent="0.25">
      <c r="Y40067" s="501"/>
    </row>
    <row r="40068" spans="25:25" hidden="1" x14ac:dyDescent="0.25">
      <c r="Y40068" s="501"/>
    </row>
    <row r="40069" spans="25:25" hidden="1" x14ac:dyDescent="0.25">
      <c r="Y40069" s="501"/>
    </row>
    <row r="40070" spans="25:25" hidden="1" x14ac:dyDescent="0.25">
      <c r="Y40070" s="501"/>
    </row>
    <row r="40071" spans="25:25" hidden="1" x14ac:dyDescent="0.25">
      <c r="Y40071" s="501"/>
    </row>
    <row r="40072" spans="25:25" hidden="1" x14ac:dyDescent="0.25">
      <c r="Y40072" s="501"/>
    </row>
    <row r="40073" spans="25:25" hidden="1" x14ac:dyDescent="0.25">
      <c r="Y40073" s="501"/>
    </row>
    <row r="40074" spans="25:25" hidden="1" x14ac:dyDescent="0.25">
      <c r="Y40074" s="501"/>
    </row>
    <row r="40075" spans="25:25" hidden="1" x14ac:dyDescent="0.25">
      <c r="Y40075" s="501"/>
    </row>
    <row r="40076" spans="25:25" hidden="1" x14ac:dyDescent="0.25">
      <c r="Y40076" s="501"/>
    </row>
    <row r="40077" spans="25:25" hidden="1" x14ac:dyDescent="0.25">
      <c r="Y40077" s="501"/>
    </row>
    <row r="40078" spans="25:25" hidden="1" x14ac:dyDescent="0.25">
      <c r="Y40078" s="501"/>
    </row>
    <row r="40079" spans="25:25" hidden="1" x14ac:dyDescent="0.25">
      <c r="Y40079" s="501"/>
    </row>
    <row r="40080" spans="25:25" hidden="1" x14ac:dyDescent="0.25">
      <c r="Y40080" s="501"/>
    </row>
    <row r="40081" spans="25:25" hidden="1" x14ac:dyDescent="0.25">
      <c r="Y40081" s="501"/>
    </row>
    <row r="40082" spans="25:25" hidden="1" x14ac:dyDescent="0.25">
      <c r="Y40082" s="501"/>
    </row>
    <row r="40083" spans="25:25" hidden="1" x14ac:dyDescent="0.25">
      <c r="Y40083" s="501"/>
    </row>
    <row r="40084" spans="25:25" hidden="1" x14ac:dyDescent="0.25">
      <c r="Y40084" s="501"/>
    </row>
    <row r="40085" spans="25:25" hidden="1" x14ac:dyDescent="0.25">
      <c r="Y40085" s="501"/>
    </row>
    <row r="40086" spans="25:25" hidden="1" x14ac:dyDescent="0.25">
      <c r="Y40086" s="501"/>
    </row>
    <row r="40087" spans="25:25" hidden="1" x14ac:dyDescent="0.25">
      <c r="Y40087" s="501"/>
    </row>
    <row r="40088" spans="25:25" hidden="1" x14ac:dyDescent="0.25">
      <c r="Y40088" s="501"/>
    </row>
    <row r="40089" spans="25:25" hidden="1" x14ac:dyDescent="0.25">
      <c r="Y40089" s="501"/>
    </row>
    <row r="40090" spans="25:25" hidden="1" x14ac:dyDescent="0.25">
      <c r="Y40090" s="501"/>
    </row>
    <row r="40091" spans="25:25" hidden="1" x14ac:dyDescent="0.25">
      <c r="Y40091" s="501"/>
    </row>
    <row r="40092" spans="25:25" hidden="1" x14ac:dyDescent="0.25">
      <c r="Y40092" s="501"/>
    </row>
    <row r="40093" spans="25:25" hidden="1" x14ac:dyDescent="0.25">
      <c r="Y40093" s="501"/>
    </row>
    <row r="40094" spans="25:25" hidden="1" x14ac:dyDescent="0.25">
      <c r="Y40094" s="501"/>
    </row>
    <row r="40095" spans="25:25" hidden="1" x14ac:dyDescent="0.25">
      <c r="Y40095" s="501"/>
    </row>
    <row r="40096" spans="25:25" hidden="1" x14ac:dyDescent="0.25">
      <c r="Y40096" s="501"/>
    </row>
    <row r="40097" spans="25:25" hidden="1" x14ac:dyDescent="0.25">
      <c r="Y40097" s="501"/>
    </row>
    <row r="40098" spans="25:25" hidden="1" x14ac:dyDescent="0.25">
      <c r="Y40098" s="501"/>
    </row>
    <row r="40099" spans="25:25" hidden="1" x14ac:dyDescent="0.25">
      <c r="Y40099" s="501"/>
    </row>
    <row r="40100" spans="25:25" hidden="1" x14ac:dyDescent="0.25">
      <c r="Y40100" s="501"/>
    </row>
    <row r="40101" spans="25:25" hidden="1" x14ac:dyDescent="0.25">
      <c r="Y40101" s="501"/>
    </row>
    <row r="40102" spans="25:25" hidden="1" x14ac:dyDescent="0.25">
      <c r="Y40102" s="501"/>
    </row>
    <row r="40103" spans="25:25" hidden="1" x14ac:dyDescent="0.25">
      <c r="Y40103" s="501"/>
    </row>
    <row r="40104" spans="25:25" hidden="1" x14ac:dyDescent="0.25">
      <c r="Y40104" s="501"/>
    </row>
    <row r="40105" spans="25:25" hidden="1" x14ac:dyDescent="0.25">
      <c r="Y40105" s="501"/>
    </row>
    <row r="40106" spans="25:25" hidden="1" x14ac:dyDescent="0.25">
      <c r="Y40106" s="501"/>
    </row>
    <row r="40107" spans="25:25" hidden="1" x14ac:dyDescent="0.25">
      <c r="Y40107" s="501"/>
    </row>
    <row r="40108" spans="25:25" hidden="1" x14ac:dyDescent="0.25">
      <c r="Y40108" s="501"/>
    </row>
    <row r="40109" spans="25:25" hidden="1" x14ac:dyDescent="0.25">
      <c r="Y40109" s="501"/>
    </row>
    <row r="40110" spans="25:25" hidden="1" x14ac:dyDescent="0.25">
      <c r="Y40110" s="501"/>
    </row>
    <row r="40111" spans="25:25" hidden="1" x14ac:dyDescent="0.25">
      <c r="Y40111" s="501"/>
    </row>
    <row r="40112" spans="25:25" hidden="1" x14ac:dyDescent="0.25">
      <c r="Y40112" s="501"/>
    </row>
    <row r="40113" spans="25:25" hidden="1" x14ac:dyDescent="0.25">
      <c r="Y40113" s="501"/>
    </row>
    <row r="40114" spans="25:25" hidden="1" x14ac:dyDescent="0.25">
      <c r="Y40114" s="501"/>
    </row>
    <row r="40115" spans="25:25" hidden="1" x14ac:dyDescent="0.25">
      <c r="Y40115" s="501"/>
    </row>
    <row r="40116" spans="25:25" hidden="1" x14ac:dyDescent="0.25">
      <c r="Y40116" s="501"/>
    </row>
    <row r="40117" spans="25:25" hidden="1" x14ac:dyDescent="0.25">
      <c r="Y40117" s="501"/>
    </row>
    <row r="40118" spans="25:25" hidden="1" x14ac:dyDescent="0.25">
      <c r="Y40118" s="501"/>
    </row>
    <row r="40119" spans="25:25" hidden="1" x14ac:dyDescent="0.25">
      <c r="Y40119" s="501"/>
    </row>
    <row r="40120" spans="25:25" hidden="1" x14ac:dyDescent="0.25">
      <c r="Y40120" s="501"/>
    </row>
    <row r="40121" spans="25:25" hidden="1" x14ac:dyDescent="0.25">
      <c r="Y40121" s="501"/>
    </row>
    <row r="40122" spans="25:25" hidden="1" x14ac:dyDescent="0.25">
      <c r="Y40122" s="501"/>
    </row>
    <row r="40123" spans="25:25" hidden="1" x14ac:dyDescent="0.25">
      <c r="Y40123" s="501"/>
    </row>
    <row r="40124" spans="25:25" hidden="1" x14ac:dyDescent="0.25">
      <c r="Y40124" s="501"/>
    </row>
    <row r="40125" spans="25:25" hidden="1" x14ac:dyDescent="0.25">
      <c r="Y40125" s="501"/>
    </row>
    <row r="40126" spans="25:25" hidden="1" x14ac:dyDescent="0.25">
      <c r="Y40126" s="501"/>
    </row>
    <row r="40127" spans="25:25" hidden="1" x14ac:dyDescent="0.25">
      <c r="Y40127" s="501"/>
    </row>
    <row r="40128" spans="25:25" hidden="1" x14ac:dyDescent="0.25">
      <c r="Y40128" s="501"/>
    </row>
    <row r="40129" spans="25:25" hidden="1" x14ac:dyDescent="0.25">
      <c r="Y40129" s="501"/>
    </row>
    <row r="40130" spans="25:25" hidden="1" x14ac:dyDescent="0.25">
      <c r="Y40130" s="501"/>
    </row>
    <row r="40131" spans="25:25" hidden="1" x14ac:dyDescent="0.25">
      <c r="Y40131" s="501"/>
    </row>
    <row r="40132" spans="25:25" hidden="1" x14ac:dyDescent="0.25">
      <c r="Y40132" s="501"/>
    </row>
    <row r="40133" spans="25:25" hidden="1" x14ac:dyDescent="0.25">
      <c r="Y40133" s="501"/>
    </row>
    <row r="40134" spans="25:25" hidden="1" x14ac:dyDescent="0.25">
      <c r="Y40134" s="501"/>
    </row>
    <row r="40135" spans="25:25" hidden="1" x14ac:dyDescent="0.25">
      <c r="Y40135" s="501"/>
    </row>
    <row r="40136" spans="25:25" hidden="1" x14ac:dyDescent="0.25">
      <c r="Y40136" s="501"/>
    </row>
    <row r="40137" spans="25:25" hidden="1" x14ac:dyDescent="0.25">
      <c r="Y40137" s="501"/>
    </row>
    <row r="40138" spans="25:25" hidden="1" x14ac:dyDescent="0.25">
      <c r="Y40138" s="501"/>
    </row>
    <row r="40139" spans="25:25" hidden="1" x14ac:dyDescent="0.25">
      <c r="Y40139" s="501"/>
    </row>
    <row r="40140" spans="25:25" hidden="1" x14ac:dyDescent="0.25">
      <c r="Y40140" s="501"/>
    </row>
    <row r="40141" spans="25:25" hidden="1" x14ac:dyDescent="0.25">
      <c r="Y40141" s="501"/>
    </row>
    <row r="40142" spans="25:25" hidden="1" x14ac:dyDescent="0.25">
      <c r="Y40142" s="501"/>
    </row>
    <row r="40143" spans="25:25" hidden="1" x14ac:dyDescent="0.25">
      <c r="Y40143" s="501"/>
    </row>
    <row r="40144" spans="25:25" hidden="1" x14ac:dyDescent="0.25">
      <c r="Y40144" s="501"/>
    </row>
    <row r="40145" spans="25:25" hidden="1" x14ac:dyDescent="0.25">
      <c r="Y40145" s="501"/>
    </row>
    <row r="40146" spans="25:25" hidden="1" x14ac:dyDescent="0.25">
      <c r="Y40146" s="501"/>
    </row>
    <row r="40147" spans="25:25" hidden="1" x14ac:dyDescent="0.25">
      <c r="Y40147" s="501"/>
    </row>
    <row r="40148" spans="25:25" hidden="1" x14ac:dyDescent="0.25">
      <c r="Y40148" s="501"/>
    </row>
    <row r="40149" spans="25:25" hidden="1" x14ac:dyDescent="0.25">
      <c r="Y40149" s="501"/>
    </row>
    <row r="40150" spans="25:25" hidden="1" x14ac:dyDescent="0.25">
      <c r="Y40150" s="501"/>
    </row>
    <row r="40151" spans="25:25" hidden="1" x14ac:dyDescent="0.25">
      <c r="Y40151" s="501"/>
    </row>
    <row r="40152" spans="25:25" hidden="1" x14ac:dyDescent="0.25">
      <c r="Y40152" s="501"/>
    </row>
    <row r="40153" spans="25:25" hidden="1" x14ac:dyDescent="0.25">
      <c r="Y40153" s="501"/>
    </row>
    <row r="40154" spans="25:25" hidden="1" x14ac:dyDescent="0.25">
      <c r="Y40154" s="501"/>
    </row>
    <row r="40155" spans="25:25" hidden="1" x14ac:dyDescent="0.25">
      <c r="Y40155" s="501"/>
    </row>
    <row r="40156" spans="25:25" hidden="1" x14ac:dyDescent="0.25">
      <c r="Y40156" s="501"/>
    </row>
    <row r="40157" spans="25:25" hidden="1" x14ac:dyDescent="0.25">
      <c r="Y40157" s="501"/>
    </row>
    <row r="40158" spans="25:25" hidden="1" x14ac:dyDescent="0.25">
      <c r="Y40158" s="501"/>
    </row>
    <row r="40159" spans="25:25" hidden="1" x14ac:dyDescent="0.25">
      <c r="Y40159" s="501"/>
    </row>
    <row r="40160" spans="25:25" hidden="1" x14ac:dyDescent="0.25">
      <c r="Y40160" s="501"/>
    </row>
    <row r="40161" spans="25:25" hidden="1" x14ac:dyDescent="0.25">
      <c r="Y40161" s="501"/>
    </row>
    <row r="40162" spans="25:25" hidden="1" x14ac:dyDescent="0.25">
      <c r="Y40162" s="501"/>
    </row>
    <row r="40163" spans="25:25" hidden="1" x14ac:dyDescent="0.25">
      <c r="Y40163" s="501"/>
    </row>
    <row r="40164" spans="25:25" hidden="1" x14ac:dyDescent="0.25">
      <c r="Y40164" s="501"/>
    </row>
    <row r="40165" spans="25:25" hidden="1" x14ac:dyDescent="0.25">
      <c r="Y40165" s="501"/>
    </row>
    <row r="40166" spans="25:25" hidden="1" x14ac:dyDescent="0.25">
      <c r="Y40166" s="501"/>
    </row>
    <row r="40167" spans="25:25" hidden="1" x14ac:dyDescent="0.25">
      <c r="Y40167" s="501"/>
    </row>
    <row r="40168" spans="25:25" hidden="1" x14ac:dyDescent="0.25">
      <c r="Y40168" s="501"/>
    </row>
    <row r="40169" spans="25:25" hidden="1" x14ac:dyDescent="0.25">
      <c r="Y40169" s="501"/>
    </row>
    <row r="40170" spans="25:25" hidden="1" x14ac:dyDescent="0.25">
      <c r="Y40170" s="501"/>
    </row>
    <row r="40171" spans="25:25" hidden="1" x14ac:dyDescent="0.25">
      <c r="Y40171" s="501"/>
    </row>
    <row r="40172" spans="25:25" hidden="1" x14ac:dyDescent="0.25">
      <c r="Y40172" s="501"/>
    </row>
    <row r="40173" spans="25:25" hidden="1" x14ac:dyDescent="0.25">
      <c r="Y40173" s="501"/>
    </row>
    <row r="40174" spans="25:25" hidden="1" x14ac:dyDescent="0.25">
      <c r="Y40174" s="501"/>
    </row>
    <row r="40175" spans="25:25" hidden="1" x14ac:dyDescent="0.25">
      <c r="Y40175" s="501"/>
    </row>
    <row r="40176" spans="25:25" hidden="1" x14ac:dyDescent="0.25">
      <c r="Y40176" s="501"/>
    </row>
    <row r="40177" spans="25:25" hidden="1" x14ac:dyDescent="0.25">
      <c r="Y40177" s="501"/>
    </row>
    <row r="40178" spans="25:25" hidden="1" x14ac:dyDescent="0.25">
      <c r="Y40178" s="501"/>
    </row>
    <row r="40179" spans="25:25" hidden="1" x14ac:dyDescent="0.25">
      <c r="Y40179" s="501"/>
    </row>
    <row r="40180" spans="25:25" hidden="1" x14ac:dyDescent="0.25">
      <c r="Y40180" s="501"/>
    </row>
    <row r="40181" spans="25:25" hidden="1" x14ac:dyDescent="0.25">
      <c r="Y40181" s="501"/>
    </row>
    <row r="40182" spans="25:25" hidden="1" x14ac:dyDescent="0.25">
      <c r="Y40182" s="501"/>
    </row>
    <row r="40183" spans="25:25" hidden="1" x14ac:dyDescent="0.25">
      <c r="Y40183" s="501"/>
    </row>
    <row r="40184" spans="25:25" hidden="1" x14ac:dyDescent="0.25">
      <c r="Y40184" s="501"/>
    </row>
    <row r="40185" spans="25:25" hidden="1" x14ac:dyDescent="0.25">
      <c r="Y40185" s="501"/>
    </row>
    <row r="40186" spans="25:25" hidden="1" x14ac:dyDescent="0.25">
      <c r="Y40186" s="501"/>
    </row>
    <row r="40187" spans="25:25" hidden="1" x14ac:dyDescent="0.25">
      <c r="Y40187" s="501"/>
    </row>
    <row r="40188" spans="25:25" hidden="1" x14ac:dyDescent="0.25">
      <c r="Y40188" s="501"/>
    </row>
    <row r="40189" spans="25:25" hidden="1" x14ac:dyDescent="0.25">
      <c r="Y40189" s="501"/>
    </row>
    <row r="40190" spans="25:25" hidden="1" x14ac:dyDescent="0.25">
      <c r="Y40190" s="501"/>
    </row>
    <row r="40191" spans="25:25" hidden="1" x14ac:dyDescent="0.25">
      <c r="Y40191" s="501"/>
    </row>
    <row r="40192" spans="25:25" hidden="1" x14ac:dyDescent="0.25">
      <c r="Y40192" s="501"/>
    </row>
    <row r="40193" spans="25:25" hidden="1" x14ac:dyDescent="0.25">
      <c r="Y40193" s="501"/>
    </row>
    <row r="40194" spans="25:25" hidden="1" x14ac:dyDescent="0.25">
      <c r="Y40194" s="501"/>
    </row>
    <row r="40195" spans="25:25" hidden="1" x14ac:dyDescent="0.25">
      <c r="Y40195" s="501"/>
    </row>
    <row r="40196" spans="25:25" hidden="1" x14ac:dyDescent="0.25">
      <c r="Y40196" s="501"/>
    </row>
    <row r="40197" spans="25:25" hidden="1" x14ac:dyDescent="0.25">
      <c r="Y40197" s="501"/>
    </row>
    <row r="40198" spans="25:25" hidden="1" x14ac:dyDescent="0.25">
      <c r="Y40198" s="501"/>
    </row>
    <row r="40199" spans="25:25" hidden="1" x14ac:dyDescent="0.25">
      <c r="Y40199" s="501"/>
    </row>
    <row r="40200" spans="25:25" hidden="1" x14ac:dyDescent="0.25">
      <c r="Y40200" s="501"/>
    </row>
    <row r="40201" spans="25:25" hidden="1" x14ac:dyDescent="0.25">
      <c r="Y40201" s="501"/>
    </row>
    <row r="40202" spans="25:25" hidden="1" x14ac:dyDescent="0.25">
      <c r="Y40202" s="501"/>
    </row>
    <row r="40203" spans="25:25" hidden="1" x14ac:dyDescent="0.25">
      <c r="Y40203" s="501"/>
    </row>
    <row r="40204" spans="25:25" hidden="1" x14ac:dyDescent="0.25">
      <c r="Y40204" s="501"/>
    </row>
    <row r="40205" spans="25:25" hidden="1" x14ac:dyDescent="0.25">
      <c r="Y40205" s="501"/>
    </row>
    <row r="40206" spans="25:25" hidden="1" x14ac:dyDescent="0.25">
      <c r="Y40206" s="501"/>
    </row>
    <row r="40207" spans="25:25" hidden="1" x14ac:dyDescent="0.25">
      <c r="Y40207" s="501"/>
    </row>
    <row r="40208" spans="25:25" hidden="1" x14ac:dyDescent="0.25">
      <c r="Y40208" s="501"/>
    </row>
    <row r="40209" spans="25:25" hidden="1" x14ac:dyDescent="0.25">
      <c r="Y40209" s="501"/>
    </row>
    <row r="40210" spans="25:25" hidden="1" x14ac:dyDescent="0.25">
      <c r="Y40210" s="501"/>
    </row>
    <row r="40211" spans="25:25" hidden="1" x14ac:dyDescent="0.25">
      <c r="Y40211" s="501"/>
    </row>
    <row r="40212" spans="25:25" hidden="1" x14ac:dyDescent="0.25">
      <c r="Y40212" s="501"/>
    </row>
    <row r="40213" spans="25:25" hidden="1" x14ac:dyDescent="0.25">
      <c r="Y40213" s="501"/>
    </row>
    <row r="40214" spans="25:25" hidden="1" x14ac:dyDescent="0.25">
      <c r="Y40214" s="501"/>
    </row>
    <row r="40215" spans="25:25" hidden="1" x14ac:dyDescent="0.25">
      <c r="Y40215" s="501"/>
    </row>
    <row r="40216" spans="25:25" hidden="1" x14ac:dyDescent="0.25">
      <c r="Y40216" s="501"/>
    </row>
    <row r="40217" spans="25:25" hidden="1" x14ac:dyDescent="0.25">
      <c r="Y40217" s="501"/>
    </row>
    <row r="40218" spans="25:25" hidden="1" x14ac:dyDescent="0.25">
      <c r="Y40218" s="501"/>
    </row>
    <row r="40219" spans="25:25" hidden="1" x14ac:dyDescent="0.25">
      <c r="Y40219" s="501"/>
    </row>
    <row r="40220" spans="25:25" hidden="1" x14ac:dyDescent="0.25">
      <c r="Y40220" s="501"/>
    </row>
    <row r="40221" spans="25:25" hidden="1" x14ac:dyDescent="0.25">
      <c r="Y40221" s="501"/>
    </row>
    <row r="40222" spans="25:25" hidden="1" x14ac:dyDescent="0.25">
      <c r="Y40222" s="501"/>
    </row>
    <row r="40223" spans="25:25" hidden="1" x14ac:dyDescent="0.25">
      <c r="Y40223" s="501"/>
    </row>
    <row r="40224" spans="25:25" hidden="1" x14ac:dyDescent="0.25">
      <c r="Y40224" s="501"/>
    </row>
    <row r="40225" spans="25:25" hidden="1" x14ac:dyDescent="0.25">
      <c r="Y40225" s="501"/>
    </row>
    <row r="40226" spans="25:25" hidden="1" x14ac:dyDescent="0.25">
      <c r="Y40226" s="501"/>
    </row>
    <row r="40227" spans="25:25" hidden="1" x14ac:dyDescent="0.25">
      <c r="Y40227" s="501"/>
    </row>
    <row r="40228" spans="25:25" hidden="1" x14ac:dyDescent="0.25">
      <c r="Y40228" s="501"/>
    </row>
    <row r="40229" spans="25:25" hidden="1" x14ac:dyDescent="0.25">
      <c r="Y40229" s="501"/>
    </row>
    <row r="40230" spans="25:25" hidden="1" x14ac:dyDescent="0.25">
      <c r="Y40230" s="501"/>
    </row>
    <row r="40231" spans="25:25" hidden="1" x14ac:dyDescent="0.25">
      <c r="Y40231" s="501"/>
    </row>
    <row r="40232" spans="25:25" hidden="1" x14ac:dyDescent="0.25">
      <c r="Y40232" s="501"/>
    </row>
    <row r="40233" spans="25:25" hidden="1" x14ac:dyDescent="0.25">
      <c r="Y40233" s="501"/>
    </row>
    <row r="40234" spans="25:25" hidden="1" x14ac:dyDescent="0.25">
      <c r="Y40234" s="501"/>
    </row>
    <row r="40235" spans="25:25" hidden="1" x14ac:dyDescent="0.25">
      <c r="Y40235" s="501"/>
    </row>
    <row r="40236" spans="25:25" hidden="1" x14ac:dyDescent="0.25">
      <c r="Y40236" s="501"/>
    </row>
    <row r="40237" spans="25:25" hidden="1" x14ac:dyDescent="0.25">
      <c r="Y40237" s="501"/>
    </row>
    <row r="40238" spans="25:25" hidden="1" x14ac:dyDescent="0.25">
      <c r="Y40238" s="501"/>
    </row>
    <row r="40239" spans="25:25" hidden="1" x14ac:dyDescent="0.25">
      <c r="Y40239" s="501"/>
    </row>
    <row r="40240" spans="25:25" hidden="1" x14ac:dyDescent="0.25">
      <c r="Y40240" s="501"/>
    </row>
    <row r="40241" spans="25:25" hidden="1" x14ac:dyDescent="0.25">
      <c r="Y40241" s="501"/>
    </row>
    <row r="40242" spans="25:25" hidden="1" x14ac:dyDescent="0.25">
      <c r="Y40242" s="501"/>
    </row>
    <row r="40243" spans="25:25" hidden="1" x14ac:dyDescent="0.25">
      <c r="Y40243" s="501"/>
    </row>
    <row r="40244" spans="25:25" hidden="1" x14ac:dyDescent="0.25">
      <c r="Y40244" s="501"/>
    </row>
    <row r="40245" spans="25:25" hidden="1" x14ac:dyDescent="0.25">
      <c r="Y40245" s="501"/>
    </row>
    <row r="40246" spans="25:25" hidden="1" x14ac:dyDescent="0.25">
      <c r="Y40246" s="501"/>
    </row>
    <row r="40247" spans="25:25" hidden="1" x14ac:dyDescent="0.25">
      <c r="Y40247" s="501"/>
    </row>
    <row r="40248" spans="25:25" hidden="1" x14ac:dyDescent="0.25">
      <c r="Y40248" s="501"/>
    </row>
    <row r="40249" spans="25:25" hidden="1" x14ac:dyDescent="0.25">
      <c r="Y40249" s="501"/>
    </row>
    <row r="40250" spans="25:25" hidden="1" x14ac:dyDescent="0.25">
      <c r="Y40250" s="501"/>
    </row>
    <row r="40251" spans="25:25" hidden="1" x14ac:dyDescent="0.25">
      <c r="Y40251" s="501"/>
    </row>
    <row r="40252" spans="25:25" hidden="1" x14ac:dyDescent="0.25">
      <c r="Y40252" s="501"/>
    </row>
    <row r="40253" spans="25:25" hidden="1" x14ac:dyDescent="0.25">
      <c r="Y40253" s="501"/>
    </row>
    <row r="40254" spans="25:25" hidden="1" x14ac:dyDescent="0.25">
      <c r="Y40254" s="501"/>
    </row>
    <row r="40255" spans="25:25" hidden="1" x14ac:dyDescent="0.25">
      <c r="Y40255" s="501"/>
    </row>
    <row r="40256" spans="25:25" hidden="1" x14ac:dyDescent="0.25">
      <c r="Y40256" s="501"/>
    </row>
    <row r="40257" spans="25:25" hidden="1" x14ac:dyDescent="0.25">
      <c r="Y40257" s="501"/>
    </row>
    <row r="40258" spans="25:25" hidden="1" x14ac:dyDescent="0.25">
      <c r="Y40258" s="501"/>
    </row>
    <row r="40259" spans="25:25" hidden="1" x14ac:dyDescent="0.25">
      <c r="Y40259" s="501"/>
    </row>
    <row r="40260" spans="25:25" hidden="1" x14ac:dyDescent="0.25">
      <c r="Y40260" s="501"/>
    </row>
    <row r="40261" spans="25:25" hidden="1" x14ac:dyDescent="0.25">
      <c r="Y40261" s="501"/>
    </row>
    <row r="40262" spans="25:25" hidden="1" x14ac:dyDescent="0.25">
      <c r="Y40262" s="501"/>
    </row>
    <row r="40263" spans="25:25" hidden="1" x14ac:dyDescent="0.25">
      <c r="Y40263" s="501"/>
    </row>
    <row r="40264" spans="25:25" hidden="1" x14ac:dyDescent="0.25">
      <c r="Y40264" s="501"/>
    </row>
    <row r="40265" spans="25:25" hidden="1" x14ac:dyDescent="0.25">
      <c r="Y40265" s="501"/>
    </row>
    <row r="40266" spans="25:25" hidden="1" x14ac:dyDescent="0.25">
      <c r="Y40266" s="501"/>
    </row>
    <row r="40267" spans="25:25" hidden="1" x14ac:dyDescent="0.25">
      <c r="Y40267" s="501"/>
    </row>
    <row r="40268" spans="25:25" hidden="1" x14ac:dyDescent="0.25">
      <c r="Y40268" s="501"/>
    </row>
    <row r="40269" spans="25:25" hidden="1" x14ac:dyDescent="0.25">
      <c r="Y40269" s="501"/>
    </row>
    <row r="40270" spans="25:25" hidden="1" x14ac:dyDescent="0.25">
      <c r="Y40270" s="501"/>
    </row>
    <row r="40271" spans="25:25" hidden="1" x14ac:dyDescent="0.25">
      <c r="Y40271" s="501"/>
    </row>
    <row r="40272" spans="25:25" hidden="1" x14ac:dyDescent="0.25">
      <c r="Y40272" s="501"/>
    </row>
    <row r="40273" spans="25:25" hidden="1" x14ac:dyDescent="0.25">
      <c r="Y40273" s="501"/>
    </row>
    <row r="40274" spans="25:25" hidden="1" x14ac:dyDescent="0.25">
      <c r="Y40274" s="501"/>
    </row>
    <row r="40275" spans="25:25" hidden="1" x14ac:dyDescent="0.25">
      <c r="Y40275" s="501"/>
    </row>
    <row r="40276" spans="25:25" hidden="1" x14ac:dyDescent="0.25">
      <c r="Y40276" s="501"/>
    </row>
    <row r="40277" spans="25:25" hidden="1" x14ac:dyDescent="0.25">
      <c r="Y40277" s="501"/>
    </row>
    <row r="40278" spans="25:25" hidden="1" x14ac:dyDescent="0.25">
      <c r="Y40278" s="501"/>
    </row>
    <row r="40279" spans="25:25" hidden="1" x14ac:dyDescent="0.25">
      <c r="Y40279" s="501"/>
    </row>
    <row r="40280" spans="25:25" hidden="1" x14ac:dyDescent="0.25">
      <c r="Y40280" s="501"/>
    </row>
    <row r="40281" spans="25:25" hidden="1" x14ac:dyDescent="0.25">
      <c r="Y40281" s="501"/>
    </row>
    <row r="40282" spans="25:25" hidden="1" x14ac:dyDescent="0.25">
      <c r="Y40282" s="501"/>
    </row>
    <row r="40283" spans="25:25" hidden="1" x14ac:dyDescent="0.25">
      <c r="Y40283" s="501"/>
    </row>
    <row r="40284" spans="25:25" hidden="1" x14ac:dyDescent="0.25">
      <c r="Y40284" s="501"/>
    </row>
    <row r="40285" spans="25:25" hidden="1" x14ac:dyDescent="0.25">
      <c r="Y40285" s="501"/>
    </row>
    <row r="40286" spans="25:25" hidden="1" x14ac:dyDescent="0.25">
      <c r="Y40286" s="501"/>
    </row>
    <row r="40287" spans="25:25" hidden="1" x14ac:dyDescent="0.25">
      <c r="Y40287" s="501"/>
    </row>
    <row r="40288" spans="25:25" hidden="1" x14ac:dyDescent="0.25">
      <c r="Y40288" s="501"/>
    </row>
    <row r="40289" spans="25:25" hidden="1" x14ac:dyDescent="0.25">
      <c r="Y40289" s="501"/>
    </row>
    <row r="40290" spans="25:25" hidden="1" x14ac:dyDescent="0.25">
      <c r="Y40290" s="501"/>
    </row>
    <row r="40291" spans="25:25" hidden="1" x14ac:dyDescent="0.25">
      <c r="Y40291" s="501"/>
    </row>
    <row r="40292" spans="25:25" hidden="1" x14ac:dyDescent="0.25">
      <c r="Y40292" s="501"/>
    </row>
    <row r="40293" spans="25:25" hidden="1" x14ac:dyDescent="0.25">
      <c r="Y40293" s="501"/>
    </row>
    <row r="40294" spans="25:25" hidden="1" x14ac:dyDescent="0.25">
      <c r="Y40294" s="501"/>
    </row>
    <row r="40295" spans="25:25" hidden="1" x14ac:dyDescent="0.25">
      <c r="Y40295" s="501"/>
    </row>
    <row r="40296" spans="25:25" hidden="1" x14ac:dyDescent="0.25">
      <c r="Y40296" s="501"/>
    </row>
    <row r="40297" spans="25:25" hidden="1" x14ac:dyDescent="0.25">
      <c r="Y40297" s="501"/>
    </row>
    <row r="40298" spans="25:25" hidden="1" x14ac:dyDescent="0.25">
      <c r="Y40298" s="501"/>
    </row>
    <row r="40299" spans="25:25" hidden="1" x14ac:dyDescent="0.25">
      <c r="Y40299" s="501"/>
    </row>
    <row r="40300" spans="25:25" hidden="1" x14ac:dyDescent="0.25">
      <c r="Y40300" s="501"/>
    </row>
    <row r="40301" spans="25:25" hidden="1" x14ac:dyDescent="0.25">
      <c r="Y40301" s="501"/>
    </row>
    <row r="40302" spans="25:25" hidden="1" x14ac:dyDescent="0.25">
      <c r="Y40302" s="501"/>
    </row>
    <row r="40303" spans="25:25" hidden="1" x14ac:dyDescent="0.25">
      <c r="Y40303" s="501"/>
    </row>
    <row r="40304" spans="25:25" hidden="1" x14ac:dyDescent="0.25">
      <c r="Y40304" s="501"/>
    </row>
    <row r="40305" spans="25:25" hidden="1" x14ac:dyDescent="0.25">
      <c r="Y40305" s="501"/>
    </row>
    <row r="40306" spans="25:25" hidden="1" x14ac:dyDescent="0.25">
      <c r="Y40306" s="501"/>
    </row>
    <row r="40307" spans="25:25" hidden="1" x14ac:dyDescent="0.25">
      <c r="Y40307" s="501"/>
    </row>
    <row r="40308" spans="25:25" hidden="1" x14ac:dyDescent="0.25">
      <c r="Y40308" s="501"/>
    </row>
    <row r="40309" spans="25:25" hidden="1" x14ac:dyDescent="0.25">
      <c r="Y40309" s="501"/>
    </row>
    <row r="40310" spans="25:25" hidden="1" x14ac:dyDescent="0.25">
      <c r="Y40310" s="501"/>
    </row>
    <row r="40311" spans="25:25" hidden="1" x14ac:dyDescent="0.25">
      <c r="Y40311" s="501"/>
    </row>
    <row r="40312" spans="25:25" hidden="1" x14ac:dyDescent="0.25">
      <c r="Y40312" s="501"/>
    </row>
    <row r="40313" spans="25:25" hidden="1" x14ac:dyDescent="0.25">
      <c r="Y40313" s="501"/>
    </row>
    <row r="40314" spans="25:25" hidden="1" x14ac:dyDescent="0.25">
      <c r="Y40314" s="501"/>
    </row>
    <row r="40315" spans="25:25" hidden="1" x14ac:dyDescent="0.25">
      <c r="Y40315" s="501"/>
    </row>
    <row r="40316" spans="25:25" hidden="1" x14ac:dyDescent="0.25">
      <c r="Y40316" s="501"/>
    </row>
    <row r="40317" spans="25:25" hidden="1" x14ac:dyDescent="0.25">
      <c r="Y40317" s="501"/>
    </row>
    <row r="40318" spans="25:25" hidden="1" x14ac:dyDescent="0.25">
      <c r="Y40318" s="501"/>
    </row>
    <row r="40319" spans="25:25" hidden="1" x14ac:dyDescent="0.25">
      <c r="Y40319" s="501"/>
    </row>
    <row r="40320" spans="25:25" hidden="1" x14ac:dyDescent="0.25">
      <c r="Y40320" s="501"/>
    </row>
    <row r="40321" spans="25:25" hidden="1" x14ac:dyDescent="0.25">
      <c r="Y40321" s="501"/>
    </row>
    <row r="40322" spans="25:25" hidden="1" x14ac:dyDescent="0.25">
      <c r="Y40322" s="501"/>
    </row>
    <row r="40323" spans="25:25" hidden="1" x14ac:dyDescent="0.25">
      <c r="Y40323" s="501"/>
    </row>
    <row r="40324" spans="25:25" hidden="1" x14ac:dyDescent="0.25">
      <c r="Y40324" s="501"/>
    </row>
    <row r="40325" spans="25:25" hidden="1" x14ac:dyDescent="0.25">
      <c r="Y40325" s="501"/>
    </row>
    <row r="40326" spans="25:25" hidden="1" x14ac:dyDescent="0.25">
      <c r="Y40326" s="501"/>
    </row>
    <row r="40327" spans="25:25" hidden="1" x14ac:dyDescent="0.25">
      <c r="Y40327" s="501"/>
    </row>
    <row r="40328" spans="25:25" hidden="1" x14ac:dyDescent="0.25">
      <c r="Y40328" s="501"/>
    </row>
    <row r="40329" spans="25:25" hidden="1" x14ac:dyDescent="0.25">
      <c r="Y40329" s="501"/>
    </row>
    <row r="40330" spans="25:25" hidden="1" x14ac:dyDescent="0.25">
      <c r="Y40330" s="501"/>
    </row>
    <row r="40331" spans="25:25" hidden="1" x14ac:dyDescent="0.25">
      <c r="Y40331" s="501"/>
    </row>
    <row r="40332" spans="25:25" hidden="1" x14ac:dyDescent="0.25">
      <c r="Y40332" s="501"/>
    </row>
    <row r="40333" spans="25:25" hidden="1" x14ac:dyDescent="0.25">
      <c r="Y40333" s="501"/>
    </row>
    <row r="40334" spans="25:25" hidden="1" x14ac:dyDescent="0.25">
      <c r="Y40334" s="501"/>
    </row>
    <row r="40335" spans="25:25" hidden="1" x14ac:dyDescent="0.25">
      <c r="Y40335" s="501"/>
    </row>
    <row r="40336" spans="25:25" hidden="1" x14ac:dyDescent="0.25">
      <c r="Y40336" s="501"/>
    </row>
    <row r="40337" spans="25:25" hidden="1" x14ac:dyDescent="0.25">
      <c r="Y40337" s="501"/>
    </row>
    <row r="40338" spans="25:25" hidden="1" x14ac:dyDescent="0.25">
      <c r="Y40338" s="501"/>
    </row>
    <row r="40339" spans="25:25" hidden="1" x14ac:dyDescent="0.25">
      <c r="Y40339" s="501"/>
    </row>
    <row r="40340" spans="25:25" hidden="1" x14ac:dyDescent="0.25">
      <c r="Y40340" s="501"/>
    </row>
    <row r="40341" spans="25:25" hidden="1" x14ac:dyDescent="0.25">
      <c r="Y40341" s="501"/>
    </row>
    <row r="40342" spans="25:25" hidden="1" x14ac:dyDescent="0.25">
      <c r="Y40342" s="501"/>
    </row>
    <row r="40343" spans="25:25" hidden="1" x14ac:dyDescent="0.25">
      <c r="Y40343" s="501"/>
    </row>
    <row r="40344" spans="25:25" hidden="1" x14ac:dyDescent="0.25">
      <c r="Y40344" s="501"/>
    </row>
    <row r="40345" spans="25:25" hidden="1" x14ac:dyDescent="0.25">
      <c r="Y40345" s="501"/>
    </row>
    <row r="40346" spans="25:25" hidden="1" x14ac:dyDescent="0.25">
      <c r="Y40346" s="501"/>
    </row>
    <row r="40347" spans="25:25" hidden="1" x14ac:dyDescent="0.25">
      <c r="Y40347" s="501"/>
    </row>
    <row r="40348" spans="25:25" hidden="1" x14ac:dyDescent="0.25">
      <c r="Y40348" s="501"/>
    </row>
    <row r="40349" spans="25:25" hidden="1" x14ac:dyDescent="0.25">
      <c r="Y40349" s="501"/>
    </row>
    <row r="40350" spans="25:25" hidden="1" x14ac:dyDescent="0.25">
      <c r="Y40350" s="501"/>
    </row>
    <row r="40351" spans="25:25" hidden="1" x14ac:dyDescent="0.25">
      <c r="Y40351" s="501"/>
    </row>
    <row r="40352" spans="25:25" hidden="1" x14ac:dyDescent="0.25">
      <c r="Y40352" s="501"/>
    </row>
    <row r="40353" spans="25:25" hidden="1" x14ac:dyDescent="0.25">
      <c r="Y40353" s="501"/>
    </row>
    <row r="40354" spans="25:25" hidden="1" x14ac:dyDescent="0.25">
      <c r="Y40354" s="501"/>
    </row>
    <row r="40355" spans="25:25" hidden="1" x14ac:dyDescent="0.25">
      <c r="Y40355" s="501"/>
    </row>
    <row r="40356" spans="25:25" hidden="1" x14ac:dyDescent="0.25">
      <c r="Y40356" s="501"/>
    </row>
    <row r="40357" spans="25:25" hidden="1" x14ac:dyDescent="0.25">
      <c r="Y40357" s="501"/>
    </row>
    <row r="40358" spans="25:25" hidden="1" x14ac:dyDescent="0.25">
      <c r="Y40358" s="501"/>
    </row>
    <row r="40359" spans="25:25" hidden="1" x14ac:dyDescent="0.25">
      <c r="Y40359" s="501"/>
    </row>
    <row r="40360" spans="25:25" hidden="1" x14ac:dyDescent="0.25">
      <c r="Y40360" s="501"/>
    </row>
    <row r="40361" spans="25:25" hidden="1" x14ac:dyDescent="0.25">
      <c r="Y40361" s="501"/>
    </row>
    <row r="40362" spans="25:25" hidden="1" x14ac:dyDescent="0.25">
      <c r="Y40362" s="501"/>
    </row>
    <row r="40363" spans="25:25" hidden="1" x14ac:dyDescent="0.25">
      <c r="Y40363" s="501"/>
    </row>
    <row r="40364" spans="25:25" hidden="1" x14ac:dyDescent="0.25">
      <c r="Y40364" s="501"/>
    </row>
    <row r="40365" spans="25:25" hidden="1" x14ac:dyDescent="0.25">
      <c r="Y40365" s="501"/>
    </row>
    <row r="40366" spans="25:25" hidden="1" x14ac:dyDescent="0.25">
      <c r="Y40366" s="501"/>
    </row>
    <row r="40367" spans="25:25" hidden="1" x14ac:dyDescent="0.25">
      <c r="Y40367" s="501"/>
    </row>
    <row r="40368" spans="25:25" hidden="1" x14ac:dyDescent="0.25">
      <c r="Y40368" s="501"/>
    </row>
    <row r="40369" spans="25:25" hidden="1" x14ac:dyDescent="0.25">
      <c r="Y40369" s="501"/>
    </row>
    <row r="40370" spans="25:25" hidden="1" x14ac:dyDescent="0.25">
      <c r="Y40370" s="501"/>
    </row>
    <row r="40371" spans="25:25" hidden="1" x14ac:dyDescent="0.25">
      <c r="Y40371" s="501"/>
    </row>
    <row r="40372" spans="25:25" hidden="1" x14ac:dyDescent="0.25">
      <c r="Y40372" s="501"/>
    </row>
    <row r="40373" spans="25:25" hidden="1" x14ac:dyDescent="0.25">
      <c r="Y40373" s="501"/>
    </row>
    <row r="40374" spans="25:25" hidden="1" x14ac:dyDescent="0.25">
      <c r="Y40374" s="501"/>
    </row>
    <row r="40375" spans="25:25" hidden="1" x14ac:dyDescent="0.25">
      <c r="Y40375" s="501"/>
    </row>
    <row r="40376" spans="25:25" hidden="1" x14ac:dyDescent="0.25">
      <c r="Y40376" s="501"/>
    </row>
    <row r="40377" spans="25:25" hidden="1" x14ac:dyDescent="0.25">
      <c r="Y40377" s="501"/>
    </row>
    <row r="40378" spans="25:25" hidden="1" x14ac:dyDescent="0.25">
      <c r="Y40378" s="501"/>
    </row>
    <row r="40379" spans="25:25" hidden="1" x14ac:dyDescent="0.25">
      <c r="Y40379" s="501"/>
    </row>
    <row r="40380" spans="25:25" hidden="1" x14ac:dyDescent="0.25">
      <c r="Y40380" s="501"/>
    </row>
    <row r="40381" spans="25:25" hidden="1" x14ac:dyDescent="0.25">
      <c r="Y40381" s="501"/>
    </row>
    <row r="40382" spans="25:25" hidden="1" x14ac:dyDescent="0.25">
      <c r="Y40382" s="501"/>
    </row>
    <row r="40383" spans="25:25" hidden="1" x14ac:dyDescent="0.25">
      <c r="Y40383" s="501"/>
    </row>
    <row r="40384" spans="25:25" hidden="1" x14ac:dyDescent="0.25">
      <c r="Y40384" s="501"/>
    </row>
    <row r="40385" spans="25:25" hidden="1" x14ac:dyDescent="0.25">
      <c r="Y40385" s="501"/>
    </row>
    <row r="40386" spans="25:25" hidden="1" x14ac:dyDescent="0.25">
      <c r="Y40386" s="501"/>
    </row>
    <row r="40387" spans="25:25" hidden="1" x14ac:dyDescent="0.25">
      <c r="Y40387" s="501"/>
    </row>
    <row r="40388" spans="25:25" hidden="1" x14ac:dyDescent="0.25">
      <c r="Y40388" s="501"/>
    </row>
    <row r="40389" spans="25:25" hidden="1" x14ac:dyDescent="0.25">
      <c r="Y40389" s="501"/>
    </row>
    <row r="40390" spans="25:25" hidden="1" x14ac:dyDescent="0.25">
      <c r="Y40390" s="501"/>
    </row>
    <row r="40391" spans="25:25" hidden="1" x14ac:dyDescent="0.25">
      <c r="Y40391" s="501"/>
    </row>
    <row r="40392" spans="25:25" hidden="1" x14ac:dyDescent="0.25">
      <c r="Y40392" s="501"/>
    </row>
    <row r="40393" spans="25:25" hidden="1" x14ac:dyDescent="0.25">
      <c r="Y40393" s="501"/>
    </row>
    <row r="40394" spans="25:25" hidden="1" x14ac:dyDescent="0.25">
      <c r="Y40394" s="501"/>
    </row>
    <row r="40395" spans="25:25" hidden="1" x14ac:dyDescent="0.25">
      <c r="Y40395" s="501"/>
    </row>
    <row r="40396" spans="25:25" hidden="1" x14ac:dyDescent="0.25">
      <c r="Y40396" s="501"/>
    </row>
    <row r="40397" spans="25:25" hidden="1" x14ac:dyDescent="0.25">
      <c r="Y40397" s="501"/>
    </row>
    <row r="40398" spans="25:25" hidden="1" x14ac:dyDescent="0.25">
      <c r="Y40398" s="501"/>
    </row>
    <row r="40399" spans="25:25" hidden="1" x14ac:dyDescent="0.25">
      <c r="Y40399" s="501"/>
    </row>
    <row r="40400" spans="25:25" hidden="1" x14ac:dyDescent="0.25">
      <c r="Y40400" s="501"/>
    </row>
    <row r="40401" spans="25:25" hidden="1" x14ac:dyDescent="0.25">
      <c r="Y40401" s="501"/>
    </row>
    <row r="40402" spans="25:25" hidden="1" x14ac:dyDescent="0.25">
      <c r="Y40402" s="501"/>
    </row>
    <row r="40403" spans="25:25" hidden="1" x14ac:dyDescent="0.25">
      <c r="Y40403" s="501"/>
    </row>
    <row r="40404" spans="25:25" hidden="1" x14ac:dyDescent="0.25">
      <c r="Y40404" s="501"/>
    </row>
    <row r="40405" spans="25:25" hidden="1" x14ac:dyDescent="0.25">
      <c r="Y40405" s="501"/>
    </row>
    <row r="40406" spans="25:25" hidden="1" x14ac:dyDescent="0.25">
      <c r="Y40406" s="501"/>
    </row>
    <row r="40407" spans="25:25" hidden="1" x14ac:dyDescent="0.25">
      <c r="Y40407" s="501"/>
    </row>
    <row r="40408" spans="25:25" hidden="1" x14ac:dyDescent="0.25">
      <c r="Y40408" s="501"/>
    </row>
    <row r="40409" spans="25:25" hidden="1" x14ac:dyDescent="0.25">
      <c r="Y40409" s="501"/>
    </row>
    <row r="40410" spans="25:25" hidden="1" x14ac:dyDescent="0.25">
      <c r="Y40410" s="501"/>
    </row>
    <row r="40411" spans="25:25" hidden="1" x14ac:dyDescent="0.25">
      <c r="Y40411" s="501"/>
    </row>
    <row r="40412" spans="25:25" hidden="1" x14ac:dyDescent="0.25">
      <c r="Y40412" s="501"/>
    </row>
    <row r="40413" spans="25:25" hidden="1" x14ac:dyDescent="0.25">
      <c r="Y40413" s="501"/>
    </row>
    <row r="40414" spans="25:25" hidden="1" x14ac:dyDescent="0.25">
      <c r="Y40414" s="501"/>
    </row>
    <row r="40415" spans="25:25" hidden="1" x14ac:dyDescent="0.25">
      <c r="Y40415" s="501"/>
    </row>
    <row r="40416" spans="25:25" hidden="1" x14ac:dyDescent="0.25">
      <c r="Y40416" s="501"/>
    </row>
    <row r="40417" spans="25:25" hidden="1" x14ac:dyDescent="0.25">
      <c r="Y40417" s="501"/>
    </row>
    <row r="40418" spans="25:25" hidden="1" x14ac:dyDescent="0.25">
      <c r="Y40418" s="501"/>
    </row>
    <row r="40419" spans="25:25" hidden="1" x14ac:dyDescent="0.25">
      <c r="Y40419" s="501"/>
    </row>
    <row r="40420" spans="25:25" hidden="1" x14ac:dyDescent="0.25">
      <c r="Y40420" s="501"/>
    </row>
    <row r="40421" spans="25:25" hidden="1" x14ac:dyDescent="0.25">
      <c r="Y40421" s="501"/>
    </row>
    <row r="40422" spans="25:25" hidden="1" x14ac:dyDescent="0.25">
      <c r="Y40422" s="501"/>
    </row>
    <row r="40423" spans="25:25" hidden="1" x14ac:dyDescent="0.25">
      <c r="Y40423" s="501"/>
    </row>
    <row r="40424" spans="25:25" hidden="1" x14ac:dyDescent="0.25">
      <c r="Y40424" s="501"/>
    </row>
    <row r="40425" spans="25:25" hidden="1" x14ac:dyDescent="0.25">
      <c r="Y40425" s="501"/>
    </row>
    <row r="40426" spans="25:25" hidden="1" x14ac:dyDescent="0.25">
      <c r="Y40426" s="501"/>
    </row>
    <row r="40427" spans="25:25" hidden="1" x14ac:dyDescent="0.25">
      <c r="Y40427" s="501"/>
    </row>
    <row r="40428" spans="25:25" hidden="1" x14ac:dyDescent="0.25">
      <c r="Y40428" s="501"/>
    </row>
    <row r="40429" spans="25:25" hidden="1" x14ac:dyDescent="0.25">
      <c r="Y40429" s="501"/>
    </row>
    <row r="40430" spans="25:25" hidden="1" x14ac:dyDescent="0.25">
      <c r="Y40430" s="501"/>
    </row>
    <row r="40431" spans="25:25" hidden="1" x14ac:dyDescent="0.25">
      <c r="Y40431" s="501"/>
    </row>
    <row r="40432" spans="25:25" hidden="1" x14ac:dyDescent="0.25">
      <c r="Y40432" s="501"/>
    </row>
    <row r="40433" spans="25:25" hidden="1" x14ac:dyDescent="0.25">
      <c r="Y40433" s="501"/>
    </row>
    <row r="40434" spans="25:25" hidden="1" x14ac:dyDescent="0.25">
      <c r="Y40434" s="501"/>
    </row>
    <row r="40435" spans="25:25" hidden="1" x14ac:dyDescent="0.25">
      <c r="Y40435" s="501"/>
    </row>
    <row r="40436" spans="25:25" hidden="1" x14ac:dyDescent="0.25">
      <c r="Y40436" s="501"/>
    </row>
    <row r="40437" spans="25:25" hidden="1" x14ac:dyDescent="0.25">
      <c r="Y40437" s="501"/>
    </row>
    <row r="40438" spans="25:25" hidden="1" x14ac:dyDescent="0.25">
      <c r="Y40438" s="501"/>
    </row>
    <row r="40439" spans="25:25" hidden="1" x14ac:dyDescent="0.25">
      <c r="Y40439" s="501"/>
    </row>
    <row r="40440" spans="25:25" hidden="1" x14ac:dyDescent="0.25">
      <c r="Y40440" s="501"/>
    </row>
    <row r="40441" spans="25:25" hidden="1" x14ac:dyDescent="0.25">
      <c r="Y40441" s="501"/>
    </row>
    <row r="40442" spans="25:25" hidden="1" x14ac:dyDescent="0.25">
      <c r="Y40442" s="501"/>
    </row>
    <row r="40443" spans="25:25" hidden="1" x14ac:dyDescent="0.25">
      <c r="Y40443" s="501"/>
    </row>
    <row r="40444" spans="25:25" hidden="1" x14ac:dyDescent="0.25">
      <c r="Y40444" s="501"/>
    </row>
    <row r="40445" spans="25:25" hidden="1" x14ac:dyDescent="0.25">
      <c r="Y40445" s="501"/>
    </row>
    <row r="40446" spans="25:25" hidden="1" x14ac:dyDescent="0.25">
      <c r="Y40446" s="501"/>
    </row>
    <row r="40447" spans="25:25" hidden="1" x14ac:dyDescent="0.25">
      <c r="Y40447" s="501"/>
    </row>
    <row r="40448" spans="25:25" hidden="1" x14ac:dyDescent="0.25">
      <c r="Y40448" s="501"/>
    </row>
    <row r="40449" spans="25:25" hidden="1" x14ac:dyDescent="0.25">
      <c r="Y40449" s="501"/>
    </row>
    <row r="40450" spans="25:25" hidden="1" x14ac:dyDescent="0.25">
      <c r="Y40450" s="501"/>
    </row>
    <row r="40451" spans="25:25" hidden="1" x14ac:dyDescent="0.25">
      <c r="Y40451" s="501"/>
    </row>
    <row r="40452" spans="25:25" hidden="1" x14ac:dyDescent="0.25">
      <c r="Y40452" s="501"/>
    </row>
    <row r="40453" spans="25:25" hidden="1" x14ac:dyDescent="0.25">
      <c r="Y40453" s="501"/>
    </row>
    <row r="40454" spans="25:25" hidden="1" x14ac:dyDescent="0.25">
      <c r="Y40454" s="501"/>
    </row>
    <row r="40455" spans="25:25" hidden="1" x14ac:dyDescent="0.25">
      <c r="Y40455" s="501"/>
    </row>
    <row r="40456" spans="25:25" hidden="1" x14ac:dyDescent="0.25">
      <c r="Y40456" s="501"/>
    </row>
    <row r="40457" spans="25:25" hidden="1" x14ac:dyDescent="0.25">
      <c r="Y40457" s="501"/>
    </row>
    <row r="40458" spans="25:25" hidden="1" x14ac:dyDescent="0.25">
      <c r="Y40458" s="501"/>
    </row>
    <row r="40459" spans="25:25" hidden="1" x14ac:dyDescent="0.25">
      <c r="Y40459" s="501"/>
    </row>
    <row r="40460" spans="25:25" hidden="1" x14ac:dyDescent="0.25">
      <c r="Y40460" s="501"/>
    </row>
    <row r="40461" spans="25:25" hidden="1" x14ac:dyDescent="0.25">
      <c r="Y40461" s="501"/>
    </row>
    <row r="40462" spans="25:25" hidden="1" x14ac:dyDescent="0.25">
      <c r="Y40462" s="501"/>
    </row>
    <row r="40463" spans="25:25" hidden="1" x14ac:dyDescent="0.25">
      <c r="Y40463" s="501"/>
    </row>
    <row r="40464" spans="25:25" hidden="1" x14ac:dyDescent="0.25">
      <c r="Y40464" s="501"/>
    </row>
    <row r="40465" spans="25:25" hidden="1" x14ac:dyDescent="0.25">
      <c r="Y40465" s="501"/>
    </row>
    <row r="40466" spans="25:25" hidden="1" x14ac:dyDescent="0.25">
      <c r="Y40466" s="501"/>
    </row>
    <row r="40467" spans="25:25" hidden="1" x14ac:dyDescent="0.25">
      <c r="Y40467" s="501"/>
    </row>
    <row r="40468" spans="25:25" hidden="1" x14ac:dyDescent="0.25">
      <c r="Y40468" s="501"/>
    </row>
    <row r="40469" spans="25:25" hidden="1" x14ac:dyDescent="0.25">
      <c r="Y40469" s="501"/>
    </row>
    <row r="40470" spans="25:25" hidden="1" x14ac:dyDescent="0.25">
      <c r="Y40470" s="501"/>
    </row>
    <row r="40471" spans="25:25" hidden="1" x14ac:dyDescent="0.25">
      <c r="Y40471" s="501"/>
    </row>
    <row r="40472" spans="25:25" hidden="1" x14ac:dyDescent="0.25">
      <c r="Y40472" s="501"/>
    </row>
    <row r="40473" spans="25:25" hidden="1" x14ac:dyDescent="0.25">
      <c r="Y40473" s="501"/>
    </row>
    <row r="40474" spans="25:25" hidden="1" x14ac:dyDescent="0.25">
      <c r="Y40474" s="501"/>
    </row>
    <row r="40475" spans="25:25" hidden="1" x14ac:dyDescent="0.25">
      <c r="Y40475" s="501"/>
    </row>
    <row r="40476" spans="25:25" hidden="1" x14ac:dyDescent="0.25">
      <c r="Y40476" s="501"/>
    </row>
    <row r="40477" spans="25:25" hidden="1" x14ac:dyDescent="0.25">
      <c r="Y40477" s="501"/>
    </row>
    <row r="40478" spans="25:25" hidden="1" x14ac:dyDescent="0.25">
      <c r="Y40478" s="501"/>
    </row>
    <row r="40479" spans="25:25" hidden="1" x14ac:dyDescent="0.25">
      <c r="Y40479" s="501"/>
    </row>
    <row r="40480" spans="25:25" hidden="1" x14ac:dyDescent="0.25">
      <c r="Y40480" s="501"/>
    </row>
    <row r="40481" spans="25:25" hidden="1" x14ac:dyDescent="0.25">
      <c r="Y40481" s="501"/>
    </row>
    <row r="40482" spans="25:25" hidden="1" x14ac:dyDescent="0.25">
      <c r="Y40482" s="501"/>
    </row>
    <row r="40483" spans="25:25" hidden="1" x14ac:dyDescent="0.25">
      <c r="Y40483" s="501"/>
    </row>
    <row r="40484" spans="25:25" hidden="1" x14ac:dyDescent="0.25">
      <c r="Y40484" s="501"/>
    </row>
    <row r="40485" spans="25:25" hidden="1" x14ac:dyDescent="0.25">
      <c r="Y40485" s="501"/>
    </row>
    <row r="40486" spans="25:25" hidden="1" x14ac:dyDescent="0.25">
      <c r="Y40486" s="501"/>
    </row>
    <row r="40487" spans="25:25" hidden="1" x14ac:dyDescent="0.25">
      <c r="Y40487" s="501"/>
    </row>
    <row r="40488" spans="25:25" hidden="1" x14ac:dyDescent="0.25">
      <c r="Y40488" s="501"/>
    </row>
    <row r="40489" spans="25:25" hidden="1" x14ac:dyDescent="0.25">
      <c r="Y40489" s="501"/>
    </row>
    <row r="40490" spans="25:25" hidden="1" x14ac:dyDescent="0.25">
      <c r="Y40490" s="501"/>
    </row>
    <row r="40491" spans="25:25" hidden="1" x14ac:dyDescent="0.25">
      <c r="Y40491" s="501"/>
    </row>
    <row r="40492" spans="25:25" hidden="1" x14ac:dyDescent="0.25">
      <c r="Y40492" s="501"/>
    </row>
    <row r="40493" spans="25:25" hidden="1" x14ac:dyDescent="0.25">
      <c r="Y40493" s="501"/>
    </row>
    <row r="40494" spans="25:25" hidden="1" x14ac:dyDescent="0.25">
      <c r="Y40494" s="501"/>
    </row>
    <row r="40495" spans="25:25" hidden="1" x14ac:dyDescent="0.25">
      <c r="Y40495" s="501"/>
    </row>
    <row r="40496" spans="25:25" hidden="1" x14ac:dyDescent="0.25">
      <c r="Y40496" s="501"/>
    </row>
    <row r="40497" spans="25:25" hidden="1" x14ac:dyDescent="0.25">
      <c r="Y40497" s="501"/>
    </row>
    <row r="40498" spans="25:25" hidden="1" x14ac:dyDescent="0.25">
      <c r="Y40498" s="501"/>
    </row>
    <row r="40499" spans="25:25" hidden="1" x14ac:dyDescent="0.25">
      <c r="Y40499" s="501"/>
    </row>
    <row r="40500" spans="25:25" hidden="1" x14ac:dyDescent="0.25">
      <c r="Y40500" s="501"/>
    </row>
    <row r="40501" spans="25:25" hidden="1" x14ac:dyDescent="0.25">
      <c r="Y40501" s="501"/>
    </row>
    <row r="40502" spans="25:25" hidden="1" x14ac:dyDescent="0.25">
      <c r="Y40502" s="501"/>
    </row>
    <row r="40503" spans="25:25" hidden="1" x14ac:dyDescent="0.25">
      <c r="Y40503" s="501"/>
    </row>
    <row r="40504" spans="25:25" hidden="1" x14ac:dyDescent="0.25">
      <c r="Y40504" s="501"/>
    </row>
    <row r="40505" spans="25:25" hidden="1" x14ac:dyDescent="0.25">
      <c r="Y40505" s="501"/>
    </row>
    <row r="40506" spans="25:25" hidden="1" x14ac:dyDescent="0.25">
      <c r="Y40506" s="501"/>
    </row>
    <row r="40507" spans="25:25" hidden="1" x14ac:dyDescent="0.25">
      <c r="Y40507" s="501"/>
    </row>
    <row r="40508" spans="25:25" hidden="1" x14ac:dyDescent="0.25">
      <c r="Y40508" s="501"/>
    </row>
    <row r="40509" spans="25:25" hidden="1" x14ac:dyDescent="0.25">
      <c r="Y40509" s="501"/>
    </row>
    <row r="40510" spans="25:25" hidden="1" x14ac:dyDescent="0.25">
      <c r="Y40510" s="501"/>
    </row>
    <row r="40511" spans="25:25" hidden="1" x14ac:dyDescent="0.25">
      <c r="Y40511" s="501"/>
    </row>
    <row r="40512" spans="25:25" hidden="1" x14ac:dyDescent="0.25">
      <c r="Y40512" s="501"/>
    </row>
    <row r="40513" spans="25:25" hidden="1" x14ac:dyDescent="0.25">
      <c r="Y40513" s="501"/>
    </row>
    <row r="40514" spans="25:25" hidden="1" x14ac:dyDescent="0.25">
      <c r="Y40514" s="501"/>
    </row>
    <row r="40515" spans="25:25" hidden="1" x14ac:dyDescent="0.25">
      <c r="Y40515" s="501"/>
    </row>
    <row r="40516" spans="25:25" hidden="1" x14ac:dyDescent="0.25">
      <c r="Y40516" s="501"/>
    </row>
    <row r="40517" spans="25:25" hidden="1" x14ac:dyDescent="0.25">
      <c r="Y40517" s="501"/>
    </row>
    <row r="40518" spans="25:25" hidden="1" x14ac:dyDescent="0.25">
      <c r="Y40518" s="501"/>
    </row>
    <row r="40519" spans="25:25" hidden="1" x14ac:dyDescent="0.25">
      <c r="Y40519" s="501"/>
    </row>
    <row r="40520" spans="25:25" hidden="1" x14ac:dyDescent="0.25">
      <c r="Y40520" s="501"/>
    </row>
    <row r="40521" spans="25:25" hidden="1" x14ac:dyDescent="0.25">
      <c r="Y40521" s="501"/>
    </row>
    <row r="40522" spans="25:25" hidden="1" x14ac:dyDescent="0.25">
      <c r="Y40522" s="501"/>
    </row>
    <row r="40523" spans="25:25" hidden="1" x14ac:dyDescent="0.25">
      <c r="Y40523" s="501"/>
    </row>
    <row r="40524" spans="25:25" hidden="1" x14ac:dyDescent="0.25">
      <c r="Y40524" s="501"/>
    </row>
    <row r="40525" spans="25:25" hidden="1" x14ac:dyDescent="0.25">
      <c r="Y40525" s="501"/>
    </row>
    <row r="40526" spans="25:25" hidden="1" x14ac:dyDescent="0.25">
      <c r="Y40526" s="501"/>
    </row>
    <row r="40527" spans="25:25" hidden="1" x14ac:dyDescent="0.25">
      <c r="Y40527" s="501"/>
    </row>
    <row r="40528" spans="25:25" hidden="1" x14ac:dyDescent="0.25">
      <c r="Y40528" s="501"/>
    </row>
    <row r="40529" spans="25:25" hidden="1" x14ac:dyDescent="0.25">
      <c r="Y40529" s="501"/>
    </row>
    <row r="40530" spans="25:25" hidden="1" x14ac:dyDescent="0.25">
      <c r="Y40530" s="501"/>
    </row>
    <row r="40531" spans="25:25" hidden="1" x14ac:dyDescent="0.25">
      <c r="Y40531" s="501"/>
    </row>
    <row r="40532" spans="25:25" hidden="1" x14ac:dyDescent="0.25">
      <c r="Y40532" s="501"/>
    </row>
    <row r="40533" spans="25:25" hidden="1" x14ac:dyDescent="0.25">
      <c r="Y40533" s="501"/>
    </row>
    <row r="40534" spans="25:25" hidden="1" x14ac:dyDescent="0.25">
      <c r="Y40534" s="501"/>
    </row>
    <row r="40535" spans="25:25" hidden="1" x14ac:dyDescent="0.25">
      <c r="Y40535" s="501"/>
    </row>
    <row r="40536" spans="25:25" hidden="1" x14ac:dyDescent="0.25">
      <c r="Y40536" s="501"/>
    </row>
    <row r="40537" spans="25:25" hidden="1" x14ac:dyDescent="0.25">
      <c r="Y40537" s="501"/>
    </row>
    <row r="40538" spans="25:25" hidden="1" x14ac:dyDescent="0.25">
      <c r="Y40538" s="501"/>
    </row>
    <row r="40539" spans="25:25" hidden="1" x14ac:dyDescent="0.25">
      <c r="Y40539" s="501"/>
    </row>
    <row r="40540" spans="25:25" hidden="1" x14ac:dyDescent="0.25">
      <c r="Y40540" s="501"/>
    </row>
    <row r="40541" spans="25:25" hidden="1" x14ac:dyDescent="0.25">
      <c r="Y40541" s="501"/>
    </row>
    <row r="40542" spans="25:25" hidden="1" x14ac:dyDescent="0.25">
      <c r="Y40542" s="501"/>
    </row>
    <row r="40543" spans="25:25" hidden="1" x14ac:dyDescent="0.25">
      <c r="Y40543" s="501"/>
    </row>
    <row r="40544" spans="25:25" hidden="1" x14ac:dyDescent="0.25">
      <c r="Y40544" s="501"/>
    </row>
    <row r="40545" spans="25:25" hidden="1" x14ac:dyDescent="0.25">
      <c r="Y40545" s="501"/>
    </row>
    <row r="40546" spans="25:25" hidden="1" x14ac:dyDescent="0.25">
      <c r="Y40546" s="501"/>
    </row>
    <row r="40547" spans="25:25" hidden="1" x14ac:dyDescent="0.25">
      <c r="Y40547" s="501"/>
    </row>
    <row r="40548" spans="25:25" hidden="1" x14ac:dyDescent="0.25">
      <c r="Y40548" s="501"/>
    </row>
    <row r="40549" spans="25:25" hidden="1" x14ac:dyDescent="0.25">
      <c r="Y40549" s="501"/>
    </row>
    <row r="40550" spans="25:25" hidden="1" x14ac:dyDescent="0.25">
      <c r="Y40550" s="501"/>
    </row>
    <row r="40551" spans="25:25" hidden="1" x14ac:dyDescent="0.25">
      <c r="Y40551" s="501"/>
    </row>
    <row r="40552" spans="25:25" hidden="1" x14ac:dyDescent="0.25">
      <c r="Y40552" s="501"/>
    </row>
    <row r="40553" spans="25:25" hidden="1" x14ac:dyDescent="0.25">
      <c r="Y40553" s="501"/>
    </row>
    <row r="40554" spans="25:25" hidden="1" x14ac:dyDescent="0.25">
      <c r="Y40554" s="501"/>
    </row>
    <row r="40555" spans="25:25" hidden="1" x14ac:dyDescent="0.25">
      <c r="Y40555" s="501"/>
    </row>
    <row r="40556" spans="25:25" hidden="1" x14ac:dyDescent="0.25">
      <c r="Y40556" s="501"/>
    </row>
    <row r="40557" spans="25:25" hidden="1" x14ac:dyDescent="0.25">
      <c r="Y40557" s="501"/>
    </row>
    <row r="40558" spans="25:25" hidden="1" x14ac:dyDescent="0.25">
      <c r="Y40558" s="501"/>
    </row>
    <row r="40559" spans="25:25" hidden="1" x14ac:dyDescent="0.25">
      <c r="Y40559" s="501"/>
    </row>
    <row r="40560" spans="25:25" hidden="1" x14ac:dyDescent="0.25">
      <c r="Y40560" s="501"/>
    </row>
    <row r="40561" spans="25:25" hidden="1" x14ac:dyDescent="0.25">
      <c r="Y40561" s="501"/>
    </row>
    <row r="40562" spans="25:25" hidden="1" x14ac:dyDescent="0.25">
      <c r="Y40562" s="501"/>
    </row>
    <row r="40563" spans="25:25" hidden="1" x14ac:dyDescent="0.25">
      <c r="Y40563" s="501"/>
    </row>
    <row r="40564" spans="25:25" hidden="1" x14ac:dyDescent="0.25">
      <c r="Y40564" s="501"/>
    </row>
    <row r="40565" spans="25:25" hidden="1" x14ac:dyDescent="0.25">
      <c r="Y40565" s="501"/>
    </row>
    <row r="40566" spans="25:25" hidden="1" x14ac:dyDescent="0.25">
      <c r="Y40566" s="501"/>
    </row>
    <row r="40567" spans="25:25" hidden="1" x14ac:dyDescent="0.25">
      <c r="Y40567" s="501"/>
    </row>
    <row r="40568" spans="25:25" hidden="1" x14ac:dyDescent="0.25">
      <c r="Y40568" s="501"/>
    </row>
    <row r="40569" spans="25:25" hidden="1" x14ac:dyDescent="0.25">
      <c r="Y40569" s="501"/>
    </row>
    <row r="40570" spans="25:25" hidden="1" x14ac:dyDescent="0.25">
      <c r="Y40570" s="501"/>
    </row>
    <row r="40571" spans="25:25" hidden="1" x14ac:dyDescent="0.25">
      <c r="Y40571" s="501"/>
    </row>
    <row r="40572" spans="25:25" hidden="1" x14ac:dyDescent="0.25">
      <c r="Y40572" s="501"/>
    </row>
    <row r="40573" spans="25:25" hidden="1" x14ac:dyDescent="0.25">
      <c r="Y40573" s="501"/>
    </row>
    <row r="40574" spans="25:25" hidden="1" x14ac:dyDescent="0.25">
      <c r="Y40574" s="501"/>
    </row>
    <row r="40575" spans="25:25" hidden="1" x14ac:dyDescent="0.25">
      <c r="Y40575" s="501"/>
    </row>
    <row r="40576" spans="25:25" hidden="1" x14ac:dyDescent="0.25">
      <c r="Y40576" s="501"/>
    </row>
    <row r="40577" spans="25:25" hidden="1" x14ac:dyDescent="0.25">
      <c r="Y40577" s="501"/>
    </row>
    <row r="40578" spans="25:25" hidden="1" x14ac:dyDescent="0.25">
      <c r="Y40578" s="501"/>
    </row>
    <row r="40579" spans="25:25" hidden="1" x14ac:dyDescent="0.25">
      <c r="Y40579" s="501"/>
    </row>
    <row r="40580" spans="25:25" hidden="1" x14ac:dyDescent="0.25">
      <c r="Y40580" s="501"/>
    </row>
    <row r="40581" spans="25:25" hidden="1" x14ac:dyDescent="0.25">
      <c r="Y40581" s="501"/>
    </row>
    <row r="40582" spans="25:25" hidden="1" x14ac:dyDescent="0.25">
      <c r="Y40582" s="501"/>
    </row>
    <row r="40583" spans="25:25" hidden="1" x14ac:dyDescent="0.25">
      <c r="Y40583" s="501"/>
    </row>
    <row r="40584" spans="25:25" hidden="1" x14ac:dyDescent="0.25">
      <c r="Y40584" s="501"/>
    </row>
    <row r="40585" spans="25:25" hidden="1" x14ac:dyDescent="0.25">
      <c r="Y40585" s="501"/>
    </row>
    <row r="40586" spans="25:25" hidden="1" x14ac:dyDescent="0.25">
      <c r="Y40586" s="501"/>
    </row>
    <row r="40587" spans="25:25" hidden="1" x14ac:dyDescent="0.25">
      <c r="Y40587" s="501"/>
    </row>
    <row r="40588" spans="25:25" hidden="1" x14ac:dyDescent="0.25">
      <c r="Y40588" s="501"/>
    </row>
    <row r="40589" spans="25:25" hidden="1" x14ac:dyDescent="0.25">
      <c r="Y40589" s="501"/>
    </row>
    <row r="40590" spans="25:25" hidden="1" x14ac:dyDescent="0.25">
      <c r="Y40590" s="501"/>
    </row>
    <row r="40591" spans="25:25" hidden="1" x14ac:dyDescent="0.25">
      <c r="Y40591" s="501"/>
    </row>
    <row r="40592" spans="25:25" hidden="1" x14ac:dyDescent="0.25">
      <c r="Y40592" s="501"/>
    </row>
    <row r="40593" spans="25:25" hidden="1" x14ac:dyDescent="0.25">
      <c r="Y40593" s="501"/>
    </row>
    <row r="40594" spans="25:25" hidden="1" x14ac:dyDescent="0.25">
      <c r="Y40594" s="501"/>
    </row>
    <row r="40595" spans="25:25" hidden="1" x14ac:dyDescent="0.25">
      <c r="Y40595" s="501"/>
    </row>
    <row r="40596" spans="25:25" hidden="1" x14ac:dyDescent="0.25">
      <c r="Y40596" s="501"/>
    </row>
    <row r="40597" spans="25:25" hidden="1" x14ac:dyDescent="0.25">
      <c r="Y40597" s="501"/>
    </row>
    <row r="40598" spans="25:25" hidden="1" x14ac:dyDescent="0.25">
      <c r="Y40598" s="501"/>
    </row>
    <row r="40599" spans="25:25" hidden="1" x14ac:dyDescent="0.25">
      <c r="Y40599" s="501"/>
    </row>
    <row r="40600" spans="25:25" hidden="1" x14ac:dyDescent="0.25">
      <c r="Y40600" s="501"/>
    </row>
    <row r="40601" spans="25:25" hidden="1" x14ac:dyDescent="0.25">
      <c r="Y40601" s="501"/>
    </row>
    <row r="40602" spans="25:25" hidden="1" x14ac:dyDescent="0.25">
      <c r="Y40602" s="501"/>
    </row>
    <row r="40603" spans="25:25" hidden="1" x14ac:dyDescent="0.25">
      <c r="Y40603" s="501"/>
    </row>
    <row r="40604" spans="25:25" hidden="1" x14ac:dyDescent="0.25">
      <c r="Y40604" s="501"/>
    </row>
    <row r="40605" spans="25:25" hidden="1" x14ac:dyDescent="0.25">
      <c r="Y40605" s="501"/>
    </row>
    <row r="40606" spans="25:25" hidden="1" x14ac:dyDescent="0.25">
      <c r="Y40606" s="501"/>
    </row>
    <row r="40607" spans="25:25" hidden="1" x14ac:dyDescent="0.25">
      <c r="Y40607" s="501"/>
    </row>
    <row r="40608" spans="25:25" hidden="1" x14ac:dyDescent="0.25">
      <c r="Y40608" s="501"/>
    </row>
    <row r="40609" spans="25:25" hidden="1" x14ac:dyDescent="0.25">
      <c r="Y40609" s="501"/>
    </row>
    <row r="40610" spans="25:25" hidden="1" x14ac:dyDescent="0.25">
      <c r="Y40610" s="501"/>
    </row>
    <row r="40611" spans="25:25" hidden="1" x14ac:dyDescent="0.25">
      <c r="Y40611" s="501"/>
    </row>
    <row r="40612" spans="25:25" hidden="1" x14ac:dyDescent="0.25">
      <c r="Y40612" s="501"/>
    </row>
    <row r="40613" spans="25:25" hidden="1" x14ac:dyDescent="0.25">
      <c r="Y40613" s="501"/>
    </row>
    <row r="40614" spans="25:25" hidden="1" x14ac:dyDescent="0.25">
      <c r="Y40614" s="501"/>
    </row>
    <row r="40615" spans="25:25" hidden="1" x14ac:dyDescent="0.25">
      <c r="Y40615" s="501"/>
    </row>
    <row r="40616" spans="25:25" hidden="1" x14ac:dyDescent="0.25">
      <c r="Y40616" s="501"/>
    </row>
    <row r="40617" spans="25:25" hidden="1" x14ac:dyDescent="0.25">
      <c r="Y40617" s="501"/>
    </row>
    <row r="40618" spans="25:25" hidden="1" x14ac:dyDescent="0.25">
      <c r="Y40618" s="501"/>
    </row>
    <row r="40619" spans="25:25" hidden="1" x14ac:dyDescent="0.25">
      <c r="Y40619" s="501"/>
    </row>
    <row r="40620" spans="25:25" hidden="1" x14ac:dyDescent="0.25">
      <c r="Y40620" s="501"/>
    </row>
    <row r="40621" spans="25:25" hidden="1" x14ac:dyDescent="0.25">
      <c r="Y40621" s="501"/>
    </row>
    <row r="40622" spans="25:25" hidden="1" x14ac:dyDescent="0.25">
      <c r="Y40622" s="501"/>
    </row>
    <row r="40623" spans="25:25" hidden="1" x14ac:dyDescent="0.25">
      <c r="Y40623" s="501"/>
    </row>
    <row r="40624" spans="25:25" hidden="1" x14ac:dyDescent="0.25">
      <c r="Y40624" s="501"/>
    </row>
    <row r="40625" spans="25:25" hidden="1" x14ac:dyDescent="0.25">
      <c r="Y40625" s="501"/>
    </row>
    <row r="40626" spans="25:25" hidden="1" x14ac:dyDescent="0.25">
      <c r="Y40626" s="501"/>
    </row>
    <row r="40627" spans="25:25" hidden="1" x14ac:dyDescent="0.25">
      <c r="Y40627" s="501"/>
    </row>
    <row r="40628" spans="25:25" hidden="1" x14ac:dyDescent="0.25">
      <c r="Y40628" s="501"/>
    </row>
    <row r="40629" spans="25:25" hidden="1" x14ac:dyDescent="0.25">
      <c r="Y40629" s="501"/>
    </row>
    <row r="40630" spans="25:25" hidden="1" x14ac:dyDescent="0.25">
      <c r="Y40630" s="501"/>
    </row>
    <row r="40631" spans="25:25" hidden="1" x14ac:dyDescent="0.25">
      <c r="Y40631" s="501"/>
    </row>
    <row r="40632" spans="25:25" hidden="1" x14ac:dyDescent="0.25">
      <c r="Y40632" s="501"/>
    </row>
    <row r="40633" spans="25:25" hidden="1" x14ac:dyDescent="0.25">
      <c r="Y40633" s="501"/>
    </row>
    <row r="40634" spans="25:25" hidden="1" x14ac:dyDescent="0.25">
      <c r="Y40634" s="501"/>
    </row>
    <row r="40635" spans="25:25" hidden="1" x14ac:dyDescent="0.25">
      <c r="Y40635" s="501"/>
    </row>
    <row r="40636" spans="25:25" hidden="1" x14ac:dyDescent="0.25">
      <c r="Y40636" s="501"/>
    </row>
    <row r="40637" spans="25:25" hidden="1" x14ac:dyDescent="0.25">
      <c r="Y40637" s="501"/>
    </row>
    <row r="40638" spans="25:25" hidden="1" x14ac:dyDescent="0.25">
      <c r="Y40638" s="501"/>
    </row>
    <row r="40639" spans="25:25" hidden="1" x14ac:dyDescent="0.25">
      <c r="Y40639" s="501"/>
    </row>
    <row r="40640" spans="25:25" hidden="1" x14ac:dyDescent="0.25">
      <c r="Y40640" s="501"/>
    </row>
    <row r="40641" spans="25:25" hidden="1" x14ac:dyDescent="0.25">
      <c r="Y40641" s="501"/>
    </row>
    <row r="40642" spans="25:25" hidden="1" x14ac:dyDescent="0.25">
      <c r="Y40642" s="501"/>
    </row>
    <row r="40643" spans="25:25" hidden="1" x14ac:dyDescent="0.25">
      <c r="Y40643" s="501"/>
    </row>
    <row r="40644" spans="25:25" hidden="1" x14ac:dyDescent="0.25">
      <c r="Y40644" s="501"/>
    </row>
    <row r="40645" spans="25:25" hidden="1" x14ac:dyDescent="0.25">
      <c r="Y40645" s="501"/>
    </row>
    <row r="40646" spans="25:25" hidden="1" x14ac:dyDescent="0.25">
      <c r="Y40646" s="501"/>
    </row>
    <row r="40647" spans="25:25" hidden="1" x14ac:dyDescent="0.25">
      <c r="Y40647" s="501"/>
    </row>
    <row r="40648" spans="25:25" hidden="1" x14ac:dyDescent="0.25">
      <c r="Y40648" s="501"/>
    </row>
    <row r="40649" spans="25:25" hidden="1" x14ac:dyDescent="0.25">
      <c r="Y40649" s="501"/>
    </row>
    <row r="40650" spans="25:25" hidden="1" x14ac:dyDescent="0.25">
      <c r="Y40650" s="501"/>
    </row>
    <row r="40651" spans="25:25" hidden="1" x14ac:dyDescent="0.25">
      <c r="Y40651" s="501"/>
    </row>
    <row r="40652" spans="25:25" hidden="1" x14ac:dyDescent="0.25">
      <c r="Y40652" s="501"/>
    </row>
    <row r="40653" spans="25:25" hidden="1" x14ac:dyDescent="0.25">
      <c r="Y40653" s="501"/>
    </row>
    <row r="40654" spans="25:25" hidden="1" x14ac:dyDescent="0.25">
      <c r="Y40654" s="501"/>
    </row>
    <row r="40655" spans="25:25" hidden="1" x14ac:dyDescent="0.25">
      <c r="Y40655" s="501"/>
    </row>
    <row r="40656" spans="25:25" hidden="1" x14ac:dyDescent="0.25">
      <c r="Y40656" s="501"/>
    </row>
    <row r="40657" spans="25:25" hidden="1" x14ac:dyDescent="0.25">
      <c r="Y40657" s="501"/>
    </row>
    <row r="40658" spans="25:25" hidden="1" x14ac:dyDescent="0.25">
      <c r="Y40658" s="501"/>
    </row>
    <row r="40659" spans="25:25" hidden="1" x14ac:dyDescent="0.25">
      <c r="Y40659" s="501"/>
    </row>
    <row r="40660" spans="25:25" hidden="1" x14ac:dyDescent="0.25">
      <c r="Y40660" s="501"/>
    </row>
    <row r="40661" spans="25:25" hidden="1" x14ac:dyDescent="0.25">
      <c r="Y40661" s="501"/>
    </row>
    <row r="40662" spans="25:25" hidden="1" x14ac:dyDescent="0.25">
      <c r="Y40662" s="501"/>
    </row>
    <row r="40663" spans="25:25" hidden="1" x14ac:dyDescent="0.25">
      <c r="Y40663" s="501"/>
    </row>
    <row r="40664" spans="25:25" hidden="1" x14ac:dyDescent="0.25">
      <c r="Y40664" s="501"/>
    </row>
    <row r="40665" spans="25:25" hidden="1" x14ac:dyDescent="0.25">
      <c r="Y40665" s="501"/>
    </row>
    <row r="40666" spans="25:25" hidden="1" x14ac:dyDescent="0.25">
      <c r="Y40666" s="501"/>
    </row>
    <row r="40667" spans="25:25" hidden="1" x14ac:dyDescent="0.25">
      <c r="Y40667" s="501"/>
    </row>
    <row r="40668" spans="25:25" hidden="1" x14ac:dyDescent="0.25">
      <c r="Y40668" s="501"/>
    </row>
    <row r="40669" spans="25:25" hidden="1" x14ac:dyDescent="0.25">
      <c r="Y40669" s="501"/>
    </row>
    <row r="40670" spans="25:25" hidden="1" x14ac:dyDescent="0.25">
      <c r="Y40670" s="501"/>
    </row>
    <row r="40671" spans="25:25" hidden="1" x14ac:dyDescent="0.25">
      <c r="Y40671" s="501"/>
    </row>
    <row r="40672" spans="25:25" hidden="1" x14ac:dyDescent="0.25">
      <c r="Y40672" s="501"/>
    </row>
    <row r="40673" spans="25:25" hidden="1" x14ac:dyDescent="0.25">
      <c r="Y40673" s="501"/>
    </row>
    <row r="40674" spans="25:25" hidden="1" x14ac:dyDescent="0.25">
      <c r="Y40674" s="501"/>
    </row>
    <row r="40675" spans="25:25" hidden="1" x14ac:dyDescent="0.25">
      <c r="Y40675" s="501"/>
    </row>
    <row r="40676" spans="25:25" hidden="1" x14ac:dyDescent="0.25">
      <c r="Y40676" s="501"/>
    </row>
    <row r="40677" spans="25:25" hidden="1" x14ac:dyDescent="0.25">
      <c r="Y40677" s="501"/>
    </row>
    <row r="40678" spans="25:25" hidden="1" x14ac:dyDescent="0.25">
      <c r="Y40678" s="501"/>
    </row>
    <row r="40679" spans="25:25" hidden="1" x14ac:dyDescent="0.25">
      <c r="Y40679" s="501"/>
    </row>
    <row r="40680" spans="25:25" hidden="1" x14ac:dyDescent="0.25">
      <c r="Y40680" s="501"/>
    </row>
    <row r="40681" spans="25:25" hidden="1" x14ac:dyDescent="0.25">
      <c r="Y40681" s="501"/>
    </row>
    <row r="40682" spans="25:25" hidden="1" x14ac:dyDescent="0.25">
      <c r="Y40682" s="501"/>
    </row>
    <row r="40683" spans="25:25" hidden="1" x14ac:dyDescent="0.25">
      <c r="Y40683" s="501"/>
    </row>
    <row r="40684" spans="25:25" hidden="1" x14ac:dyDescent="0.25">
      <c r="Y40684" s="501"/>
    </row>
    <row r="40685" spans="25:25" hidden="1" x14ac:dyDescent="0.25">
      <c r="Y40685" s="501"/>
    </row>
    <row r="40686" spans="25:25" hidden="1" x14ac:dyDescent="0.25">
      <c r="Y40686" s="501"/>
    </row>
    <row r="40687" spans="25:25" hidden="1" x14ac:dyDescent="0.25">
      <c r="Y40687" s="501"/>
    </row>
    <row r="40688" spans="25:25" hidden="1" x14ac:dyDescent="0.25">
      <c r="Y40688" s="501"/>
    </row>
    <row r="40689" spans="25:25" hidden="1" x14ac:dyDescent="0.25">
      <c r="Y40689" s="501"/>
    </row>
    <row r="40690" spans="25:25" hidden="1" x14ac:dyDescent="0.25">
      <c r="Y40690" s="501"/>
    </row>
    <row r="40691" spans="25:25" hidden="1" x14ac:dyDescent="0.25">
      <c r="Y40691" s="501"/>
    </row>
    <row r="40692" spans="25:25" hidden="1" x14ac:dyDescent="0.25">
      <c r="Y40692" s="501"/>
    </row>
    <row r="40693" spans="25:25" hidden="1" x14ac:dyDescent="0.25">
      <c r="Y40693" s="501"/>
    </row>
    <row r="40694" spans="25:25" hidden="1" x14ac:dyDescent="0.25">
      <c r="Y40694" s="501"/>
    </row>
    <row r="40695" spans="25:25" hidden="1" x14ac:dyDescent="0.25">
      <c r="Y40695" s="501"/>
    </row>
    <row r="40696" spans="25:25" hidden="1" x14ac:dyDescent="0.25">
      <c r="Y40696" s="501"/>
    </row>
    <row r="40697" spans="25:25" hidden="1" x14ac:dyDescent="0.25">
      <c r="Y40697" s="501"/>
    </row>
    <row r="40698" spans="25:25" hidden="1" x14ac:dyDescent="0.25">
      <c r="Y40698" s="501"/>
    </row>
    <row r="40699" spans="25:25" hidden="1" x14ac:dyDescent="0.25">
      <c r="Y40699" s="501"/>
    </row>
    <row r="40700" spans="25:25" hidden="1" x14ac:dyDescent="0.25">
      <c r="Y40700" s="501"/>
    </row>
    <row r="40701" spans="25:25" hidden="1" x14ac:dyDescent="0.25">
      <c r="Y40701" s="501"/>
    </row>
    <row r="40702" spans="25:25" hidden="1" x14ac:dyDescent="0.25">
      <c r="Y40702" s="501"/>
    </row>
    <row r="40703" spans="25:25" hidden="1" x14ac:dyDescent="0.25">
      <c r="Y40703" s="501"/>
    </row>
    <row r="40704" spans="25:25" hidden="1" x14ac:dyDescent="0.25">
      <c r="Y40704" s="501"/>
    </row>
    <row r="40705" spans="25:25" hidden="1" x14ac:dyDescent="0.25">
      <c r="Y40705" s="501"/>
    </row>
    <row r="40706" spans="25:25" hidden="1" x14ac:dyDescent="0.25">
      <c r="Y40706" s="501"/>
    </row>
    <row r="40707" spans="25:25" hidden="1" x14ac:dyDescent="0.25">
      <c r="Y40707" s="501"/>
    </row>
    <row r="40708" spans="25:25" hidden="1" x14ac:dyDescent="0.25">
      <c r="Y40708" s="501"/>
    </row>
    <row r="40709" spans="25:25" hidden="1" x14ac:dyDescent="0.25">
      <c r="Y40709" s="501"/>
    </row>
    <row r="40710" spans="25:25" hidden="1" x14ac:dyDescent="0.25">
      <c r="Y40710" s="501"/>
    </row>
    <row r="40711" spans="25:25" hidden="1" x14ac:dyDescent="0.25">
      <c r="Y40711" s="501"/>
    </row>
    <row r="40712" spans="25:25" hidden="1" x14ac:dyDescent="0.25">
      <c r="Y40712" s="501"/>
    </row>
    <row r="40713" spans="25:25" hidden="1" x14ac:dyDescent="0.25">
      <c r="Y40713" s="501"/>
    </row>
    <row r="40714" spans="25:25" hidden="1" x14ac:dyDescent="0.25">
      <c r="Y40714" s="501"/>
    </row>
    <row r="40715" spans="25:25" hidden="1" x14ac:dyDescent="0.25">
      <c r="Y40715" s="501"/>
    </row>
    <row r="40716" spans="25:25" hidden="1" x14ac:dyDescent="0.25">
      <c r="Y40716" s="501"/>
    </row>
    <row r="40717" spans="25:25" hidden="1" x14ac:dyDescent="0.25">
      <c r="Y40717" s="501"/>
    </row>
    <row r="40718" spans="25:25" hidden="1" x14ac:dyDescent="0.25">
      <c r="Y40718" s="501"/>
    </row>
    <row r="40719" spans="25:25" hidden="1" x14ac:dyDescent="0.25">
      <c r="Y40719" s="501"/>
    </row>
    <row r="40720" spans="25:25" hidden="1" x14ac:dyDescent="0.25">
      <c r="Y40720" s="501"/>
    </row>
    <row r="40721" spans="25:25" hidden="1" x14ac:dyDescent="0.25">
      <c r="Y40721" s="501"/>
    </row>
    <row r="40722" spans="25:25" hidden="1" x14ac:dyDescent="0.25">
      <c r="Y40722" s="501"/>
    </row>
    <row r="40723" spans="25:25" hidden="1" x14ac:dyDescent="0.25">
      <c r="Y40723" s="501"/>
    </row>
    <row r="40724" spans="25:25" hidden="1" x14ac:dyDescent="0.25">
      <c r="Y40724" s="501"/>
    </row>
    <row r="40725" spans="25:25" hidden="1" x14ac:dyDescent="0.25">
      <c r="Y40725" s="501"/>
    </row>
    <row r="40726" spans="25:25" hidden="1" x14ac:dyDescent="0.25">
      <c r="Y40726" s="501"/>
    </row>
    <row r="40727" spans="25:25" hidden="1" x14ac:dyDescent="0.25">
      <c r="Y40727" s="501"/>
    </row>
    <row r="40728" spans="25:25" hidden="1" x14ac:dyDescent="0.25">
      <c r="Y40728" s="501"/>
    </row>
    <row r="40729" spans="25:25" hidden="1" x14ac:dyDescent="0.25">
      <c r="Y40729" s="501"/>
    </row>
    <row r="40730" spans="25:25" hidden="1" x14ac:dyDescent="0.25">
      <c r="Y40730" s="501"/>
    </row>
    <row r="40731" spans="25:25" hidden="1" x14ac:dyDescent="0.25">
      <c r="Y40731" s="501"/>
    </row>
    <row r="40732" spans="25:25" hidden="1" x14ac:dyDescent="0.25">
      <c r="Y40732" s="501"/>
    </row>
    <row r="40733" spans="25:25" hidden="1" x14ac:dyDescent="0.25">
      <c r="Y40733" s="501"/>
    </row>
    <row r="40734" spans="25:25" hidden="1" x14ac:dyDescent="0.25">
      <c r="Y40734" s="501"/>
    </row>
    <row r="40735" spans="25:25" hidden="1" x14ac:dyDescent="0.25">
      <c r="Y40735" s="501"/>
    </row>
    <row r="40736" spans="25:25" hidden="1" x14ac:dyDescent="0.25">
      <c r="Y40736" s="501"/>
    </row>
    <row r="40737" spans="25:25" hidden="1" x14ac:dyDescent="0.25">
      <c r="Y40737" s="501"/>
    </row>
    <row r="40738" spans="25:25" hidden="1" x14ac:dyDescent="0.25">
      <c r="Y40738" s="501"/>
    </row>
    <row r="40739" spans="25:25" hidden="1" x14ac:dyDescent="0.25">
      <c r="Y40739" s="501"/>
    </row>
    <row r="40740" spans="25:25" hidden="1" x14ac:dyDescent="0.25">
      <c r="Y40740" s="501"/>
    </row>
    <row r="40741" spans="25:25" hidden="1" x14ac:dyDescent="0.25">
      <c r="Y40741" s="501"/>
    </row>
    <row r="40742" spans="25:25" hidden="1" x14ac:dyDescent="0.25">
      <c r="Y40742" s="501"/>
    </row>
    <row r="40743" spans="25:25" hidden="1" x14ac:dyDescent="0.25">
      <c r="Y40743" s="501"/>
    </row>
    <row r="40744" spans="25:25" hidden="1" x14ac:dyDescent="0.25">
      <c r="Y40744" s="501"/>
    </row>
    <row r="40745" spans="25:25" hidden="1" x14ac:dyDescent="0.25">
      <c r="Y40745" s="501"/>
    </row>
    <row r="40746" spans="25:25" hidden="1" x14ac:dyDescent="0.25">
      <c r="Y40746" s="501"/>
    </row>
    <row r="40747" spans="25:25" hidden="1" x14ac:dyDescent="0.25">
      <c r="Y40747" s="501"/>
    </row>
    <row r="40748" spans="25:25" hidden="1" x14ac:dyDescent="0.25">
      <c r="Y40748" s="501"/>
    </row>
    <row r="40749" spans="25:25" hidden="1" x14ac:dyDescent="0.25">
      <c r="Y40749" s="501"/>
    </row>
    <row r="40750" spans="25:25" hidden="1" x14ac:dyDescent="0.25">
      <c r="Y40750" s="501"/>
    </row>
    <row r="40751" spans="25:25" hidden="1" x14ac:dyDescent="0.25">
      <c r="Y40751" s="501"/>
    </row>
    <row r="40752" spans="25:25" hidden="1" x14ac:dyDescent="0.25">
      <c r="Y40752" s="501"/>
    </row>
    <row r="40753" spans="25:25" hidden="1" x14ac:dyDescent="0.25">
      <c r="Y40753" s="501"/>
    </row>
    <row r="40754" spans="25:25" hidden="1" x14ac:dyDescent="0.25">
      <c r="Y40754" s="501"/>
    </row>
    <row r="40755" spans="25:25" hidden="1" x14ac:dyDescent="0.25">
      <c r="Y40755" s="501"/>
    </row>
    <row r="40756" spans="25:25" hidden="1" x14ac:dyDescent="0.25">
      <c r="Y40756" s="501"/>
    </row>
    <row r="40757" spans="25:25" hidden="1" x14ac:dyDescent="0.25">
      <c r="Y40757" s="501"/>
    </row>
    <row r="40758" spans="25:25" hidden="1" x14ac:dyDescent="0.25">
      <c r="Y40758" s="501"/>
    </row>
    <row r="40759" spans="25:25" hidden="1" x14ac:dyDescent="0.25">
      <c r="Y40759" s="501"/>
    </row>
    <row r="40760" spans="25:25" hidden="1" x14ac:dyDescent="0.25">
      <c r="Y40760" s="501"/>
    </row>
    <row r="40761" spans="25:25" hidden="1" x14ac:dyDescent="0.25">
      <c r="Y40761" s="501"/>
    </row>
    <row r="40762" spans="25:25" hidden="1" x14ac:dyDescent="0.25">
      <c r="Y40762" s="501"/>
    </row>
    <row r="40763" spans="25:25" hidden="1" x14ac:dyDescent="0.25">
      <c r="Y40763" s="501"/>
    </row>
    <row r="40764" spans="25:25" hidden="1" x14ac:dyDescent="0.25">
      <c r="Y40764" s="501"/>
    </row>
    <row r="40765" spans="25:25" hidden="1" x14ac:dyDescent="0.25">
      <c r="Y40765" s="501"/>
    </row>
    <row r="40766" spans="25:25" hidden="1" x14ac:dyDescent="0.25">
      <c r="Y40766" s="501"/>
    </row>
    <row r="40767" spans="25:25" hidden="1" x14ac:dyDescent="0.25">
      <c r="Y40767" s="501"/>
    </row>
    <row r="40768" spans="25:25" hidden="1" x14ac:dyDescent="0.25">
      <c r="Y40768" s="501"/>
    </row>
    <row r="40769" spans="25:25" hidden="1" x14ac:dyDescent="0.25">
      <c r="Y40769" s="501"/>
    </row>
    <row r="40770" spans="25:25" hidden="1" x14ac:dyDescent="0.25">
      <c r="Y40770" s="501"/>
    </row>
    <row r="40771" spans="25:25" hidden="1" x14ac:dyDescent="0.25">
      <c r="Y40771" s="501"/>
    </row>
    <row r="40772" spans="25:25" hidden="1" x14ac:dyDescent="0.25">
      <c r="Y40772" s="501"/>
    </row>
    <row r="40773" spans="25:25" hidden="1" x14ac:dyDescent="0.25">
      <c r="Y40773" s="501"/>
    </row>
    <row r="40774" spans="25:25" hidden="1" x14ac:dyDescent="0.25">
      <c r="Y40774" s="501"/>
    </row>
    <row r="40775" spans="25:25" hidden="1" x14ac:dyDescent="0.25">
      <c r="Y40775" s="501"/>
    </row>
    <row r="40776" spans="25:25" hidden="1" x14ac:dyDescent="0.25">
      <c r="Y40776" s="501"/>
    </row>
    <row r="40777" spans="25:25" hidden="1" x14ac:dyDescent="0.25">
      <c r="Y40777" s="501"/>
    </row>
    <row r="40778" spans="25:25" hidden="1" x14ac:dyDescent="0.25">
      <c r="Y40778" s="501"/>
    </row>
    <row r="40779" spans="25:25" hidden="1" x14ac:dyDescent="0.25">
      <c r="Y40779" s="501"/>
    </row>
    <row r="40780" spans="25:25" hidden="1" x14ac:dyDescent="0.25">
      <c r="Y40780" s="501"/>
    </row>
    <row r="40781" spans="25:25" hidden="1" x14ac:dyDescent="0.25">
      <c r="Y40781" s="501"/>
    </row>
    <row r="40782" spans="25:25" hidden="1" x14ac:dyDescent="0.25">
      <c r="Y40782" s="501"/>
    </row>
    <row r="40783" spans="25:25" hidden="1" x14ac:dyDescent="0.25">
      <c r="Y40783" s="501"/>
    </row>
    <row r="40784" spans="25:25" hidden="1" x14ac:dyDescent="0.25">
      <c r="Y40784" s="501"/>
    </row>
    <row r="40785" spans="25:25" hidden="1" x14ac:dyDescent="0.25">
      <c r="Y40785" s="501"/>
    </row>
    <row r="40786" spans="25:25" hidden="1" x14ac:dyDescent="0.25">
      <c r="Y40786" s="501"/>
    </row>
    <row r="40787" spans="25:25" hidden="1" x14ac:dyDescent="0.25">
      <c r="Y40787" s="501"/>
    </row>
    <row r="40788" spans="25:25" hidden="1" x14ac:dyDescent="0.25">
      <c r="Y40788" s="501"/>
    </row>
    <row r="40789" spans="25:25" hidden="1" x14ac:dyDescent="0.25">
      <c r="Y40789" s="501"/>
    </row>
    <row r="40790" spans="25:25" hidden="1" x14ac:dyDescent="0.25">
      <c r="Y40790" s="501"/>
    </row>
    <row r="40791" spans="25:25" hidden="1" x14ac:dyDescent="0.25">
      <c r="Y40791" s="501"/>
    </row>
    <row r="40792" spans="25:25" hidden="1" x14ac:dyDescent="0.25">
      <c r="Y40792" s="501"/>
    </row>
    <row r="40793" spans="25:25" hidden="1" x14ac:dyDescent="0.25">
      <c r="Y40793" s="501"/>
    </row>
    <row r="40794" spans="25:25" hidden="1" x14ac:dyDescent="0.25">
      <c r="Y40794" s="501"/>
    </row>
    <row r="40795" spans="25:25" hidden="1" x14ac:dyDescent="0.25">
      <c r="Y40795" s="501"/>
    </row>
    <row r="40796" spans="25:25" hidden="1" x14ac:dyDescent="0.25">
      <c r="Y40796" s="501"/>
    </row>
    <row r="40797" spans="25:25" hidden="1" x14ac:dyDescent="0.25">
      <c r="Y40797" s="501"/>
    </row>
    <row r="40798" spans="25:25" hidden="1" x14ac:dyDescent="0.25">
      <c r="Y40798" s="501"/>
    </row>
    <row r="40799" spans="25:25" hidden="1" x14ac:dyDescent="0.25">
      <c r="Y40799" s="501"/>
    </row>
    <row r="40800" spans="25:25" hidden="1" x14ac:dyDescent="0.25">
      <c r="Y40800" s="501"/>
    </row>
    <row r="40801" spans="25:25" hidden="1" x14ac:dyDescent="0.25">
      <c r="Y40801" s="501"/>
    </row>
    <row r="40802" spans="25:25" hidden="1" x14ac:dyDescent="0.25">
      <c r="Y40802" s="501"/>
    </row>
    <row r="40803" spans="25:25" hidden="1" x14ac:dyDescent="0.25">
      <c r="Y40803" s="501"/>
    </row>
    <row r="40804" spans="25:25" hidden="1" x14ac:dyDescent="0.25">
      <c r="Y40804" s="501"/>
    </row>
    <row r="40805" spans="25:25" hidden="1" x14ac:dyDescent="0.25">
      <c r="Y40805" s="501"/>
    </row>
    <row r="40806" spans="25:25" hidden="1" x14ac:dyDescent="0.25">
      <c r="Y40806" s="501"/>
    </row>
    <row r="40807" spans="25:25" hidden="1" x14ac:dyDescent="0.25">
      <c r="Y40807" s="501"/>
    </row>
    <row r="40808" spans="25:25" hidden="1" x14ac:dyDescent="0.25">
      <c r="Y40808" s="501"/>
    </row>
    <row r="40809" spans="25:25" hidden="1" x14ac:dyDescent="0.25">
      <c r="Y40809" s="501"/>
    </row>
    <row r="40810" spans="25:25" hidden="1" x14ac:dyDescent="0.25">
      <c r="Y40810" s="501"/>
    </row>
    <row r="40811" spans="25:25" hidden="1" x14ac:dyDescent="0.25">
      <c r="Y40811" s="501"/>
    </row>
    <row r="40812" spans="25:25" hidden="1" x14ac:dyDescent="0.25">
      <c r="Y40812" s="501"/>
    </row>
    <row r="40813" spans="25:25" hidden="1" x14ac:dyDescent="0.25">
      <c r="Y40813" s="501"/>
    </row>
    <row r="40814" spans="25:25" hidden="1" x14ac:dyDescent="0.25">
      <c r="Y40814" s="501"/>
    </row>
    <row r="40815" spans="25:25" hidden="1" x14ac:dyDescent="0.25">
      <c r="Y40815" s="501"/>
    </row>
    <row r="40816" spans="25:25" hidden="1" x14ac:dyDescent="0.25">
      <c r="Y40816" s="501"/>
    </row>
    <row r="40817" spans="25:25" hidden="1" x14ac:dyDescent="0.25">
      <c r="Y40817" s="501"/>
    </row>
    <row r="40818" spans="25:25" hidden="1" x14ac:dyDescent="0.25">
      <c r="Y40818" s="501"/>
    </row>
    <row r="40819" spans="25:25" hidden="1" x14ac:dyDescent="0.25">
      <c r="Y40819" s="501"/>
    </row>
    <row r="40820" spans="25:25" hidden="1" x14ac:dyDescent="0.25">
      <c r="Y40820" s="501"/>
    </row>
    <row r="40821" spans="25:25" hidden="1" x14ac:dyDescent="0.25">
      <c r="Y40821" s="501"/>
    </row>
    <row r="40822" spans="25:25" hidden="1" x14ac:dyDescent="0.25">
      <c r="Y40822" s="501"/>
    </row>
    <row r="40823" spans="25:25" hidden="1" x14ac:dyDescent="0.25">
      <c r="Y40823" s="501"/>
    </row>
    <row r="40824" spans="25:25" hidden="1" x14ac:dyDescent="0.25">
      <c r="Y40824" s="501"/>
    </row>
    <row r="40825" spans="25:25" hidden="1" x14ac:dyDescent="0.25">
      <c r="Y40825" s="501"/>
    </row>
    <row r="40826" spans="25:25" hidden="1" x14ac:dyDescent="0.25">
      <c r="Y40826" s="501"/>
    </row>
    <row r="40827" spans="25:25" hidden="1" x14ac:dyDescent="0.25">
      <c r="Y40827" s="501"/>
    </row>
    <row r="40828" spans="25:25" hidden="1" x14ac:dyDescent="0.25">
      <c r="Y40828" s="501"/>
    </row>
    <row r="40829" spans="25:25" hidden="1" x14ac:dyDescent="0.25">
      <c r="Y40829" s="501"/>
    </row>
    <row r="40830" spans="25:25" hidden="1" x14ac:dyDescent="0.25">
      <c r="Y40830" s="501"/>
    </row>
    <row r="40831" spans="25:25" hidden="1" x14ac:dyDescent="0.25">
      <c r="Y40831" s="501"/>
    </row>
    <row r="40832" spans="25:25" hidden="1" x14ac:dyDescent="0.25">
      <c r="Y40832" s="501"/>
    </row>
    <row r="40833" spans="25:25" hidden="1" x14ac:dyDescent="0.25">
      <c r="Y40833" s="501"/>
    </row>
    <row r="40834" spans="25:25" hidden="1" x14ac:dyDescent="0.25">
      <c r="Y40834" s="501"/>
    </row>
    <row r="40835" spans="25:25" hidden="1" x14ac:dyDescent="0.25">
      <c r="Y40835" s="501"/>
    </row>
    <row r="40836" spans="25:25" hidden="1" x14ac:dyDescent="0.25">
      <c r="Y40836" s="501"/>
    </row>
    <row r="40837" spans="25:25" hidden="1" x14ac:dyDescent="0.25">
      <c r="Y40837" s="501"/>
    </row>
    <row r="40838" spans="25:25" hidden="1" x14ac:dyDescent="0.25">
      <c r="Y40838" s="501"/>
    </row>
    <row r="40839" spans="25:25" hidden="1" x14ac:dyDescent="0.25">
      <c r="Y40839" s="501"/>
    </row>
    <row r="40840" spans="25:25" hidden="1" x14ac:dyDescent="0.25">
      <c r="Y40840" s="501"/>
    </row>
    <row r="40841" spans="25:25" hidden="1" x14ac:dyDescent="0.25">
      <c r="Y40841" s="501"/>
    </row>
    <row r="40842" spans="25:25" hidden="1" x14ac:dyDescent="0.25">
      <c r="Y40842" s="501"/>
    </row>
    <row r="40843" spans="25:25" hidden="1" x14ac:dyDescent="0.25">
      <c r="Y40843" s="501"/>
    </row>
    <row r="40844" spans="25:25" hidden="1" x14ac:dyDescent="0.25">
      <c r="Y40844" s="501"/>
    </row>
    <row r="40845" spans="25:25" hidden="1" x14ac:dyDescent="0.25">
      <c r="Y40845" s="501"/>
    </row>
    <row r="40846" spans="25:25" hidden="1" x14ac:dyDescent="0.25">
      <c r="Y40846" s="501"/>
    </row>
    <row r="40847" spans="25:25" hidden="1" x14ac:dyDescent="0.25">
      <c r="Y40847" s="501"/>
    </row>
    <row r="40848" spans="25:25" hidden="1" x14ac:dyDescent="0.25">
      <c r="Y40848" s="501"/>
    </row>
    <row r="40849" spans="25:25" hidden="1" x14ac:dyDescent="0.25">
      <c r="Y40849" s="501"/>
    </row>
    <row r="40850" spans="25:25" hidden="1" x14ac:dyDescent="0.25">
      <c r="Y40850" s="501"/>
    </row>
    <row r="40851" spans="25:25" hidden="1" x14ac:dyDescent="0.25">
      <c r="Y40851" s="501"/>
    </row>
    <row r="40852" spans="25:25" hidden="1" x14ac:dyDescent="0.25">
      <c r="Y40852" s="501"/>
    </row>
    <row r="40853" spans="25:25" hidden="1" x14ac:dyDescent="0.25">
      <c r="Y40853" s="501"/>
    </row>
    <row r="40854" spans="25:25" hidden="1" x14ac:dyDescent="0.25">
      <c r="Y40854" s="501"/>
    </row>
    <row r="40855" spans="25:25" hidden="1" x14ac:dyDescent="0.25">
      <c r="Y40855" s="501"/>
    </row>
    <row r="40856" spans="25:25" hidden="1" x14ac:dyDescent="0.25">
      <c r="Y40856" s="501"/>
    </row>
    <row r="40857" spans="25:25" hidden="1" x14ac:dyDescent="0.25">
      <c r="Y40857" s="501"/>
    </row>
    <row r="40858" spans="25:25" hidden="1" x14ac:dyDescent="0.25">
      <c r="Y40858" s="501"/>
    </row>
    <row r="40859" spans="25:25" hidden="1" x14ac:dyDescent="0.25">
      <c r="Y40859" s="501"/>
    </row>
    <row r="40860" spans="25:25" hidden="1" x14ac:dyDescent="0.25">
      <c r="Y40860" s="501"/>
    </row>
    <row r="40861" spans="25:25" hidden="1" x14ac:dyDescent="0.25">
      <c r="Y40861" s="501"/>
    </row>
    <row r="40862" spans="25:25" hidden="1" x14ac:dyDescent="0.25">
      <c r="Y40862" s="501"/>
    </row>
    <row r="40863" spans="25:25" hidden="1" x14ac:dyDescent="0.25">
      <c r="Y40863" s="501"/>
    </row>
    <row r="40864" spans="25:25" hidden="1" x14ac:dyDescent="0.25">
      <c r="Y40864" s="501"/>
    </row>
    <row r="40865" spans="25:25" hidden="1" x14ac:dyDescent="0.25">
      <c r="Y40865" s="501"/>
    </row>
    <row r="40866" spans="25:25" hidden="1" x14ac:dyDescent="0.25">
      <c r="Y40866" s="501"/>
    </row>
    <row r="40867" spans="25:25" hidden="1" x14ac:dyDescent="0.25">
      <c r="Y40867" s="501"/>
    </row>
    <row r="40868" spans="25:25" hidden="1" x14ac:dyDescent="0.25">
      <c r="Y40868" s="501"/>
    </row>
    <row r="40869" spans="25:25" hidden="1" x14ac:dyDescent="0.25">
      <c r="Y40869" s="501"/>
    </row>
    <row r="40870" spans="25:25" hidden="1" x14ac:dyDescent="0.25">
      <c r="Y40870" s="501"/>
    </row>
    <row r="40871" spans="25:25" hidden="1" x14ac:dyDescent="0.25">
      <c r="Y40871" s="501"/>
    </row>
    <row r="40872" spans="25:25" hidden="1" x14ac:dyDescent="0.25">
      <c r="Y40872" s="501"/>
    </row>
    <row r="40873" spans="25:25" hidden="1" x14ac:dyDescent="0.25">
      <c r="Y40873" s="501"/>
    </row>
    <row r="40874" spans="25:25" hidden="1" x14ac:dyDescent="0.25">
      <c r="Y40874" s="501"/>
    </row>
    <row r="40875" spans="25:25" hidden="1" x14ac:dyDescent="0.25">
      <c r="Y40875" s="501"/>
    </row>
    <row r="40876" spans="25:25" hidden="1" x14ac:dyDescent="0.25">
      <c r="Y40876" s="501"/>
    </row>
    <row r="40877" spans="25:25" hidden="1" x14ac:dyDescent="0.25">
      <c r="Y40877" s="501"/>
    </row>
    <row r="40878" spans="25:25" hidden="1" x14ac:dyDescent="0.25">
      <c r="Y40878" s="501"/>
    </row>
    <row r="40879" spans="25:25" hidden="1" x14ac:dyDescent="0.25">
      <c r="Y40879" s="501"/>
    </row>
    <row r="40880" spans="25:25" hidden="1" x14ac:dyDescent="0.25">
      <c r="Y40880" s="501"/>
    </row>
    <row r="40881" spans="25:25" hidden="1" x14ac:dyDescent="0.25">
      <c r="Y40881" s="501"/>
    </row>
    <row r="40882" spans="25:25" hidden="1" x14ac:dyDescent="0.25">
      <c r="Y40882" s="501"/>
    </row>
    <row r="40883" spans="25:25" hidden="1" x14ac:dyDescent="0.25">
      <c r="Y40883" s="501"/>
    </row>
    <row r="40884" spans="25:25" hidden="1" x14ac:dyDescent="0.25">
      <c r="Y40884" s="501"/>
    </row>
    <row r="40885" spans="25:25" hidden="1" x14ac:dyDescent="0.25">
      <c r="Y40885" s="501"/>
    </row>
    <row r="40886" spans="25:25" hidden="1" x14ac:dyDescent="0.25">
      <c r="Y40886" s="501"/>
    </row>
    <row r="40887" spans="25:25" hidden="1" x14ac:dyDescent="0.25">
      <c r="Y40887" s="501"/>
    </row>
    <row r="40888" spans="25:25" hidden="1" x14ac:dyDescent="0.25">
      <c r="Y40888" s="501"/>
    </row>
    <row r="40889" spans="25:25" hidden="1" x14ac:dyDescent="0.25">
      <c r="Y40889" s="501"/>
    </row>
    <row r="40890" spans="25:25" hidden="1" x14ac:dyDescent="0.25">
      <c r="Y40890" s="501"/>
    </row>
    <row r="40891" spans="25:25" hidden="1" x14ac:dyDescent="0.25">
      <c r="Y40891" s="501"/>
    </row>
    <row r="40892" spans="25:25" hidden="1" x14ac:dyDescent="0.25">
      <c r="Y40892" s="501"/>
    </row>
    <row r="40893" spans="25:25" hidden="1" x14ac:dyDescent="0.25">
      <c r="Y40893" s="501"/>
    </row>
    <row r="40894" spans="25:25" hidden="1" x14ac:dyDescent="0.25">
      <c r="Y40894" s="501"/>
    </row>
    <row r="40895" spans="25:25" hidden="1" x14ac:dyDescent="0.25">
      <c r="Y40895" s="501"/>
    </row>
    <row r="40896" spans="25:25" hidden="1" x14ac:dyDescent="0.25">
      <c r="Y40896" s="501"/>
    </row>
    <row r="40897" spans="25:25" hidden="1" x14ac:dyDescent="0.25">
      <c r="Y40897" s="501"/>
    </row>
    <row r="40898" spans="25:25" hidden="1" x14ac:dyDescent="0.25">
      <c r="Y40898" s="501"/>
    </row>
    <row r="40899" spans="25:25" hidden="1" x14ac:dyDescent="0.25">
      <c r="Y40899" s="501"/>
    </row>
    <row r="40900" spans="25:25" hidden="1" x14ac:dyDescent="0.25">
      <c r="Y40900" s="501"/>
    </row>
    <row r="40901" spans="25:25" hidden="1" x14ac:dyDescent="0.25">
      <c r="Y40901" s="501"/>
    </row>
    <row r="40902" spans="25:25" hidden="1" x14ac:dyDescent="0.25">
      <c r="Y40902" s="501"/>
    </row>
    <row r="40903" spans="25:25" hidden="1" x14ac:dyDescent="0.25">
      <c r="Y40903" s="501"/>
    </row>
    <row r="40904" spans="25:25" hidden="1" x14ac:dyDescent="0.25">
      <c r="Y40904" s="501"/>
    </row>
    <row r="40905" spans="25:25" hidden="1" x14ac:dyDescent="0.25">
      <c r="Y40905" s="501"/>
    </row>
    <row r="40906" spans="25:25" hidden="1" x14ac:dyDescent="0.25">
      <c r="Y40906" s="501"/>
    </row>
    <row r="40907" spans="25:25" hidden="1" x14ac:dyDescent="0.25">
      <c r="Y40907" s="501"/>
    </row>
    <row r="40908" spans="25:25" hidden="1" x14ac:dyDescent="0.25">
      <c r="Y40908" s="501"/>
    </row>
    <row r="40909" spans="25:25" hidden="1" x14ac:dyDescent="0.25">
      <c r="Y40909" s="501"/>
    </row>
    <row r="40910" spans="25:25" hidden="1" x14ac:dyDescent="0.25">
      <c r="Y40910" s="501"/>
    </row>
    <row r="40911" spans="25:25" hidden="1" x14ac:dyDescent="0.25">
      <c r="Y40911" s="501"/>
    </row>
    <row r="40912" spans="25:25" hidden="1" x14ac:dyDescent="0.25">
      <c r="Y40912" s="501"/>
    </row>
    <row r="40913" spans="25:25" hidden="1" x14ac:dyDescent="0.25">
      <c r="Y40913" s="501"/>
    </row>
    <row r="40914" spans="25:25" hidden="1" x14ac:dyDescent="0.25">
      <c r="Y40914" s="501"/>
    </row>
    <row r="40915" spans="25:25" hidden="1" x14ac:dyDescent="0.25">
      <c r="Y40915" s="501"/>
    </row>
    <row r="40916" spans="25:25" hidden="1" x14ac:dyDescent="0.25">
      <c r="Y40916" s="501"/>
    </row>
    <row r="40917" spans="25:25" hidden="1" x14ac:dyDescent="0.25">
      <c r="Y40917" s="501"/>
    </row>
    <row r="40918" spans="25:25" hidden="1" x14ac:dyDescent="0.25">
      <c r="Y40918" s="501"/>
    </row>
    <row r="40919" spans="25:25" hidden="1" x14ac:dyDescent="0.25">
      <c r="Y40919" s="501"/>
    </row>
    <row r="40920" spans="25:25" hidden="1" x14ac:dyDescent="0.25">
      <c r="Y40920" s="501"/>
    </row>
    <row r="40921" spans="25:25" hidden="1" x14ac:dyDescent="0.25">
      <c r="Y40921" s="501"/>
    </row>
    <row r="40922" spans="25:25" hidden="1" x14ac:dyDescent="0.25">
      <c r="Y40922" s="501"/>
    </row>
    <row r="40923" spans="25:25" hidden="1" x14ac:dyDescent="0.25">
      <c r="Y40923" s="501"/>
    </row>
    <row r="40924" spans="25:25" hidden="1" x14ac:dyDescent="0.25">
      <c r="Y40924" s="501"/>
    </row>
    <row r="40925" spans="25:25" hidden="1" x14ac:dyDescent="0.25">
      <c r="Y40925" s="501"/>
    </row>
    <row r="40926" spans="25:25" hidden="1" x14ac:dyDescent="0.25">
      <c r="Y40926" s="501"/>
    </row>
    <row r="40927" spans="25:25" hidden="1" x14ac:dyDescent="0.25">
      <c r="Y40927" s="501"/>
    </row>
    <row r="40928" spans="25:25" hidden="1" x14ac:dyDescent="0.25">
      <c r="Y40928" s="501"/>
    </row>
    <row r="40929" spans="25:25" hidden="1" x14ac:dyDescent="0.25">
      <c r="Y40929" s="501"/>
    </row>
    <row r="40930" spans="25:25" hidden="1" x14ac:dyDescent="0.25">
      <c r="Y40930" s="501"/>
    </row>
    <row r="40931" spans="25:25" hidden="1" x14ac:dyDescent="0.25">
      <c r="Y40931" s="501"/>
    </row>
    <row r="40932" spans="25:25" hidden="1" x14ac:dyDescent="0.25">
      <c r="Y40932" s="501"/>
    </row>
    <row r="40933" spans="25:25" hidden="1" x14ac:dyDescent="0.25">
      <c r="Y40933" s="501"/>
    </row>
    <row r="40934" spans="25:25" hidden="1" x14ac:dyDescent="0.25">
      <c r="Y40934" s="501"/>
    </row>
    <row r="40935" spans="25:25" hidden="1" x14ac:dyDescent="0.25">
      <c r="Y40935" s="501"/>
    </row>
    <row r="40936" spans="25:25" hidden="1" x14ac:dyDescent="0.25">
      <c r="Y40936" s="501"/>
    </row>
    <row r="40937" spans="25:25" hidden="1" x14ac:dyDescent="0.25">
      <c r="Y40937" s="501"/>
    </row>
    <row r="40938" spans="25:25" hidden="1" x14ac:dyDescent="0.25">
      <c r="Y40938" s="501"/>
    </row>
    <row r="40939" spans="25:25" hidden="1" x14ac:dyDescent="0.25">
      <c r="Y40939" s="501"/>
    </row>
    <row r="40940" spans="25:25" hidden="1" x14ac:dyDescent="0.25">
      <c r="Y40940" s="501"/>
    </row>
    <row r="40941" spans="25:25" hidden="1" x14ac:dyDescent="0.25">
      <c r="Y40941" s="501"/>
    </row>
    <row r="40942" spans="25:25" hidden="1" x14ac:dyDescent="0.25">
      <c r="Y40942" s="501"/>
    </row>
    <row r="40943" spans="25:25" hidden="1" x14ac:dyDescent="0.25">
      <c r="Y40943" s="501"/>
    </row>
    <row r="40944" spans="25:25" hidden="1" x14ac:dyDescent="0.25">
      <c r="Y40944" s="501"/>
    </row>
    <row r="40945" spans="25:25" hidden="1" x14ac:dyDescent="0.25">
      <c r="Y40945" s="501"/>
    </row>
    <row r="40946" spans="25:25" hidden="1" x14ac:dyDescent="0.25">
      <c r="Y40946" s="501"/>
    </row>
    <row r="40947" spans="25:25" hidden="1" x14ac:dyDescent="0.25">
      <c r="Y40947" s="501"/>
    </row>
    <row r="40948" spans="25:25" hidden="1" x14ac:dyDescent="0.25">
      <c r="Y40948" s="501"/>
    </row>
    <row r="40949" spans="25:25" hidden="1" x14ac:dyDescent="0.25">
      <c r="Y40949" s="501"/>
    </row>
    <row r="40950" spans="25:25" hidden="1" x14ac:dyDescent="0.25">
      <c r="Y40950" s="501"/>
    </row>
    <row r="40951" spans="25:25" hidden="1" x14ac:dyDescent="0.25">
      <c r="Y40951" s="501"/>
    </row>
    <row r="40952" spans="25:25" hidden="1" x14ac:dyDescent="0.25">
      <c r="Y40952" s="501"/>
    </row>
    <row r="40953" spans="25:25" hidden="1" x14ac:dyDescent="0.25">
      <c r="Y40953" s="501"/>
    </row>
    <row r="40954" spans="25:25" hidden="1" x14ac:dyDescent="0.25">
      <c r="Y40954" s="501"/>
    </row>
    <row r="40955" spans="25:25" hidden="1" x14ac:dyDescent="0.25">
      <c r="Y40955" s="501"/>
    </row>
    <row r="40956" spans="25:25" hidden="1" x14ac:dyDescent="0.25">
      <c r="Y40956" s="501"/>
    </row>
    <row r="40957" spans="25:25" hidden="1" x14ac:dyDescent="0.25">
      <c r="Y40957" s="501"/>
    </row>
    <row r="40958" spans="25:25" hidden="1" x14ac:dyDescent="0.25">
      <c r="Y40958" s="501"/>
    </row>
    <row r="40959" spans="25:25" hidden="1" x14ac:dyDescent="0.25">
      <c r="Y40959" s="501"/>
    </row>
    <row r="40960" spans="25:25" hidden="1" x14ac:dyDescent="0.25">
      <c r="Y40960" s="501"/>
    </row>
    <row r="40961" spans="25:25" hidden="1" x14ac:dyDescent="0.25">
      <c r="Y40961" s="501"/>
    </row>
    <row r="40962" spans="25:25" hidden="1" x14ac:dyDescent="0.25">
      <c r="Y40962" s="501"/>
    </row>
    <row r="40963" spans="25:25" hidden="1" x14ac:dyDescent="0.25">
      <c r="Y40963" s="501"/>
    </row>
    <row r="40964" spans="25:25" hidden="1" x14ac:dyDescent="0.25">
      <c r="Y40964" s="501"/>
    </row>
    <row r="40965" spans="25:25" hidden="1" x14ac:dyDescent="0.25">
      <c r="Y40965" s="501"/>
    </row>
    <row r="40966" spans="25:25" hidden="1" x14ac:dyDescent="0.25">
      <c r="Y40966" s="501"/>
    </row>
    <row r="40967" spans="25:25" hidden="1" x14ac:dyDescent="0.25">
      <c r="Y40967" s="501"/>
    </row>
    <row r="40968" spans="25:25" hidden="1" x14ac:dyDescent="0.25">
      <c r="Y40968" s="501"/>
    </row>
    <row r="40969" spans="25:25" hidden="1" x14ac:dyDescent="0.25">
      <c r="Y40969" s="501"/>
    </row>
    <row r="40970" spans="25:25" hidden="1" x14ac:dyDescent="0.25">
      <c r="Y40970" s="501"/>
    </row>
    <row r="40971" spans="25:25" hidden="1" x14ac:dyDescent="0.25">
      <c r="Y40971" s="501"/>
    </row>
    <row r="40972" spans="25:25" hidden="1" x14ac:dyDescent="0.25">
      <c r="Y40972" s="501"/>
    </row>
    <row r="40973" spans="25:25" hidden="1" x14ac:dyDescent="0.25">
      <c r="Y40973" s="501"/>
    </row>
    <row r="40974" spans="25:25" hidden="1" x14ac:dyDescent="0.25">
      <c r="Y40974" s="501"/>
    </row>
    <row r="40975" spans="25:25" hidden="1" x14ac:dyDescent="0.25">
      <c r="Y40975" s="501"/>
    </row>
    <row r="40976" spans="25:25" hidden="1" x14ac:dyDescent="0.25">
      <c r="Y40976" s="501"/>
    </row>
    <row r="40977" spans="25:25" hidden="1" x14ac:dyDescent="0.25">
      <c r="Y40977" s="501"/>
    </row>
    <row r="40978" spans="25:25" hidden="1" x14ac:dyDescent="0.25">
      <c r="Y40978" s="501"/>
    </row>
    <row r="40979" spans="25:25" hidden="1" x14ac:dyDescent="0.25">
      <c r="Y40979" s="501"/>
    </row>
    <row r="40980" spans="25:25" hidden="1" x14ac:dyDescent="0.25">
      <c r="Y40980" s="501"/>
    </row>
    <row r="40981" spans="25:25" hidden="1" x14ac:dyDescent="0.25">
      <c r="Y40981" s="501"/>
    </row>
    <row r="40982" spans="25:25" hidden="1" x14ac:dyDescent="0.25">
      <c r="Y40982" s="501"/>
    </row>
    <row r="40983" spans="25:25" hidden="1" x14ac:dyDescent="0.25">
      <c r="Y40983" s="501"/>
    </row>
    <row r="40984" spans="25:25" hidden="1" x14ac:dyDescent="0.25">
      <c r="Y40984" s="501"/>
    </row>
    <row r="40985" spans="25:25" hidden="1" x14ac:dyDescent="0.25">
      <c r="Y40985" s="501"/>
    </row>
    <row r="40986" spans="25:25" hidden="1" x14ac:dyDescent="0.25">
      <c r="Y40986" s="501"/>
    </row>
    <row r="40987" spans="25:25" hidden="1" x14ac:dyDescent="0.25">
      <c r="Y40987" s="501"/>
    </row>
    <row r="40988" spans="25:25" hidden="1" x14ac:dyDescent="0.25">
      <c r="Y40988" s="501"/>
    </row>
    <row r="40989" spans="25:25" hidden="1" x14ac:dyDescent="0.25">
      <c r="Y40989" s="501"/>
    </row>
    <row r="40990" spans="25:25" hidden="1" x14ac:dyDescent="0.25">
      <c r="Y40990" s="501"/>
    </row>
    <row r="40991" spans="25:25" hidden="1" x14ac:dyDescent="0.25">
      <c r="Y40991" s="501"/>
    </row>
    <row r="40992" spans="25:25" hidden="1" x14ac:dyDescent="0.25">
      <c r="Y40992" s="501"/>
    </row>
    <row r="40993" spans="25:25" hidden="1" x14ac:dyDescent="0.25">
      <c r="Y40993" s="501"/>
    </row>
    <row r="40994" spans="25:25" hidden="1" x14ac:dyDescent="0.25">
      <c r="Y40994" s="501"/>
    </row>
    <row r="40995" spans="25:25" hidden="1" x14ac:dyDescent="0.25">
      <c r="Y40995" s="501"/>
    </row>
    <row r="40996" spans="25:25" hidden="1" x14ac:dyDescent="0.25">
      <c r="Y40996" s="501"/>
    </row>
    <row r="40997" spans="25:25" hidden="1" x14ac:dyDescent="0.25">
      <c r="Y40997" s="501"/>
    </row>
    <row r="40998" spans="25:25" hidden="1" x14ac:dyDescent="0.25">
      <c r="Y40998" s="501"/>
    </row>
    <row r="40999" spans="25:25" hidden="1" x14ac:dyDescent="0.25">
      <c r="Y40999" s="501"/>
    </row>
    <row r="41000" spans="25:25" hidden="1" x14ac:dyDescent="0.25">
      <c r="Y41000" s="501"/>
    </row>
    <row r="41001" spans="25:25" hidden="1" x14ac:dyDescent="0.25">
      <c r="Y41001" s="501"/>
    </row>
    <row r="41002" spans="25:25" hidden="1" x14ac:dyDescent="0.25">
      <c r="Y41002" s="501"/>
    </row>
    <row r="41003" spans="25:25" hidden="1" x14ac:dyDescent="0.25">
      <c r="Y41003" s="501"/>
    </row>
    <row r="41004" spans="25:25" hidden="1" x14ac:dyDescent="0.25">
      <c r="Y41004" s="501"/>
    </row>
    <row r="41005" spans="25:25" hidden="1" x14ac:dyDescent="0.25">
      <c r="Y41005" s="501"/>
    </row>
    <row r="41006" spans="25:25" hidden="1" x14ac:dyDescent="0.25">
      <c r="Y41006" s="501"/>
    </row>
    <row r="41007" spans="25:25" hidden="1" x14ac:dyDescent="0.25">
      <c r="Y41007" s="501"/>
    </row>
    <row r="41008" spans="25:25" hidden="1" x14ac:dyDescent="0.25">
      <c r="Y41008" s="501"/>
    </row>
    <row r="41009" spans="25:25" hidden="1" x14ac:dyDescent="0.25">
      <c r="Y41009" s="501"/>
    </row>
    <row r="41010" spans="25:25" hidden="1" x14ac:dyDescent="0.25">
      <c r="Y41010" s="501"/>
    </row>
    <row r="41011" spans="25:25" hidden="1" x14ac:dyDescent="0.25">
      <c r="Y41011" s="501"/>
    </row>
    <row r="41012" spans="25:25" hidden="1" x14ac:dyDescent="0.25">
      <c r="Y41012" s="501"/>
    </row>
    <row r="41013" spans="25:25" hidden="1" x14ac:dyDescent="0.25">
      <c r="Y41013" s="501"/>
    </row>
    <row r="41014" spans="25:25" hidden="1" x14ac:dyDescent="0.25">
      <c r="Y41014" s="501"/>
    </row>
    <row r="41015" spans="25:25" hidden="1" x14ac:dyDescent="0.25">
      <c r="Y41015" s="501"/>
    </row>
    <row r="41016" spans="25:25" hidden="1" x14ac:dyDescent="0.25">
      <c r="Y41016" s="501"/>
    </row>
    <row r="41017" spans="25:25" hidden="1" x14ac:dyDescent="0.25">
      <c r="Y41017" s="501"/>
    </row>
    <row r="41018" spans="25:25" hidden="1" x14ac:dyDescent="0.25">
      <c r="Y41018" s="501"/>
    </row>
    <row r="41019" spans="25:25" hidden="1" x14ac:dyDescent="0.25">
      <c r="Y41019" s="501"/>
    </row>
    <row r="41020" spans="25:25" hidden="1" x14ac:dyDescent="0.25">
      <c r="Y41020" s="501"/>
    </row>
    <row r="41021" spans="25:25" hidden="1" x14ac:dyDescent="0.25">
      <c r="Y41021" s="501"/>
    </row>
    <row r="41022" spans="25:25" hidden="1" x14ac:dyDescent="0.25">
      <c r="Y41022" s="501"/>
    </row>
    <row r="41023" spans="25:25" hidden="1" x14ac:dyDescent="0.25">
      <c r="Y41023" s="501"/>
    </row>
    <row r="41024" spans="25:25" hidden="1" x14ac:dyDescent="0.25">
      <c r="Y41024" s="501"/>
    </row>
    <row r="41025" spans="25:25" hidden="1" x14ac:dyDescent="0.25">
      <c r="Y41025" s="501"/>
    </row>
    <row r="41026" spans="25:25" hidden="1" x14ac:dyDescent="0.25">
      <c r="Y41026" s="501"/>
    </row>
    <row r="41027" spans="25:25" hidden="1" x14ac:dyDescent="0.25">
      <c r="Y41027" s="501"/>
    </row>
    <row r="41028" spans="25:25" hidden="1" x14ac:dyDescent="0.25">
      <c r="Y41028" s="501"/>
    </row>
    <row r="41029" spans="25:25" hidden="1" x14ac:dyDescent="0.25">
      <c r="Y41029" s="501"/>
    </row>
    <row r="41030" spans="25:25" hidden="1" x14ac:dyDescent="0.25">
      <c r="Y41030" s="501"/>
    </row>
    <row r="41031" spans="25:25" hidden="1" x14ac:dyDescent="0.25">
      <c r="Y41031" s="501"/>
    </row>
    <row r="41032" spans="25:25" hidden="1" x14ac:dyDescent="0.25">
      <c r="Y41032" s="501"/>
    </row>
    <row r="41033" spans="25:25" hidden="1" x14ac:dyDescent="0.25">
      <c r="Y41033" s="501"/>
    </row>
    <row r="41034" spans="25:25" hidden="1" x14ac:dyDescent="0.25">
      <c r="Y41034" s="501"/>
    </row>
    <row r="41035" spans="25:25" hidden="1" x14ac:dyDescent="0.25">
      <c r="Y41035" s="501"/>
    </row>
    <row r="41036" spans="25:25" hidden="1" x14ac:dyDescent="0.25">
      <c r="Y41036" s="501"/>
    </row>
    <row r="41037" spans="25:25" hidden="1" x14ac:dyDescent="0.25">
      <c r="Y41037" s="501"/>
    </row>
    <row r="41038" spans="25:25" hidden="1" x14ac:dyDescent="0.25">
      <c r="Y41038" s="501"/>
    </row>
    <row r="41039" spans="25:25" hidden="1" x14ac:dyDescent="0.25">
      <c r="Y41039" s="501"/>
    </row>
    <row r="41040" spans="25:25" hidden="1" x14ac:dyDescent="0.25">
      <c r="Y41040" s="501"/>
    </row>
    <row r="41041" spans="25:25" hidden="1" x14ac:dyDescent="0.25">
      <c r="Y41041" s="501"/>
    </row>
    <row r="41042" spans="25:25" hidden="1" x14ac:dyDescent="0.25">
      <c r="Y41042" s="501"/>
    </row>
    <row r="41043" spans="25:25" hidden="1" x14ac:dyDescent="0.25">
      <c r="Y41043" s="501"/>
    </row>
    <row r="41044" spans="25:25" hidden="1" x14ac:dyDescent="0.25">
      <c r="Y41044" s="501"/>
    </row>
    <row r="41045" spans="25:25" hidden="1" x14ac:dyDescent="0.25">
      <c r="Y41045" s="501"/>
    </row>
    <row r="41046" spans="25:25" hidden="1" x14ac:dyDescent="0.25">
      <c r="Y41046" s="501"/>
    </row>
    <row r="41047" spans="25:25" hidden="1" x14ac:dyDescent="0.25">
      <c r="Y41047" s="501"/>
    </row>
    <row r="41048" spans="25:25" hidden="1" x14ac:dyDescent="0.25">
      <c r="Y41048" s="501"/>
    </row>
    <row r="41049" spans="25:25" hidden="1" x14ac:dyDescent="0.25">
      <c r="Y41049" s="501"/>
    </row>
    <row r="41050" spans="25:25" hidden="1" x14ac:dyDescent="0.25">
      <c r="Y41050" s="501"/>
    </row>
    <row r="41051" spans="25:25" hidden="1" x14ac:dyDescent="0.25">
      <c r="Y41051" s="501"/>
    </row>
    <row r="41052" spans="25:25" hidden="1" x14ac:dyDescent="0.25">
      <c r="Y41052" s="501"/>
    </row>
    <row r="41053" spans="25:25" hidden="1" x14ac:dyDescent="0.25">
      <c r="Y41053" s="501"/>
    </row>
    <row r="41054" spans="25:25" hidden="1" x14ac:dyDescent="0.25">
      <c r="Y41054" s="501"/>
    </row>
    <row r="41055" spans="25:25" hidden="1" x14ac:dyDescent="0.25">
      <c r="Y41055" s="501"/>
    </row>
    <row r="41056" spans="25:25" hidden="1" x14ac:dyDescent="0.25">
      <c r="Y41056" s="501"/>
    </row>
    <row r="41057" spans="25:25" hidden="1" x14ac:dyDescent="0.25">
      <c r="Y41057" s="501"/>
    </row>
    <row r="41058" spans="25:25" hidden="1" x14ac:dyDescent="0.25">
      <c r="Y41058" s="501"/>
    </row>
    <row r="41059" spans="25:25" hidden="1" x14ac:dyDescent="0.25">
      <c r="Y41059" s="501"/>
    </row>
    <row r="41060" spans="25:25" hidden="1" x14ac:dyDescent="0.25">
      <c r="Y41060" s="501"/>
    </row>
    <row r="41061" spans="25:25" hidden="1" x14ac:dyDescent="0.25">
      <c r="Y41061" s="501"/>
    </row>
    <row r="41062" spans="25:25" hidden="1" x14ac:dyDescent="0.25">
      <c r="Y41062" s="501"/>
    </row>
    <row r="41063" spans="25:25" hidden="1" x14ac:dyDescent="0.25">
      <c r="Y41063" s="501"/>
    </row>
    <row r="41064" spans="25:25" hidden="1" x14ac:dyDescent="0.25">
      <c r="Y41064" s="501"/>
    </row>
    <row r="41065" spans="25:25" hidden="1" x14ac:dyDescent="0.25">
      <c r="Y41065" s="501"/>
    </row>
    <row r="41066" spans="25:25" hidden="1" x14ac:dyDescent="0.25">
      <c r="Y41066" s="501"/>
    </row>
    <row r="41067" spans="25:25" hidden="1" x14ac:dyDescent="0.25">
      <c r="Y41067" s="501"/>
    </row>
    <row r="41068" spans="25:25" hidden="1" x14ac:dyDescent="0.25">
      <c r="Y41068" s="501"/>
    </row>
    <row r="41069" spans="25:25" hidden="1" x14ac:dyDescent="0.25">
      <c r="Y41069" s="501"/>
    </row>
    <row r="41070" spans="25:25" hidden="1" x14ac:dyDescent="0.25">
      <c r="Y41070" s="501"/>
    </row>
    <row r="41071" spans="25:25" hidden="1" x14ac:dyDescent="0.25">
      <c r="Y41071" s="501"/>
    </row>
    <row r="41072" spans="25:25" hidden="1" x14ac:dyDescent="0.25">
      <c r="Y41072" s="501"/>
    </row>
    <row r="41073" spans="25:25" hidden="1" x14ac:dyDescent="0.25">
      <c r="Y41073" s="501"/>
    </row>
    <row r="41074" spans="25:25" hidden="1" x14ac:dyDescent="0.25">
      <c r="Y41074" s="501"/>
    </row>
    <row r="41075" spans="25:25" hidden="1" x14ac:dyDescent="0.25">
      <c r="Y41075" s="501"/>
    </row>
    <row r="41076" spans="25:25" hidden="1" x14ac:dyDescent="0.25">
      <c r="Y41076" s="501"/>
    </row>
    <row r="41077" spans="25:25" hidden="1" x14ac:dyDescent="0.25">
      <c r="Y41077" s="501"/>
    </row>
    <row r="41078" spans="25:25" hidden="1" x14ac:dyDescent="0.25">
      <c r="Y41078" s="501"/>
    </row>
    <row r="41079" spans="25:25" hidden="1" x14ac:dyDescent="0.25">
      <c r="Y41079" s="501"/>
    </row>
    <row r="41080" spans="25:25" hidden="1" x14ac:dyDescent="0.25">
      <c r="Y41080" s="501"/>
    </row>
    <row r="41081" spans="25:25" hidden="1" x14ac:dyDescent="0.25">
      <c r="Y41081" s="501"/>
    </row>
    <row r="41082" spans="25:25" hidden="1" x14ac:dyDescent="0.25">
      <c r="Y41082" s="501"/>
    </row>
    <row r="41083" spans="25:25" hidden="1" x14ac:dyDescent="0.25">
      <c r="Y41083" s="501"/>
    </row>
    <row r="41084" spans="25:25" hidden="1" x14ac:dyDescent="0.25">
      <c r="Y41084" s="501"/>
    </row>
    <row r="41085" spans="25:25" hidden="1" x14ac:dyDescent="0.25">
      <c r="Y41085" s="501"/>
    </row>
    <row r="41086" spans="25:25" hidden="1" x14ac:dyDescent="0.25">
      <c r="Y41086" s="501"/>
    </row>
    <row r="41087" spans="25:25" hidden="1" x14ac:dyDescent="0.25">
      <c r="Y41087" s="501"/>
    </row>
    <row r="41088" spans="25:25" hidden="1" x14ac:dyDescent="0.25">
      <c r="Y41088" s="501"/>
    </row>
    <row r="41089" spans="25:25" hidden="1" x14ac:dyDescent="0.25">
      <c r="Y41089" s="501"/>
    </row>
    <row r="41090" spans="25:25" hidden="1" x14ac:dyDescent="0.25">
      <c r="Y41090" s="501"/>
    </row>
    <row r="41091" spans="25:25" hidden="1" x14ac:dyDescent="0.25">
      <c r="Y41091" s="501"/>
    </row>
    <row r="41092" spans="25:25" hidden="1" x14ac:dyDescent="0.25">
      <c r="Y41092" s="501"/>
    </row>
    <row r="41093" spans="25:25" hidden="1" x14ac:dyDescent="0.25">
      <c r="Y41093" s="501"/>
    </row>
    <row r="41094" spans="25:25" hidden="1" x14ac:dyDescent="0.25">
      <c r="Y41094" s="501"/>
    </row>
    <row r="41095" spans="25:25" hidden="1" x14ac:dyDescent="0.25">
      <c r="Y41095" s="501"/>
    </row>
    <row r="41096" spans="25:25" hidden="1" x14ac:dyDescent="0.25">
      <c r="Y41096" s="501"/>
    </row>
    <row r="41097" spans="25:25" hidden="1" x14ac:dyDescent="0.25">
      <c r="Y41097" s="501"/>
    </row>
    <row r="41098" spans="25:25" hidden="1" x14ac:dyDescent="0.25">
      <c r="Y41098" s="501"/>
    </row>
    <row r="41099" spans="25:25" hidden="1" x14ac:dyDescent="0.25">
      <c r="Y41099" s="501"/>
    </row>
    <row r="41100" spans="25:25" hidden="1" x14ac:dyDescent="0.25">
      <c r="Y41100" s="501"/>
    </row>
    <row r="41101" spans="25:25" hidden="1" x14ac:dyDescent="0.25">
      <c r="Y41101" s="501"/>
    </row>
    <row r="41102" spans="25:25" hidden="1" x14ac:dyDescent="0.25">
      <c r="Y41102" s="501"/>
    </row>
    <row r="41103" spans="25:25" hidden="1" x14ac:dyDescent="0.25">
      <c r="Y41103" s="501"/>
    </row>
    <row r="41104" spans="25:25" hidden="1" x14ac:dyDescent="0.25">
      <c r="Y41104" s="501"/>
    </row>
    <row r="41105" spans="25:25" hidden="1" x14ac:dyDescent="0.25">
      <c r="Y41105" s="501"/>
    </row>
    <row r="41106" spans="25:25" hidden="1" x14ac:dyDescent="0.25">
      <c r="Y41106" s="501"/>
    </row>
    <row r="41107" spans="25:25" hidden="1" x14ac:dyDescent="0.25">
      <c r="Y41107" s="501"/>
    </row>
    <row r="41108" spans="25:25" hidden="1" x14ac:dyDescent="0.25">
      <c r="Y41108" s="501"/>
    </row>
    <row r="41109" spans="25:25" hidden="1" x14ac:dyDescent="0.25">
      <c r="Y41109" s="501"/>
    </row>
    <row r="41110" spans="25:25" hidden="1" x14ac:dyDescent="0.25">
      <c r="Y41110" s="501"/>
    </row>
    <row r="41111" spans="25:25" hidden="1" x14ac:dyDescent="0.25">
      <c r="Y41111" s="501"/>
    </row>
    <row r="41112" spans="25:25" hidden="1" x14ac:dyDescent="0.25">
      <c r="Y41112" s="501"/>
    </row>
    <row r="41113" spans="25:25" hidden="1" x14ac:dyDescent="0.25">
      <c r="Y41113" s="501"/>
    </row>
    <row r="41114" spans="25:25" hidden="1" x14ac:dyDescent="0.25">
      <c r="Y41114" s="501"/>
    </row>
    <row r="41115" spans="25:25" hidden="1" x14ac:dyDescent="0.25">
      <c r="Y41115" s="501"/>
    </row>
    <row r="41116" spans="25:25" hidden="1" x14ac:dyDescent="0.25">
      <c r="Y41116" s="501"/>
    </row>
    <row r="41117" spans="25:25" hidden="1" x14ac:dyDescent="0.25">
      <c r="Y41117" s="501"/>
    </row>
    <row r="41118" spans="25:25" hidden="1" x14ac:dyDescent="0.25">
      <c r="Y41118" s="501"/>
    </row>
    <row r="41119" spans="25:25" hidden="1" x14ac:dyDescent="0.25">
      <c r="Y41119" s="501"/>
    </row>
    <row r="41120" spans="25:25" hidden="1" x14ac:dyDescent="0.25">
      <c r="Y41120" s="501"/>
    </row>
    <row r="41121" spans="25:25" hidden="1" x14ac:dyDescent="0.25">
      <c r="Y41121" s="501"/>
    </row>
    <row r="41122" spans="25:25" hidden="1" x14ac:dyDescent="0.25">
      <c r="Y41122" s="501"/>
    </row>
    <row r="41123" spans="25:25" hidden="1" x14ac:dyDescent="0.25">
      <c r="Y41123" s="501"/>
    </row>
    <row r="41124" spans="25:25" hidden="1" x14ac:dyDescent="0.25">
      <c r="Y41124" s="501"/>
    </row>
    <row r="41125" spans="25:25" hidden="1" x14ac:dyDescent="0.25">
      <c r="Y41125" s="501"/>
    </row>
    <row r="41126" spans="25:25" hidden="1" x14ac:dyDescent="0.25">
      <c r="Y41126" s="501"/>
    </row>
    <row r="41127" spans="25:25" hidden="1" x14ac:dyDescent="0.25">
      <c r="Y41127" s="501"/>
    </row>
    <row r="41128" spans="25:25" hidden="1" x14ac:dyDescent="0.25">
      <c r="Y41128" s="501"/>
    </row>
    <row r="41129" spans="25:25" hidden="1" x14ac:dyDescent="0.25">
      <c r="Y41129" s="501"/>
    </row>
    <row r="41130" spans="25:25" hidden="1" x14ac:dyDescent="0.25">
      <c r="Y41130" s="501"/>
    </row>
    <row r="41131" spans="25:25" hidden="1" x14ac:dyDescent="0.25">
      <c r="Y41131" s="501"/>
    </row>
    <row r="41132" spans="25:25" hidden="1" x14ac:dyDescent="0.25">
      <c r="Y41132" s="501"/>
    </row>
    <row r="41133" spans="25:25" hidden="1" x14ac:dyDescent="0.25">
      <c r="Y41133" s="501"/>
    </row>
    <row r="41134" spans="25:25" hidden="1" x14ac:dyDescent="0.25">
      <c r="Y41134" s="501"/>
    </row>
    <row r="41135" spans="25:25" hidden="1" x14ac:dyDescent="0.25">
      <c r="Y41135" s="501"/>
    </row>
    <row r="41136" spans="25:25" hidden="1" x14ac:dyDescent="0.25">
      <c r="Y41136" s="501"/>
    </row>
    <row r="41137" spans="25:25" hidden="1" x14ac:dyDescent="0.25">
      <c r="Y41137" s="501"/>
    </row>
    <row r="41138" spans="25:25" hidden="1" x14ac:dyDescent="0.25">
      <c r="Y41138" s="501"/>
    </row>
    <row r="41139" spans="25:25" hidden="1" x14ac:dyDescent="0.25">
      <c r="Y41139" s="501"/>
    </row>
    <row r="41140" spans="25:25" hidden="1" x14ac:dyDescent="0.25">
      <c r="Y41140" s="501"/>
    </row>
    <row r="41141" spans="25:25" hidden="1" x14ac:dyDescent="0.25">
      <c r="Y41141" s="501"/>
    </row>
    <row r="41142" spans="25:25" hidden="1" x14ac:dyDescent="0.25">
      <c r="Y41142" s="501"/>
    </row>
    <row r="41143" spans="25:25" hidden="1" x14ac:dyDescent="0.25">
      <c r="Y41143" s="501"/>
    </row>
    <row r="41144" spans="25:25" hidden="1" x14ac:dyDescent="0.25">
      <c r="Y41144" s="501"/>
    </row>
    <row r="41145" spans="25:25" hidden="1" x14ac:dyDescent="0.25">
      <c r="Y41145" s="501"/>
    </row>
    <row r="41146" spans="25:25" hidden="1" x14ac:dyDescent="0.25">
      <c r="Y41146" s="501"/>
    </row>
    <row r="41147" spans="25:25" hidden="1" x14ac:dyDescent="0.25">
      <c r="Y41147" s="501"/>
    </row>
    <row r="41148" spans="25:25" hidden="1" x14ac:dyDescent="0.25">
      <c r="Y41148" s="501"/>
    </row>
    <row r="41149" spans="25:25" hidden="1" x14ac:dyDescent="0.25">
      <c r="Y41149" s="501"/>
    </row>
    <row r="41150" spans="25:25" hidden="1" x14ac:dyDescent="0.25">
      <c r="Y41150" s="501"/>
    </row>
    <row r="41151" spans="25:25" hidden="1" x14ac:dyDescent="0.25">
      <c r="Y41151" s="501"/>
    </row>
    <row r="41152" spans="25:25" hidden="1" x14ac:dyDescent="0.25">
      <c r="Y41152" s="501"/>
    </row>
    <row r="41153" spans="25:25" hidden="1" x14ac:dyDescent="0.25">
      <c r="Y41153" s="501"/>
    </row>
    <row r="41154" spans="25:25" hidden="1" x14ac:dyDescent="0.25">
      <c r="Y41154" s="501"/>
    </row>
    <row r="41155" spans="25:25" hidden="1" x14ac:dyDescent="0.25">
      <c r="Y41155" s="501"/>
    </row>
    <row r="41156" spans="25:25" hidden="1" x14ac:dyDescent="0.25">
      <c r="Y41156" s="501"/>
    </row>
    <row r="41157" spans="25:25" hidden="1" x14ac:dyDescent="0.25">
      <c r="Y41157" s="501"/>
    </row>
    <row r="41158" spans="25:25" hidden="1" x14ac:dyDescent="0.25">
      <c r="Y41158" s="501"/>
    </row>
    <row r="41159" spans="25:25" hidden="1" x14ac:dyDescent="0.25">
      <c r="Y41159" s="501"/>
    </row>
    <row r="41160" spans="25:25" hidden="1" x14ac:dyDescent="0.25">
      <c r="Y41160" s="501"/>
    </row>
    <row r="41161" spans="25:25" hidden="1" x14ac:dyDescent="0.25">
      <c r="Y41161" s="501"/>
    </row>
    <row r="41162" spans="25:25" hidden="1" x14ac:dyDescent="0.25">
      <c r="Y41162" s="501"/>
    </row>
    <row r="41163" spans="25:25" hidden="1" x14ac:dyDescent="0.25">
      <c r="Y41163" s="501"/>
    </row>
    <row r="41164" spans="25:25" hidden="1" x14ac:dyDescent="0.25">
      <c r="Y41164" s="501"/>
    </row>
    <row r="41165" spans="25:25" hidden="1" x14ac:dyDescent="0.25">
      <c r="Y41165" s="501"/>
    </row>
    <row r="41166" spans="25:25" hidden="1" x14ac:dyDescent="0.25">
      <c r="Y41166" s="501"/>
    </row>
    <row r="41167" spans="25:25" hidden="1" x14ac:dyDescent="0.25">
      <c r="Y41167" s="501"/>
    </row>
    <row r="41168" spans="25:25" hidden="1" x14ac:dyDescent="0.25">
      <c r="Y41168" s="501"/>
    </row>
    <row r="41169" spans="25:25" hidden="1" x14ac:dyDescent="0.25">
      <c r="Y41169" s="501"/>
    </row>
    <row r="41170" spans="25:25" hidden="1" x14ac:dyDescent="0.25">
      <c r="Y41170" s="501"/>
    </row>
    <row r="41171" spans="25:25" hidden="1" x14ac:dyDescent="0.25">
      <c r="Y41171" s="501"/>
    </row>
    <row r="41172" spans="25:25" hidden="1" x14ac:dyDescent="0.25">
      <c r="Y41172" s="501"/>
    </row>
    <row r="41173" spans="25:25" hidden="1" x14ac:dyDescent="0.25">
      <c r="Y41173" s="501"/>
    </row>
    <row r="41174" spans="25:25" hidden="1" x14ac:dyDescent="0.25">
      <c r="Y41174" s="501"/>
    </row>
    <row r="41175" spans="25:25" hidden="1" x14ac:dyDescent="0.25">
      <c r="Y41175" s="501"/>
    </row>
    <row r="41176" spans="25:25" hidden="1" x14ac:dyDescent="0.25">
      <c r="Y41176" s="501"/>
    </row>
    <row r="41177" spans="25:25" hidden="1" x14ac:dyDescent="0.25">
      <c r="Y41177" s="501"/>
    </row>
    <row r="41178" spans="25:25" hidden="1" x14ac:dyDescent="0.25">
      <c r="Y41178" s="501"/>
    </row>
    <row r="41179" spans="25:25" hidden="1" x14ac:dyDescent="0.25">
      <c r="Y41179" s="501"/>
    </row>
    <row r="41180" spans="25:25" hidden="1" x14ac:dyDescent="0.25">
      <c r="Y41180" s="501"/>
    </row>
    <row r="41181" spans="25:25" hidden="1" x14ac:dyDescent="0.25">
      <c r="Y41181" s="501"/>
    </row>
    <row r="41182" spans="25:25" hidden="1" x14ac:dyDescent="0.25">
      <c r="Y41182" s="501"/>
    </row>
    <row r="41183" spans="25:25" hidden="1" x14ac:dyDescent="0.25">
      <c r="Y41183" s="501"/>
    </row>
    <row r="41184" spans="25:25" hidden="1" x14ac:dyDescent="0.25">
      <c r="Y41184" s="501"/>
    </row>
    <row r="41185" spans="25:25" hidden="1" x14ac:dyDescent="0.25">
      <c r="Y41185" s="501"/>
    </row>
    <row r="41186" spans="25:25" hidden="1" x14ac:dyDescent="0.25">
      <c r="Y41186" s="501"/>
    </row>
    <row r="41187" spans="25:25" hidden="1" x14ac:dyDescent="0.25">
      <c r="Y41187" s="501"/>
    </row>
    <row r="41188" spans="25:25" hidden="1" x14ac:dyDescent="0.25">
      <c r="Y41188" s="501"/>
    </row>
    <row r="41189" spans="25:25" hidden="1" x14ac:dyDescent="0.25">
      <c r="Y41189" s="501"/>
    </row>
    <row r="41190" spans="25:25" hidden="1" x14ac:dyDescent="0.25">
      <c r="Y41190" s="501"/>
    </row>
    <row r="41191" spans="25:25" hidden="1" x14ac:dyDescent="0.25">
      <c r="Y41191" s="501"/>
    </row>
    <row r="41192" spans="25:25" hidden="1" x14ac:dyDescent="0.25">
      <c r="Y41192" s="501"/>
    </row>
    <row r="41193" spans="25:25" hidden="1" x14ac:dyDescent="0.25">
      <c r="Y41193" s="501"/>
    </row>
    <row r="41194" spans="25:25" hidden="1" x14ac:dyDescent="0.25">
      <c r="Y41194" s="501"/>
    </row>
    <row r="41195" spans="25:25" hidden="1" x14ac:dyDescent="0.25">
      <c r="Y41195" s="501"/>
    </row>
    <row r="41196" spans="25:25" hidden="1" x14ac:dyDescent="0.25">
      <c r="Y41196" s="501"/>
    </row>
    <row r="41197" spans="25:25" hidden="1" x14ac:dyDescent="0.25">
      <c r="Y41197" s="501"/>
    </row>
    <row r="41198" spans="25:25" hidden="1" x14ac:dyDescent="0.25">
      <c r="Y41198" s="501"/>
    </row>
    <row r="41199" spans="25:25" hidden="1" x14ac:dyDescent="0.25">
      <c r="Y41199" s="501"/>
    </row>
    <row r="41200" spans="25:25" hidden="1" x14ac:dyDescent="0.25">
      <c r="Y41200" s="501"/>
    </row>
    <row r="41201" spans="25:25" hidden="1" x14ac:dyDescent="0.25">
      <c r="Y41201" s="501"/>
    </row>
    <row r="41202" spans="25:25" hidden="1" x14ac:dyDescent="0.25">
      <c r="Y41202" s="501"/>
    </row>
    <row r="41203" spans="25:25" hidden="1" x14ac:dyDescent="0.25">
      <c r="Y41203" s="501"/>
    </row>
    <row r="41204" spans="25:25" hidden="1" x14ac:dyDescent="0.25">
      <c r="Y41204" s="501"/>
    </row>
    <row r="41205" spans="25:25" hidden="1" x14ac:dyDescent="0.25">
      <c r="Y41205" s="501"/>
    </row>
    <row r="41206" spans="25:25" hidden="1" x14ac:dyDescent="0.25">
      <c r="Y41206" s="501"/>
    </row>
    <row r="41207" spans="25:25" hidden="1" x14ac:dyDescent="0.25">
      <c r="Y41207" s="501"/>
    </row>
    <row r="41208" spans="25:25" hidden="1" x14ac:dyDescent="0.25">
      <c r="Y41208" s="501"/>
    </row>
    <row r="41209" spans="25:25" hidden="1" x14ac:dyDescent="0.25">
      <c r="Y41209" s="501"/>
    </row>
    <row r="41210" spans="25:25" hidden="1" x14ac:dyDescent="0.25">
      <c r="Y41210" s="501"/>
    </row>
    <row r="41211" spans="25:25" hidden="1" x14ac:dyDescent="0.25">
      <c r="Y41211" s="501"/>
    </row>
    <row r="41212" spans="25:25" hidden="1" x14ac:dyDescent="0.25">
      <c r="Y41212" s="501"/>
    </row>
    <row r="41213" spans="25:25" hidden="1" x14ac:dyDescent="0.25">
      <c r="Y41213" s="501"/>
    </row>
    <row r="41214" spans="25:25" hidden="1" x14ac:dyDescent="0.25">
      <c r="Y41214" s="501"/>
    </row>
    <row r="41215" spans="25:25" hidden="1" x14ac:dyDescent="0.25">
      <c r="Y41215" s="501"/>
    </row>
    <row r="41216" spans="25:25" hidden="1" x14ac:dyDescent="0.25">
      <c r="Y41216" s="501"/>
    </row>
    <row r="41217" spans="25:25" hidden="1" x14ac:dyDescent="0.25">
      <c r="Y41217" s="501"/>
    </row>
    <row r="41218" spans="25:25" hidden="1" x14ac:dyDescent="0.25">
      <c r="Y41218" s="501"/>
    </row>
    <row r="41219" spans="25:25" hidden="1" x14ac:dyDescent="0.25">
      <c r="Y41219" s="501"/>
    </row>
    <row r="41220" spans="25:25" hidden="1" x14ac:dyDescent="0.25">
      <c r="Y41220" s="501"/>
    </row>
    <row r="41221" spans="25:25" hidden="1" x14ac:dyDescent="0.25">
      <c r="Y41221" s="501"/>
    </row>
    <row r="41222" spans="25:25" hidden="1" x14ac:dyDescent="0.25">
      <c r="Y41222" s="501"/>
    </row>
    <row r="41223" spans="25:25" hidden="1" x14ac:dyDescent="0.25">
      <c r="Y41223" s="501"/>
    </row>
    <row r="41224" spans="25:25" hidden="1" x14ac:dyDescent="0.25">
      <c r="Y41224" s="501"/>
    </row>
    <row r="41225" spans="25:25" hidden="1" x14ac:dyDescent="0.25">
      <c r="Y41225" s="501"/>
    </row>
    <row r="41226" spans="25:25" hidden="1" x14ac:dyDescent="0.25">
      <c r="Y41226" s="501"/>
    </row>
    <row r="41227" spans="25:25" hidden="1" x14ac:dyDescent="0.25">
      <c r="Y41227" s="501"/>
    </row>
    <row r="41228" spans="25:25" hidden="1" x14ac:dyDescent="0.25">
      <c r="Y41228" s="501"/>
    </row>
    <row r="41229" spans="25:25" hidden="1" x14ac:dyDescent="0.25">
      <c r="Y41229" s="501"/>
    </row>
    <row r="41230" spans="25:25" hidden="1" x14ac:dyDescent="0.25">
      <c r="Y41230" s="501"/>
    </row>
    <row r="41231" spans="25:25" hidden="1" x14ac:dyDescent="0.25">
      <c r="Y41231" s="501"/>
    </row>
    <row r="41232" spans="25:25" hidden="1" x14ac:dyDescent="0.25">
      <c r="Y41232" s="501"/>
    </row>
    <row r="41233" spans="25:25" hidden="1" x14ac:dyDescent="0.25">
      <c r="Y41233" s="501"/>
    </row>
    <row r="41234" spans="25:25" hidden="1" x14ac:dyDescent="0.25">
      <c r="Y41234" s="501"/>
    </row>
    <row r="41235" spans="25:25" hidden="1" x14ac:dyDescent="0.25">
      <c r="Y41235" s="501"/>
    </row>
    <row r="41236" spans="25:25" hidden="1" x14ac:dyDescent="0.25">
      <c r="Y41236" s="501"/>
    </row>
    <row r="41237" spans="25:25" hidden="1" x14ac:dyDescent="0.25">
      <c r="Y41237" s="501"/>
    </row>
    <row r="41238" spans="25:25" hidden="1" x14ac:dyDescent="0.25">
      <c r="Y41238" s="501"/>
    </row>
    <row r="41239" spans="25:25" hidden="1" x14ac:dyDescent="0.25">
      <c r="Y41239" s="501"/>
    </row>
    <row r="41240" spans="25:25" hidden="1" x14ac:dyDescent="0.25">
      <c r="Y41240" s="501"/>
    </row>
    <row r="41241" spans="25:25" hidden="1" x14ac:dyDescent="0.25">
      <c r="Y41241" s="501"/>
    </row>
    <row r="41242" spans="25:25" hidden="1" x14ac:dyDescent="0.25">
      <c r="Y41242" s="501"/>
    </row>
    <row r="41243" spans="25:25" hidden="1" x14ac:dyDescent="0.25">
      <c r="Y41243" s="501"/>
    </row>
    <row r="41244" spans="25:25" hidden="1" x14ac:dyDescent="0.25">
      <c r="Y41244" s="501"/>
    </row>
    <row r="41245" spans="25:25" hidden="1" x14ac:dyDescent="0.25">
      <c r="Y41245" s="501"/>
    </row>
    <row r="41246" spans="25:25" hidden="1" x14ac:dyDescent="0.25">
      <c r="Y41246" s="501"/>
    </row>
    <row r="41247" spans="25:25" hidden="1" x14ac:dyDescent="0.25">
      <c r="Y41247" s="501"/>
    </row>
    <row r="41248" spans="25:25" hidden="1" x14ac:dyDescent="0.25">
      <c r="Y41248" s="501"/>
    </row>
    <row r="41249" spans="25:25" hidden="1" x14ac:dyDescent="0.25">
      <c r="Y41249" s="501"/>
    </row>
    <row r="41250" spans="25:25" hidden="1" x14ac:dyDescent="0.25">
      <c r="Y41250" s="501"/>
    </row>
    <row r="41251" spans="25:25" hidden="1" x14ac:dyDescent="0.25">
      <c r="Y41251" s="501"/>
    </row>
    <row r="41252" spans="25:25" hidden="1" x14ac:dyDescent="0.25">
      <c r="Y41252" s="501"/>
    </row>
    <row r="41253" spans="25:25" hidden="1" x14ac:dyDescent="0.25">
      <c r="Y41253" s="501"/>
    </row>
    <row r="41254" spans="25:25" hidden="1" x14ac:dyDescent="0.25">
      <c r="Y41254" s="501"/>
    </row>
    <row r="41255" spans="25:25" hidden="1" x14ac:dyDescent="0.25">
      <c r="Y41255" s="501"/>
    </row>
    <row r="41256" spans="25:25" hidden="1" x14ac:dyDescent="0.25">
      <c r="Y41256" s="501"/>
    </row>
    <row r="41257" spans="25:25" hidden="1" x14ac:dyDescent="0.25">
      <c r="Y41257" s="501"/>
    </row>
    <row r="41258" spans="25:25" hidden="1" x14ac:dyDescent="0.25">
      <c r="Y41258" s="501"/>
    </row>
    <row r="41259" spans="25:25" hidden="1" x14ac:dyDescent="0.25">
      <c r="Y41259" s="501"/>
    </row>
    <row r="41260" spans="25:25" hidden="1" x14ac:dyDescent="0.25">
      <c r="Y41260" s="501"/>
    </row>
    <row r="41261" spans="25:25" hidden="1" x14ac:dyDescent="0.25">
      <c r="Y41261" s="501"/>
    </row>
    <row r="41262" spans="25:25" hidden="1" x14ac:dyDescent="0.25">
      <c r="Y41262" s="501"/>
    </row>
    <row r="41263" spans="25:25" hidden="1" x14ac:dyDescent="0.25">
      <c r="Y41263" s="501"/>
    </row>
    <row r="41264" spans="25:25" hidden="1" x14ac:dyDescent="0.25">
      <c r="Y41264" s="501"/>
    </row>
    <row r="41265" spans="25:25" hidden="1" x14ac:dyDescent="0.25">
      <c r="Y41265" s="501"/>
    </row>
    <row r="41266" spans="25:25" hidden="1" x14ac:dyDescent="0.25">
      <c r="Y41266" s="501"/>
    </row>
    <row r="41267" spans="25:25" hidden="1" x14ac:dyDescent="0.25">
      <c r="Y41267" s="501"/>
    </row>
    <row r="41268" spans="25:25" hidden="1" x14ac:dyDescent="0.25">
      <c r="Y41268" s="501"/>
    </row>
    <row r="41269" spans="25:25" hidden="1" x14ac:dyDescent="0.25">
      <c r="Y41269" s="501"/>
    </row>
    <row r="41270" spans="25:25" hidden="1" x14ac:dyDescent="0.25">
      <c r="Y41270" s="501"/>
    </row>
    <row r="41271" spans="25:25" hidden="1" x14ac:dyDescent="0.25">
      <c r="Y41271" s="501"/>
    </row>
    <row r="41272" spans="25:25" hidden="1" x14ac:dyDescent="0.25">
      <c r="Y41272" s="501"/>
    </row>
    <row r="41273" spans="25:25" hidden="1" x14ac:dyDescent="0.25">
      <c r="Y41273" s="501"/>
    </row>
    <row r="41274" spans="25:25" hidden="1" x14ac:dyDescent="0.25">
      <c r="Y41274" s="501"/>
    </row>
    <row r="41275" spans="25:25" hidden="1" x14ac:dyDescent="0.25">
      <c r="Y41275" s="501"/>
    </row>
    <row r="41276" spans="25:25" hidden="1" x14ac:dyDescent="0.25">
      <c r="Y41276" s="501"/>
    </row>
    <row r="41277" spans="25:25" hidden="1" x14ac:dyDescent="0.25">
      <c r="Y41277" s="501"/>
    </row>
    <row r="41278" spans="25:25" hidden="1" x14ac:dyDescent="0.25">
      <c r="Y41278" s="501"/>
    </row>
    <row r="41279" spans="25:25" hidden="1" x14ac:dyDescent="0.25">
      <c r="Y41279" s="501"/>
    </row>
    <row r="41280" spans="25:25" hidden="1" x14ac:dyDescent="0.25">
      <c r="Y41280" s="501"/>
    </row>
    <row r="41281" spans="25:25" hidden="1" x14ac:dyDescent="0.25">
      <c r="Y41281" s="501"/>
    </row>
    <row r="41282" spans="25:25" hidden="1" x14ac:dyDescent="0.25">
      <c r="Y41282" s="501"/>
    </row>
    <row r="41283" spans="25:25" hidden="1" x14ac:dyDescent="0.25">
      <c r="Y41283" s="501"/>
    </row>
    <row r="41284" spans="25:25" hidden="1" x14ac:dyDescent="0.25">
      <c r="Y41284" s="501"/>
    </row>
    <row r="41285" spans="25:25" hidden="1" x14ac:dyDescent="0.25">
      <c r="Y41285" s="501"/>
    </row>
    <row r="41286" spans="25:25" hidden="1" x14ac:dyDescent="0.25">
      <c r="Y41286" s="501"/>
    </row>
    <row r="41287" spans="25:25" hidden="1" x14ac:dyDescent="0.25">
      <c r="Y41287" s="501"/>
    </row>
    <row r="41288" spans="25:25" hidden="1" x14ac:dyDescent="0.25">
      <c r="Y41288" s="501"/>
    </row>
    <row r="41289" spans="25:25" hidden="1" x14ac:dyDescent="0.25">
      <c r="Y41289" s="501"/>
    </row>
    <row r="41290" spans="25:25" hidden="1" x14ac:dyDescent="0.25">
      <c r="Y41290" s="501"/>
    </row>
    <row r="41291" spans="25:25" hidden="1" x14ac:dyDescent="0.25">
      <c r="Y41291" s="501"/>
    </row>
    <row r="41292" spans="25:25" hidden="1" x14ac:dyDescent="0.25">
      <c r="Y41292" s="501"/>
    </row>
    <row r="41293" spans="25:25" hidden="1" x14ac:dyDescent="0.25">
      <c r="Y41293" s="501"/>
    </row>
    <row r="41294" spans="25:25" hidden="1" x14ac:dyDescent="0.25">
      <c r="Y41294" s="501"/>
    </row>
    <row r="41295" spans="25:25" hidden="1" x14ac:dyDescent="0.25">
      <c r="Y41295" s="501"/>
    </row>
    <row r="41296" spans="25:25" hidden="1" x14ac:dyDescent="0.25">
      <c r="Y41296" s="501"/>
    </row>
    <row r="41297" spans="25:25" hidden="1" x14ac:dyDescent="0.25">
      <c r="Y41297" s="501"/>
    </row>
    <row r="41298" spans="25:25" hidden="1" x14ac:dyDescent="0.25">
      <c r="Y41298" s="501"/>
    </row>
    <row r="41299" spans="25:25" hidden="1" x14ac:dyDescent="0.25">
      <c r="Y41299" s="501"/>
    </row>
    <row r="41300" spans="25:25" hidden="1" x14ac:dyDescent="0.25">
      <c r="Y41300" s="501"/>
    </row>
    <row r="41301" spans="25:25" hidden="1" x14ac:dyDescent="0.25">
      <c r="Y41301" s="501"/>
    </row>
    <row r="41302" spans="25:25" hidden="1" x14ac:dyDescent="0.25">
      <c r="Y41302" s="501"/>
    </row>
    <row r="41303" spans="25:25" hidden="1" x14ac:dyDescent="0.25">
      <c r="Y41303" s="501"/>
    </row>
    <row r="41304" spans="25:25" hidden="1" x14ac:dyDescent="0.25">
      <c r="Y41304" s="501"/>
    </row>
    <row r="41305" spans="25:25" hidden="1" x14ac:dyDescent="0.25">
      <c r="Y41305" s="501"/>
    </row>
    <row r="41306" spans="25:25" hidden="1" x14ac:dyDescent="0.25">
      <c r="Y41306" s="501"/>
    </row>
    <row r="41307" spans="25:25" hidden="1" x14ac:dyDescent="0.25">
      <c r="Y41307" s="501"/>
    </row>
    <row r="41308" spans="25:25" hidden="1" x14ac:dyDescent="0.25">
      <c r="Y41308" s="501"/>
    </row>
    <row r="41309" spans="25:25" hidden="1" x14ac:dyDescent="0.25">
      <c r="Y41309" s="501"/>
    </row>
    <row r="41310" spans="25:25" hidden="1" x14ac:dyDescent="0.25">
      <c r="Y41310" s="501"/>
    </row>
    <row r="41311" spans="25:25" hidden="1" x14ac:dyDescent="0.25">
      <c r="Y41311" s="501"/>
    </row>
    <row r="41312" spans="25:25" hidden="1" x14ac:dyDescent="0.25">
      <c r="Y41312" s="501"/>
    </row>
    <row r="41313" spans="25:25" hidden="1" x14ac:dyDescent="0.25">
      <c r="Y41313" s="501"/>
    </row>
    <row r="41314" spans="25:25" hidden="1" x14ac:dyDescent="0.25">
      <c r="Y41314" s="501"/>
    </row>
    <row r="41315" spans="25:25" hidden="1" x14ac:dyDescent="0.25">
      <c r="Y41315" s="501"/>
    </row>
    <row r="41316" spans="25:25" hidden="1" x14ac:dyDescent="0.25">
      <c r="Y41316" s="501"/>
    </row>
    <row r="41317" spans="25:25" hidden="1" x14ac:dyDescent="0.25">
      <c r="Y41317" s="501"/>
    </row>
    <row r="41318" spans="25:25" hidden="1" x14ac:dyDescent="0.25">
      <c r="Y41318" s="501"/>
    </row>
    <row r="41319" spans="25:25" hidden="1" x14ac:dyDescent="0.25">
      <c r="Y41319" s="501"/>
    </row>
    <row r="41320" spans="25:25" hidden="1" x14ac:dyDescent="0.25">
      <c r="Y41320" s="501"/>
    </row>
    <row r="41321" spans="25:25" hidden="1" x14ac:dyDescent="0.25">
      <c r="Y41321" s="501"/>
    </row>
    <row r="41322" spans="25:25" hidden="1" x14ac:dyDescent="0.25">
      <c r="Y41322" s="501"/>
    </row>
    <row r="41323" spans="25:25" hidden="1" x14ac:dyDescent="0.25">
      <c r="Y41323" s="501"/>
    </row>
    <row r="41324" spans="25:25" hidden="1" x14ac:dyDescent="0.25">
      <c r="Y41324" s="501"/>
    </row>
    <row r="41325" spans="25:25" hidden="1" x14ac:dyDescent="0.25">
      <c r="Y41325" s="501"/>
    </row>
    <row r="41326" spans="25:25" hidden="1" x14ac:dyDescent="0.25">
      <c r="Y41326" s="501"/>
    </row>
    <row r="41327" spans="25:25" hidden="1" x14ac:dyDescent="0.25">
      <c r="Y41327" s="501"/>
    </row>
    <row r="41328" spans="25:25" hidden="1" x14ac:dyDescent="0.25">
      <c r="Y41328" s="501"/>
    </row>
    <row r="41329" spans="25:25" hidden="1" x14ac:dyDescent="0.25">
      <c r="Y41329" s="501"/>
    </row>
    <row r="41330" spans="25:25" hidden="1" x14ac:dyDescent="0.25">
      <c r="Y41330" s="501"/>
    </row>
    <row r="41331" spans="25:25" hidden="1" x14ac:dyDescent="0.25">
      <c r="Y41331" s="501"/>
    </row>
    <row r="41332" spans="25:25" hidden="1" x14ac:dyDescent="0.25">
      <c r="Y41332" s="501"/>
    </row>
    <row r="41333" spans="25:25" hidden="1" x14ac:dyDescent="0.25">
      <c r="Y41333" s="501"/>
    </row>
    <row r="41334" spans="25:25" hidden="1" x14ac:dyDescent="0.25">
      <c r="Y41334" s="501"/>
    </row>
    <row r="41335" spans="25:25" hidden="1" x14ac:dyDescent="0.25">
      <c r="Y41335" s="501"/>
    </row>
    <row r="41336" spans="25:25" hidden="1" x14ac:dyDescent="0.25">
      <c r="Y41336" s="501"/>
    </row>
    <row r="41337" spans="25:25" hidden="1" x14ac:dyDescent="0.25">
      <c r="Y41337" s="501"/>
    </row>
    <row r="41338" spans="25:25" hidden="1" x14ac:dyDescent="0.25">
      <c r="Y41338" s="501"/>
    </row>
    <row r="41339" spans="25:25" hidden="1" x14ac:dyDescent="0.25">
      <c r="Y41339" s="501"/>
    </row>
    <row r="41340" spans="25:25" hidden="1" x14ac:dyDescent="0.25">
      <c r="Y41340" s="501"/>
    </row>
    <row r="41341" spans="25:25" hidden="1" x14ac:dyDescent="0.25">
      <c r="Y41341" s="501"/>
    </row>
    <row r="41342" spans="25:25" hidden="1" x14ac:dyDescent="0.25">
      <c r="Y41342" s="501"/>
    </row>
    <row r="41343" spans="25:25" hidden="1" x14ac:dyDescent="0.25">
      <c r="Y41343" s="501"/>
    </row>
    <row r="41344" spans="25:25" hidden="1" x14ac:dyDescent="0.25">
      <c r="Y41344" s="501"/>
    </row>
    <row r="41345" spans="25:25" hidden="1" x14ac:dyDescent="0.25">
      <c r="Y41345" s="501"/>
    </row>
    <row r="41346" spans="25:25" hidden="1" x14ac:dyDescent="0.25">
      <c r="Y41346" s="501"/>
    </row>
    <row r="41347" spans="25:25" hidden="1" x14ac:dyDescent="0.25">
      <c r="Y41347" s="501"/>
    </row>
    <row r="41348" spans="25:25" hidden="1" x14ac:dyDescent="0.25">
      <c r="Y41348" s="501"/>
    </row>
    <row r="41349" spans="25:25" hidden="1" x14ac:dyDescent="0.25">
      <c r="Y41349" s="501"/>
    </row>
    <row r="41350" spans="25:25" hidden="1" x14ac:dyDescent="0.25">
      <c r="Y41350" s="501"/>
    </row>
    <row r="41351" spans="25:25" hidden="1" x14ac:dyDescent="0.25">
      <c r="Y41351" s="501"/>
    </row>
    <row r="41352" spans="25:25" hidden="1" x14ac:dyDescent="0.25">
      <c r="Y41352" s="501"/>
    </row>
    <row r="41353" spans="25:25" hidden="1" x14ac:dyDescent="0.25">
      <c r="Y41353" s="501"/>
    </row>
    <row r="41354" spans="25:25" hidden="1" x14ac:dyDescent="0.25">
      <c r="Y41354" s="501"/>
    </row>
    <row r="41355" spans="25:25" hidden="1" x14ac:dyDescent="0.25">
      <c r="Y41355" s="501"/>
    </row>
    <row r="41356" spans="25:25" hidden="1" x14ac:dyDescent="0.25">
      <c r="Y41356" s="501"/>
    </row>
    <row r="41357" spans="25:25" hidden="1" x14ac:dyDescent="0.25">
      <c r="Y41357" s="501"/>
    </row>
    <row r="41358" spans="25:25" hidden="1" x14ac:dyDescent="0.25">
      <c r="Y41358" s="501"/>
    </row>
    <row r="41359" spans="25:25" hidden="1" x14ac:dyDescent="0.25">
      <c r="Y41359" s="501"/>
    </row>
    <row r="41360" spans="25:25" hidden="1" x14ac:dyDescent="0.25">
      <c r="Y41360" s="501"/>
    </row>
    <row r="41361" spans="25:25" hidden="1" x14ac:dyDescent="0.25">
      <c r="Y41361" s="501"/>
    </row>
    <row r="41362" spans="25:25" hidden="1" x14ac:dyDescent="0.25">
      <c r="Y41362" s="501"/>
    </row>
    <row r="41363" spans="25:25" hidden="1" x14ac:dyDescent="0.25">
      <c r="Y41363" s="501"/>
    </row>
    <row r="41364" spans="25:25" hidden="1" x14ac:dyDescent="0.25">
      <c r="Y41364" s="501"/>
    </row>
    <row r="41365" spans="25:25" hidden="1" x14ac:dyDescent="0.25">
      <c r="Y41365" s="501"/>
    </row>
    <row r="41366" spans="25:25" hidden="1" x14ac:dyDescent="0.25">
      <c r="Y41366" s="501"/>
    </row>
    <row r="41367" spans="25:25" hidden="1" x14ac:dyDescent="0.25">
      <c r="Y41367" s="501"/>
    </row>
    <row r="41368" spans="25:25" hidden="1" x14ac:dyDescent="0.25">
      <c r="Y41368" s="501"/>
    </row>
    <row r="41369" spans="25:25" hidden="1" x14ac:dyDescent="0.25">
      <c r="Y41369" s="501"/>
    </row>
    <row r="41370" spans="25:25" hidden="1" x14ac:dyDescent="0.25">
      <c r="Y41370" s="501"/>
    </row>
    <row r="41371" spans="25:25" hidden="1" x14ac:dyDescent="0.25">
      <c r="Y41371" s="501"/>
    </row>
    <row r="41372" spans="25:25" hidden="1" x14ac:dyDescent="0.25">
      <c r="Y41372" s="501"/>
    </row>
    <row r="41373" spans="25:25" hidden="1" x14ac:dyDescent="0.25">
      <c r="Y41373" s="501"/>
    </row>
    <row r="41374" spans="25:25" hidden="1" x14ac:dyDescent="0.25">
      <c r="Y41374" s="501"/>
    </row>
    <row r="41375" spans="25:25" hidden="1" x14ac:dyDescent="0.25">
      <c r="Y41375" s="501"/>
    </row>
    <row r="41376" spans="25:25" hidden="1" x14ac:dyDescent="0.25">
      <c r="Y41376" s="501"/>
    </row>
    <row r="41377" spans="25:25" hidden="1" x14ac:dyDescent="0.25">
      <c r="Y41377" s="501"/>
    </row>
    <row r="41378" spans="25:25" hidden="1" x14ac:dyDescent="0.25">
      <c r="Y41378" s="501"/>
    </row>
    <row r="41379" spans="25:25" hidden="1" x14ac:dyDescent="0.25">
      <c r="Y41379" s="501"/>
    </row>
    <row r="41380" spans="25:25" hidden="1" x14ac:dyDescent="0.25">
      <c r="Y41380" s="501"/>
    </row>
    <row r="41381" spans="25:25" hidden="1" x14ac:dyDescent="0.25">
      <c r="Y41381" s="501"/>
    </row>
    <row r="41382" spans="25:25" hidden="1" x14ac:dyDescent="0.25">
      <c r="Y41382" s="501"/>
    </row>
    <row r="41383" spans="25:25" hidden="1" x14ac:dyDescent="0.25">
      <c r="Y41383" s="501"/>
    </row>
    <row r="41384" spans="25:25" hidden="1" x14ac:dyDescent="0.25">
      <c r="Y41384" s="501"/>
    </row>
    <row r="41385" spans="25:25" hidden="1" x14ac:dyDescent="0.25">
      <c r="Y41385" s="501"/>
    </row>
    <row r="41386" spans="25:25" hidden="1" x14ac:dyDescent="0.25">
      <c r="Y41386" s="501"/>
    </row>
    <row r="41387" spans="25:25" hidden="1" x14ac:dyDescent="0.25">
      <c r="Y41387" s="501"/>
    </row>
    <row r="41388" spans="25:25" hidden="1" x14ac:dyDescent="0.25">
      <c r="Y41388" s="501"/>
    </row>
    <row r="41389" spans="25:25" hidden="1" x14ac:dyDescent="0.25">
      <c r="Y41389" s="501"/>
    </row>
    <row r="41390" spans="25:25" hidden="1" x14ac:dyDescent="0.25">
      <c r="Y41390" s="501"/>
    </row>
    <row r="41391" spans="25:25" hidden="1" x14ac:dyDescent="0.25">
      <c r="Y41391" s="501"/>
    </row>
    <row r="41392" spans="25:25" hidden="1" x14ac:dyDescent="0.25">
      <c r="Y41392" s="501"/>
    </row>
    <row r="41393" spans="25:25" hidden="1" x14ac:dyDescent="0.25">
      <c r="Y41393" s="501"/>
    </row>
    <row r="41394" spans="25:25" hidden="1" x14ac:dyDescent="0.25">
      <c r="Y41394" s="501"/>
    </row>
    <row r="41395" spans="25:25" hidden="1" x14ac:dyDescent="0.25">
      <c r="Y41395" s="501"/>
    </row>
    <row r="41396" spans="25:25" hidden="1" x14ac:dyDescent="0.25">
      <c r="Y41396" s="501"/>
    </row>
    <row r="41397" spans="25:25" hidden="1" x14ac:dyDescent="0.25">
      <c r="Y41397" s="501"/>
    </row>
    <row r="41398" spans="25:25" hidden="1" x14ac:dyDescent="0.25">
      <c r="Y41398" s="501"/>
    </row>
    <row r="41399" spans="25:25" hidden="1" x14ac:dyDescent="0.25">
      <c r="Y41399" s="501"/>
    </row>
    <row r="41400" spans="25:25" hidden="1" x14ac:dyDescent="0.25">
      <c r="Y41400" s="501"/>
    </row>
    <row r="41401" spans="25:25" hidden="1" x14ac:dyDescent="0.25">
      <c r="Y41401" s="501"/>
    </row>
    <row r="41402" spans="25:25" hidden="1" x14ac:dyDescent="0.25">
      <c r="Y41402" s="501"/>
    </row>
    <row r="41403" spans="25:25" hidden="1" x14ac:dyDescent="0.25">
      <c r="Y41403" s="501"/>
    </row>
    <row r="41404" spans="25:25" hidden="1" x14ac:dyDescent="0.25">
      <c r="Y41404" s="501"/>
    </row>
    <row r="41405" spans="25:25" hidden="1" x14ac:dyDescent="0.25">
      <c r="Y41405" s="501"/>
    </row>
    <row r="41406" spans="25:25" hidden="1" x14ac:dyDescent="0.25">
      <c r="Y41406" s="501"/>
    </row>
    <row r="41407" spans="25:25" hidden="1" x14ac:dyDescent="0.25">
      <c r="Y41407" s="501"/>
    </row>
    <row r="41408" spans="25:25" hidden="1" x14ac:dyDescent="0.25">
      <c r="Y41408" s="501"/>
    </row>
    <row r="41409" spans="25:25" hidden="1" x14ac:dyDescent="0.25">
      <c r="Y41409" s="501"/>
    </row>
    <row r="41410" spans="25:25" hidden="1" x14ac:dyDescent="0.25">
      <c r="Y41410" s="501"/>
    </row>
    <row r="41411" spans="25:25" hidden="1" x14ac:dyDescent="0.25">
      <c r="Y41411" s="501"/>
    </row>
    <row r="41412" spans="25:25" hidden="1" x14ac:dyDescent="0.25">
      <c r="Y41412" s="501"/>
    </row>
    <row r="41413" spans="25:25" hidden="1" x14ac:dyDescent="0.25">
      <c r="Y41413" s="501"/>
    </row>
    <row r="41414" spans="25:25" hidden="1" x14ac:dyDescent="0.25">
      <c r="Y41414" s="501"/>
    </row>
    <row r="41415" spans="25:25" hidden="1" x14ac:dyDescent="0.25">
      <c r="Y41415" s="501"/>
    </row>
    <row r="41416" spans="25:25" hidden="1" x14ac:dyDescent="0.25">
      <c r="Y41416" s="501"/>
    </row>
    <row r="41417" spans="25:25" hidden="1" x14ac:dyDescent="0.25">
      <c r="Y41417" s="501"/>
    </row>
    <row r="41418" spans="25:25" hidden="1" x14ac:dyDescent="0.25">
      <c r="Y41418" s="501"/>
    </row>
    <row r="41419" spans="25:25" hidden="1" x14ac:dyDescent="0.25">
      <c r="Y41419" s="501"/>
    </row>
    <row r="41420" spans="25:25" hidden="1" x14ac:dyDescent="0.25">
      <c r="Y41420" s="501"/>
    </row>
    <row r="41421" spans="25:25" hidden="1" x14ac:dyDescent="0.25">
      <c r="Y41421" s="501"/>
    </row>
    <row r="41422" spans="25:25" hidden="1" x14ac:dyDescent="0.25">
      <c r="Y41422" s="501"/>
    </row>
    <row r="41423" spans="25:25" hidden="1" x14ac:dyDescent="0.25">
      <c r="Y41423" s="501"/>
    </row>
    <row r="41424" spans="25:25" hidden="1" x14ac:dyDescent="0.25">
      <c r="Y41424" s="501"/>
    </row>
    <row r="41425" spans="25:25" hidden="1" x14ac:dyDescent="0.25">
      <c r="Y41425" s="501"/>
    </row>
    <row r="41426" spans="25:25" hidden="1" x14ac:dyDescent="0.25">
      <c r="Y41426" s="501"/>
    </row>
    <row r="41427" spans="25:25" hidden="1" x14ac:dyDescent="0.25">
      <c r="Y41427" s="501"/>
    </row>
    <row r="41428" spans="25:25" hidden="1" x14ac:dyDescent="0.25">
      <c r="Y41428" s="501"/>
    </row>
    <row r="41429" spans="25:25" hidden="1" x14ac:dyDescent="0.25">
      <c r="Y41429" s="501"/>
    </row>
    <row r="41430" spans="25:25" hidden="1" x14ac:dyDescent="0.25">
      <c r="Y41430" s="501"/>
    </row>
    <row r="41431" spans="25:25" hidden="1" x14ac:dyDescent="0.25">
      <c r="Y41431" s="501"/>
    </row>
    <row r="41432" spans="25:25" hidden="1" x14ac:dyDescent="0.25">
      <c r="Y41432" s="501"/>
    </row>
    <row r="41433" spans="25:25" hidden="1" x14ac:dyDescent="0.25">
      <c r="Y41433" s="501"/>
    </row>
    <row r="41434" spans="25:25" hidden="1" x14ac:dyDescent="0.25">
      <c r="Y41434" s="501"/>
    </row>
    <row r="41435" spans="25:25" hidden="1" x14ac:dyDescent="0.25">
      <c r="Y41435" s="501"/>
    </row>
    <row r="41436" spans="25:25" hidden="1" x14ac:dyDescent="0.25">
      <c r="Y41436" s="501"/>
    </row>
    <row r="41437" spans="25:25" hidden="1" x14ac:dyDescent="0.25">
      <c r="Y41437" s="501"/>
    </row>
    <row r="41438" spans="25:25" hidden="1" x14ac:dyDescent="0.25">
      <c r="Y41438" s="501"/>
    </row>
    <row r="41439" spans="25:25" hidden="1" x14ac:dyDescent="0.25">
      <c r="Y41439" s="501"/>
    </row>
    <row r="41440" spans="25:25" hidden="1" x14ac:dyDescent="0.25">
      <c r="Y41440" s="501"/>
    </row>
    <row r="41441" spans="25:25" hidden="1" x14ac:dyDescent="0.25">
      <c r="Y41441" s="501"/>
    </row>
    <row r="41442" spans="25:25" hidden="1" x14ac:dyDescent="0.25">
      <c r="Y41442" s="501"/>
    </row>
    <row r="41443" spans="25:25" hidden="1" x14ac:dyDescent="0.25">
      <c r="Y41443" s="501"/>
    </row>
    <row r="41444" spans="25:25" hidden="1" x14ac:dyDescent="0.25">
      <c r="Y41444" s="501"/>
    </row>
    <row r="41445" spans="25:25" hidden="1" x14ac:dyDescent="0.25">
      <c r="Y41445" s="501"/>
    </row>
    <row r="41446" spans="25:25" hidden="1" x14ac:dyDescent="0.25">
      <c r="Y41446" s="501"/>
    </row>
    <row r="41447" spans="25:25" hidden="1" x14ac:dyDescent="0.25">
      <c r="Y41447" s="501"/>
    </row>
    <row r="41448" spans="25:25" hidden="1" x14ac:dyDescent="0.25">
      <c r="Y41448" s="501"/>
    </row>
    <row r="41449" spans="25:25" hidden="1" x14ac:dyDescent="0.25">
      <c r="Y41449" s="501"/>
    </row>
    <row r="41450" spans="25:25" hidden="1" x14ac:dyDescent="0.25">
      <c r="Y41450" s="501"/>
    </row>
    <row r="41451" spans="25:25" hidden="1" x14ac:dyDescent="0.25">
      <c r="Y41451" s="501"/>
    </row>
    <row r="41452" spans="25:25" hidden="1" x14ac:dyDescent="0.25">
      <c r="Y41452" s="501"/>
    </row>
    <row r="41453" spans="25:25" hidden="1" x14ac:dyDescent="0.25">
      <c r="Y41453" s="501"/>
    </row>
    <row r="41454" spans="25:25" hidden="1" x14ac:dyDescent="0.25">
      <c r="Y41454" s="501"/>
    </row>
    <row r="41455" spans="25:25" hidden="1" x14ac:dyDescent="0.25">
      <c r="Y41455" s="501"/>
    </row>
    <row r="41456" spans="25:25" hidden="1" x14ac:dyDescent="0.25">
      <c r="Y41456" s="501"/>
    </row>
    <row r="41457" spans="25:25" hidden="1" x14ac:dyDescent="0.25">
      <c r="Y41457" s="501"/>
    </row>
    <row r="41458" spans="25:25" hidden="1" x14ac:dyDescent="0.25">
      <c r="Y41458" s="501"/>
    </row>
    <row r="41459" spans="25:25" hidden="1" x14ac:dyDescent="0.25">
      <c r="Y41459" s="501"/>
    </row>
    <row r="41460" spans="25:25" hidden="1" x14ac:dyDescent="0.25">
      <c r="Y41460" s="501"/>
    </row>
    <row r="41461" spans="25:25" hidden="1" x14ac:dyDescent="0.25">
      <c r="Y41461" s="501"/>
    </row>
    <row r="41462" spans="25:25" hidden="1" x14ac:dyDescent="0.25">
      <c r="Y41462" s="501"/>
    </row>
    <row r="41463" spans="25:25" hidden="1" x14ac:dyDescent="0.25">
      <c r="Y41463" s="501"/>
    </row>
    <row r="41464" spans="25:25" hidden="1" x14ac:dyDescent="0.25">
      <c r="Y41464" s="501"/>
    </row>
    <row r="41465" spans="25:25" hidden="1" x14ac:dyDescent="0.25">
      <c r="Y41465" s="501"/>
    </row>
    <row r="41466" spans="25:25" hidden="1" x14ac:dyDescent="0.25">
      <c r="Y41466" s="501"/>
    </row>
    <row r="41467" spans="25:25" hidden="1" x14ac:dyDescent="0.25">
      <c r="Y41467" s="501"/>
    </row>
    <row r="41468" spans="25:25" hidden="1" x14ac:dyDescent="0.25">
      <c r="Y41468" s="501"/>
    </row>
    <row r="41469" spans="25:25" hidden="1" x14ac:dyDescent="0.25">
      <c r="Y41469" s="501"/>
    </row>
    <row r="41470" spans="25:25" hidden="1" x14ac:dyDescent="0.25">
      <c r="Y41470" s="501"/>
    </row>
    <row r="41471" spans="25:25" hidden="1" x14ac:dyDescent="0.25">
      <c r="Y41471" s="501"/>
    </row>
    <row r="41472" spans="25:25" hidden="1" x14ac:dyDescent="0.25">
      <c r="Y41472" s="501"/>
    </row>
    <row r="41473" spans="25:25" hidden="1" x14ac:dyDescent="0.25">
      <c r="Y41473" s="501"/>
    </row>
    <row r="41474" spans="25:25" hidden="1" x14ac:dyDescent="0.25">
      <c r="Y41474" s="501"/>
    </row>
    <row r="41475" spans="25:25" hidden="1" x14ac:dyDescent="0.25">
      <c r="Y41475" s="501"/>
    </row>
    <row r="41476" spans="25:25" hidden="1" x14ac:dyDescent="0.25">
      <c r="Y41476" s="501"/>
    </row>
    <row r="41477" spans="25:25" hidden="1" x14ac:dyDescent="0.25">
      <c r="Y41477" s="501"/>
    </row>
    <row r="41478" spans="25:25" hidden="1" x14ac:dyDescent="0.25">
      <c r="Y41478" s="501"/>
    </row>
    <row r="41479" spans="25:25" hidden="1" x14ac:dyDescent="0.25">
      <c r="Y41479" s="501"/>
    </row>
    <row r="41480" spans="25:25" hidden="1" x14ac:dyDescent="0.25">
      <c r="Y41480" s="501"/>
    </row>
    <row r="41481" spans="25:25" hidden="1" x14ac:dyDescent="0.25">
      <c r="Y41481" s="501"/>
    </row>
    <row r="41482" spans="25:25" hidden="1" x14ac:dyDescent="0.25">
      <c r="Y41482" s="501"/>
    </row>
    <row r="41483" spans="25:25" hidden="1" x14ac:dyDescent="0.25">
      <c r="Y41483" s="501"/>
    </row>
    <row r="41484" spans="25:25" hidden="1" x14ac:dyDescent="0.25">
      <c r="Y41484" s="501"/>
    </row>
    <row r="41485" spans="25:25" hidden="1" x14ac:dyDescent="0.25">
      <c r="Y41485" s="501"/>
    </row>
    <row r="41486" spans="25:25" hidden="1" x14ac:dyDescent="0.25">
      <c r="Y41486" s="501"/>
    </row>
    <row r="41487" spans="25:25" hidden="1" x14ac:dyDescent="0.25">
      <c r="Y41487" s="501"/>
    </row>
    <row r="41488" spans="25:25" hidden="1" x14ac:dyDescent="0.25">
      <c r="Y41488" s="501"/>
    </row>
    <row r="41489" spans="25:25" hidden="1" x14ac:dyDescent="0.25">
      <c r="Y41489" s="501"/>
    </row>
    <row r="41490" spans="25:25" hidden="1" x14ac:dyDescent="0.25">
      <c r="Y41490" s="501"/>
    </row>
    <row r="41491" spans="25:25" hidden="1" x14ac:dyDescent="0.25">
      <c r="Y41491" s="501"/>
    </row>
    <row r="41492" spans="25:25" hidden="1" x14ac:dyDescent="0.25">
      <c r="Y41492" s="501"/>
    </row>
    <row r="41493" spans="25:25" hidden="1" x14ac:dyDescent="0.25">
      <c r="Y41493" s="501"/>
    </row>
    <row r="41494" spans="25:25" hidden="1" x14ac:dyDescent="0.25">
      <c r="Y41494" s="501"/>
    </row>
    <row r="41495" spans="25:25" hidden="1" x14ac:dyDescent="0.25">
      <c r="Y41495" s="501"/>
    </row>
    <row r="41496" spans="25:25" hidden="1" x14ac:dyDescent="0.25">
      <c r="Y41496" s="501"/>
    </row>
    <row r="41497" spans="25:25" hidden="1" x14ac:dyDescent="0.25">
      <c r="Y41497" s="501"/>
    </row>
    <row r="41498" spans="25:25" hidden="1" x14ac:dyDescent="0.25">
      <c r="Y41498" s="501"/>
    </row>
    <row r="41499" spans="25:25" hidden="1" x14ac:dyDescent="0.25">
      <c r="Y41499" s="501"/>
    </row>
    <row r="41500" spans="25:25" hidden="1" x14ac:dyDescent="0.25">
      <c r="Y41500" s="501"/>
    </row>
    <row r="41501" spans="25:25" hidden="1" x14ac:dyDescent="0.25">
      <c r="Y41501" s="501"/>
    </row>
    <row r="41502" spans="25:25" hidden="1" x14ac:dyDescent="0.25">
      <c r="Y41502" s="501"/>
    </row>
    <row r="41503" spans="25:25" hidden="1" x14ac:dyDescent="0.25">
      <c r="Y41503" s="501"/>
    </row>
    <row r="41504" spans="25:25" hidden="1" x14ac:dyDescent="0.25">
      <c r="Y41504" s="501"/>
    </row>
    <row r="41505" spans="25:25" hidden="1" x14ac:dyDescent="0.25">
      <c r="Y41505" s="501"/>
    </row>
    <row r="41506" spans="25:25" hidden="1" x14ac:dyDescent="0.25">
      <c r="Y41506" s="501"/>
    </row>
    <row r="41507" spans="25:25" hidden="1" x14ac:dyDescent="0.25">
      <c r="Y41507" s="501"/>
    </row>
    <row r="41508" spans="25:25" hidden="1" x14ac:dyDescent="0.25">
      <c r="Y41508" s="501"/>
    </row>
    <row r="41509" spans="25:25" hidden="1" x14ac:dyDescent="0.25">
      <c r="Y41509" s="501"/>
    </row>
    <row r="41510" spans="25:25" hidden="1" x14ac:dyDescent="0.25">
      <c r="Y41510" s="501"/>
    </row>
    <row r="41511" spans="25:25" hidden="1" x14ac:dyDescent="0.25">
      <c r="Y41511" s="501"/>
    </row>
    <row r="41512" spans="25:25" hidden="1" x14ac:dyDescent="0.25">
      <c r="Y41512" s="501"/>
    </row>
    <row r="41513" spans="25:25" hidden="1" x14ac:dyDescent="0.25">
      <c r="Y41513" s="501"/>
    </row>
    <row r="41514" spans="25:25" hidden="1" x14ac:dyDescent="0.25">
      <c r="Y41514" s="501"/>
    </row>
    <row r="41515" spans="25:25" hidden="1" x14ac:dyDescent="0.25">
      <c r="Y41515" s="501"/>
    </row>
    <row r="41516" spans="25:25" hidden="1" x14ac:dyDescent="0.25">
      <c r="Y41516" s="501"/>
    </row>
    <row r="41517" spans="25:25" hidden="1" x14ac:dyDescent="0.25">
      <c r="Y41517" s="501"/>
    </row>
    <row r="41518" spans="25:25" hidden="1" x14ac:dyDescent="0.25">
      <c r="Y41518" s="501"/>
    </row>
    <row r="41519" spans="25:25" hidden="1" x14ac:dyDescent="0.25">
      <c r="Y41519" s="501"/>
    </row>
    <row r="41520" spans="25:25" hidden="1" x14ac:dyDescent="0.25">
      <c r="Y41520" s="501"/>
    </row>
    <row r="41521" spans="25:25" hidden="1" x14ac:dyDescent="0.25">
      <c r="Y41521" s="501"/>
    </row>
    <row r="41522" spans="25:25" hidden="1" x14ac:dyDescent="0.25">
      <c r="Y41522" s="501"/>
    </row>
    <row r="41523" spans="25:25" hidden="1" x14ac:dyDescent="0.25">
      <c r="Y41523" s="501"/>
    </row>
    <row r="41524" spans="25:25" hidden="1" x14ac:dyDescent="0.25">
      <c r="Y41524" s="501"/>
    </row>
    <row r="41525" spans="25:25" hidden="1" x14ac:dyDescent="0.25">
      <c r="Y41525" s="501"/>
    </row>
    <row r="41526" spans="25:25" hidden="1" x14ac:dyDescent="0.25">
      <c r="Y41526" s="501"/>
    </row>
    <row r="41527" spans="25:25" hidden="1" x14ac:dyDescent="0.25">
      <c r="Y41527" s="501"/>
    </row>
    <row r="41528" spans="25:25" hidden="1" x14ac:dyDescent="0.25">
      <c r="Y41528" s="501"/>
    </row>
    <row r="41529" spans="25:25" hidden="1" x14ac:dyDescent="0.25">
      <c r="Y41529" s="501"/>
    </row>
    <row r="41530" spans="25:25" hidden="1" x14ac:dyDescent="0.25">
      <c r="Y41530" s="501"/>
    </row>
    <row r="41531" spans="25:25" hidden="1" x14ac:dyDescent="0.25">
      <c r="Y41531" s="501"/>
    </row>
    <row r="41532" spans="25:25" hidden="1" x14ac:dyDescent="0.25">
      <c r="Y41532" s="501"/>
    </row>
    <row r="41533" spans="25:25" hidden="1" x14ac:dyDescent="0.25">
      <c r="Y41533" s="501"/>
    </row>
    <row r="41534" spans="25:25" hidden="1" x14ac:dyDescent="0.25">
      <c r="Y41534" s="501"/>
    </row>
    <row r="41535" spans="25:25" hidden="1" x14ac:dyDescent="0.25">
      <c r="Y41535" s="501"/>
    </row>
    <row r="41536" spans="25:25" hidden="1" x14ac:dyDescent="0.25">
      <c r="Y41536" s="501"/>
    </row>
    <row r="41537" spans="25:25" hidden="1" x14ac:dyDescent="0.25">
      <c r="Y41537" s="501"/>
    </row>
    <row r="41538" spans="25:25" hidden="1" x14ac:dyDescent="0.25">
      <c r="Y41538" s="501"/>
    </row>
    <row r="41539" spans="25:25" hidden="1" x14ac:dyDescent="0.25">
      <c r="Y41539" s="501"/>
    </row>
    <row r="41540" spans="25:25" hidden="1" x14ac:dyDescent="0.25">
      <c r="Y41540" s="501"/>
    </row>
    <row r="41541" spans="25:25" hidden="1" x14ac:dyDescent="0.25">
      <c r="Y41541" s="501"/>
    </row>
    <row r="41542" spans="25:25" hidden="1" x14ac:dyDescent="0.25">
      <c r="Y41542" s="501"/>
    </row>
    <row r="41543" spans="25:25" hidden="1" x14ac:dyDescent="0.25">
      <c r="Y41543" s="501"/>
    </row>
    <row r="41544" spans="25:25" hidden="1" x14ac:dyDescent="0.25">
      <c r="Y41544" s="501"/>
    </row>
    <row r="41545" spans="25:25" hidden="1" x14ac:dyDescent="0.25">
      <c r="Y41545" s="501"/>
    </row>
    <row r="41546" spans="25:25" hidden="1" x14ac:dyDescent="0.25">
      <c r="Y41546" s="501"/>
    </row>
    <row r="41547" spans="25:25" hidden="1" x14ac:dyDescent="0.25">
      <c r="Y41547" s="501"/>
    </row>
    <row r="41548" spans="25:25" hidden="1" x14ac:dyDescent="0.25">
      <c r="Y41548" s="501"/>
    </row>
    <row r="41549" spans="25:25" hidden="1" x14ac:dyDescent="0.25">
      <c r="Y41549" s="501"/>
    </row>
    <row r="41550" spans="25:25" hidden="1" x14ac:dyDescent="0.25">
      <c r="Y41550" s="501"/>
    </row>
    <row r="41551" spans="25:25" hidden="1" x14ac:dyDescent="0.25">
      <c r="Y41551" s="501"/>
    </row>
    <row r="41552" spans="25:25" hidden="1" x14ac:dyDescent="0.25">
      <c r="Y41552" s="501"/>
    </row>
    <row r="41553" spans="25:25" hidden="1" x14ac:dyDescent="0.25">
      <c r="Y41553" s="501"/>
    </row>
    <row r="41554" spans="25:25" hidden="1" x14ac:dyDescent="0.25">
      <c r="Y41554" s="501"/>
    </row>
    <row r="41555" spans="25:25" hidden="1" x14ac:dyDescent="0.25">
      <c r="Y41555" s="501"/>
    </row>
    <row r="41556" spans="25:25" hidden="1" x14ac:dyDescent="0.25">
      <c r="Y41556" s="501"/>
    </row>
    <row r="41557" spans="25:25" hidden="1" x14ac:dyDescent="0.25">
      <c r="Y41557" s="501"/>
    </row>
    <row r="41558" spans="25:25" hidden="1" x14ac:dyDescent="0.25">
      <c r="Y41558" s="501"/>
    </row>
    <row r="41559" spans="25:25" hidden="1" x14ac:dyDescent="0.25">
      <c r="Y41559" s="501"/>
    </row>
    <row r="41560" spans="25:25" hidden="1" x14ac:dyDescent="0.25">
      <c r="Y41560" s="501"/>
    </row>
    <row r="41561" spans="25:25" hidden="1" x14ac:dyDescent="0.25">
      <c r="Y41561" s="501"/>
    </row>
    <row r="41562" spans="25:25" hidden="1" x14ac:dyDescent="0.25">
      <c r="Y41562" s="501"/>
    </row>
    <row r="41563" spans="25:25" hidden="1" x14ac:dyDescent="0.25">
      <c r="Y41563" s="501"/>
    </row>
    <row r="41564" spans="25:25" hidden="1" x14ac:dyDescent="0.25">
      <c r="Y41564" s="501"/>
    </row>
    <row r="41565" spans="25:25" hidden="1" x14ac:dyDescent="0.25">
      <c r="Y41565" s="501"/>
    </row>
    <row r="41566" spans="25:25" hidden="1" x14ac:dyDescent="0.25">
      <c r="Y41566" s="501"/>
    </row>
    <row r="41567" spans="25:25" hidden="1" x14ac:dyDescent="0.25">
      <c r="Y41567" s="501"/>
    </row>
    <row r="41568" spans="25:25" hidden="1" x14ac:dyDescent="0.25">
      <c r="Y41568" s="501"/>
    </row>
    <row r="41569" spans="25:25" hidden="1" x14ac:dyDescent="0.25">
      <c r="Y41569" s="501"/>
    </row>
    <row r="41570" spans="25:25" hidden="1" x14ac:dyDescent="0.25">
      <c r="Y41570" s="501"/>
    </row>
    <row r="41571" spans="25:25" hidden="1" x14ac:dyDescent="0.25">
      <c r="Y41571" s="501"/>
    </row>
    <row r="41572" spans="25:25" hidden="1" x14ac:dyDescent="0.25">
      <c r="Y41572" s="501"/>
    </row>
    <row r="41573" spans="25:25" hidden="1" x14ac:dyDescent="0.25">
      <c r="Y41573" s="501"/>
    </row>
    <row r="41574" spans="25:25" hidden="1" x14ac:dyDescent="0.25">
      <c r="Y41574" s="501"/>
    </row>
    <row r="41575" spans="25:25" hidden="1" x14ac:dyDescent="0.25">
      <c r="Y41575" s="501"/>
    </row>
    <row r="41576" spans="25:25" hidden="1" x14ac:dyDescent="0.25">
      <c r="Y41576" s="501"/>
    </row>
    <row r="41577" spans="25:25" hidden="1" x14ac:dyDescent="0.25">
      <c r="Y41577" s="501"/>
    </row>
    <row r="41578" spans="25:25" hidden="1" x14ac:dyDescent="0.25">
      <c r="Y41578" s="501"/>
    </row>
    <row r="41579" spans="25:25" hidden="1" x14ac:dyDescent="0.25">
      <c r="Y41579" s="501"/>
    </row>
    <row r="41580" spans="25:25" hidden="1" x14ac:dyDescent="0.25">
      <c r="Y41580" s="501"/>
    </row>
    <row r="41581" spans="25:25" hidden="1" x14ac:dyDescent="0.25">
      <c r="Y41581" s="501"/>
    </row>
    <row r="41582" spans="25:25" hidden="1" x14ac:dyDescent="0.25">
      <c r="Y41582" s="501"/>
    </row>
    <row r="41583" spans="25:25" hidden="1" x14ac:dyDescent="0.25">
      <c r="Y41583" s="501"/>
    </row>
    <row r="41584" spans="25:25" hidden="1" x14ac:dyDescent="0.25">
      <c r="Y41584" s="501"/>
    </row>
    <row r="41585" spans="25:25" hidden="1" x14ac:dyDescent="0.25">
      <c r="Y41585" s="501"/>
    </row>
    <row r="41586" spans="25:25" hidden="1" x14ac:dyDescent="0.25">
      <c r="Y41586" s="501"/>
    </row>
    <row r="41587" spans="25:25" hidden="1" x14ac:dyDescent="0.25">
      <c r="Y41587" s="501"/>
    </row>
    <row r="41588" spans="25:25" hidden="1" x14ac:dyDescent="0.25">
      <c r="Y41588" s="501"/>
    </row>
    <row r="41589" spans="25:25" hidden="1" x14ac:dyDescent="0.25">
      <c r="Y41589" s="501"/>
    </row>
    <row r="41590" spans="25:25" hidden="1" x14ac:dyDescent="0.25">
      <c r="Y41590" s="501"/>
    </row>
    <row r="41591" spans="25:25" hidden="1" x14ac:dyDescent="0.25">
      <c r="Y41591" s="501"/>
    </row>
    <row r="41592" spans="25:25" hidden="1" x14ac:dyDescent="0.25">
      <c r="Y41592" s="501"/>
    </row>
    <row r="41593" spans="25:25" hidden="1" x14ac:dyDescent="0.25">
      <c r="Y41593" s="501"/>
    </row>
    <row r="41594" spans="25:25" hidden="1" x14ac:dyDescent="0.25">
      <c r="Y41594" s="501"/>
    </row>
    <row r="41595" spans="25:25" hidden="1" x14ac:dyDescent="0.25">
      <c r="Y41595" s="501"/>
    </row>
    <row r="41596" spans="25:25" hidden="1" x14ac:dyDescent="0.25">
      <c r="Y41596" s="501"/>
    </row>
    <row r="41597" spans="25:25" hidden="1" x14ac:dyDescent="0.25">
      <c r="Y41597" s="501"/>
    </row>
    <row r="41598" spans="25:25" hidden="1" x14ac:dyDescent="0.25">
      <c r="Y41598" s="501"/>
    </row>
    <row r="41599" spans="25:25" hidden="1" x14ac:dyDescent="0.25">
      <c r="Y41599" s="501"/>
    </row>
    <row r="41600" spans="25:25" hidden="1" x14ac:dyDescent="0.25">
      <c r="Y41600" s="501"/>
    </row>
    <row r="41601" spans="25:25" hidden="1" x14ac:dyDescent="0.25">
      <c r="Y41601" s="501"/>
    </row>
    <row r="41602" spans="25:25" hidden="1" x14ac:dyDescent="0.25">
      <c r="Y41602" s="501"/>
    </row>
    <row r="41603" spans="25:25" hidden="1" x14ac:dyDescent="0.25">
      <c r="Y41603" s="501"/>
    </row>
    <row r="41604" spans="25:25" hidden="1" x14ac:dyDescent="0.25">
      <c r="Y41604" s="501"/>
    </row>
    <row r="41605" spans="25:25" hidden="1" x14ac:dyDescent="0.25">
      <c r="Y41605" s="501"/>
    </row>
    <row r="41606" spans="25:25" hidden="1" x14ac:dyDescent="0.25">
      <c r="Y41606" s="501"/>
    </row>
    <row r="41607" spans="25:25" hidden="1" x14ac:dyDescent="0.25">
      <c r="Y41607" s="501"/>
    </row>
    <row r="41608" spans="25:25" hidden="1" x14ac:dyDescent="0.25">
      <c r="Y41608" s="501"/>
    </row>
    <row r="41609" spans="25:25" hidden="1" x14ac:dyDescent="0.25">
      <c r="Y41609" s="501"/>
    </row>
    <row r="41610" spans="25:25" hidden="1" x14ac:dyDescent="0.25">
      <c r="Y41610" s="501"/>
    </row>
    <row r="41611" spans="25:25" hidden="1" x14ac:dyDescent="0.25">
      <c r="Y41611" s="501"/>
    </row>
    <row r="41612" spans="25:25" hidden="1" x14ac:dyDescent="0.25">
      <c r="Y41612" s="501"/>
    </row>
    <row r="41613" spans="25:25" hidden="1" x14ac:dyDescent="0.25">
      <c r="Y41613" s="501"/>
    </row>
    <row r="41614" spans="25:25" hidden="1" x14ac:dyDescent="0.25">
      <c r="Y41614" s="501"/>
    </row>
    <row r="41615" spans="25:25" hidden="1" x14ac:dyDescent="0.25">
      <c r="Y41615" s="501"/>
    </row>
    <row r="41616" spans="25:25" hidden="1" x14ac:dyDescent="0.25">
      <c r="Y41616" s="501"/>
    </row>
    <row r="41617" spans="25:25" hidden="1" x14ac:dyDescent="0.25">
      <c r="Y41617" s="501"/>
    </row>
    <row r="41618" spans="25:25" hidden="1" x14ac:dyDescent="0.25">
      <c r="Y41618" s="501"/>
    </row>
    <row r="41619" spans="25:25" hidden="1" x14ac:dyDescent="0.25">
      <c r="Y41619" s="501"/>
    </row>
    <row r="41620" spans="25:25" hidden="1" x14ac:dyDescent="0.25">
      <c r="Y41620" s="501"/>
    </row>
    <row r="41621" spans="25:25" hidden="1" x14ac:dyDescent="0.25">
      <c r="Y41621" s="501"/>
    </row>
    <row r="41622" spans="25:25" hidden="1" x14ac:dyDescent="0.25">
      <c r="Y41622" s="501"/>
    </row>
    <row r="41623" spans="25:25" hidden="1" x14ac:dyDescent="0.25">
      <c r="Y41623" s="501"/>
    </row>
    <row r="41624" spans="25:25" hidden="1" x14ac:dyDescent="0.25">
      <c r="Y41624" s="501"/>
    </row>
    <row r="41625" spans="25:25" hidden="1" x14ac:dyDescent="0.25">
      <c r="Y41625" s="501"/>
    </row>
    <row r="41626" spans="25:25" hidden="1" x14ac:dyDescent="0.25">
      <c r="Y41626" s="501"/>
    </row>
    <row r="41627" spans="25:25" hidden="1" x14ac:dyDescent="0.25">
      <c r="Y41627" s="501"/>
    </row>
    <row r="41628" spans="25:25" hidden="1" x14ac:dyDescent="0.25">
      <c r="Y41628" s="501"/>
    </row>
    <row r="41629" spans="25:25" hidden="1" x14ac:dyDescent="0.25">
      <c r="Y41629" s="501"/>
    </row>
    <row r="41630" spans="25:25" hidden="1" x14ac:dyDescent="0.25">
      <c r="Y41630" s="501"/>
    </row>
    <row r="41631" spans="25:25" hidden="1" x14ac:dyDescent="0.25">
      <c r="Y41631" s="501"/>
    </row>
    <row r="41632" spans="25:25" hidden="1" x14ac:dyDescent="0.25">
      <c r="Y41632" s="501"/>
    </row>
    <row r="41633" spans="25:25" hidden="1" x14ac:dyDescent="0.25">
      <c r="Y41633" s="501"/>
    </row>
    <row r="41634" spans="25:25" hidden="1" x14ac:dyDescent="0.25">
      <c r="Y41634" s="501"/>
    </row>
    <row r="41635" spans="25:25" hidden="1" x14ac:dyDescent="0.25">
      <c r="Y41635" s="501"/>
    </row>
    <row r="41636" spans="25:25" hidden="1" x14ac:dyDescent="0.25">
      <c r="Y41636" s="501"/>
    </row>
    <row r="41637" spans="25:25" hidden="1" x14ac:dyDescent="0.25">
      <c r="Y41637" s="501"/>
    </row>
    <row r="41638" spans="25:25" hidden="1" x14ac:dyDescent="0.25">
      <c r="Y41638" s="501"/>
    </row>
    <row r="41639" spans="25:25" hidden="1" x14ac:dyDescent="0.25">
      <c r="Y41639" s="501"/>
    </row>
    <row r="41640" spans="25:25" hidden="1" x14ac:dyDescent="0.25">
      <c r="Y41640" s="501"/>
    </row>
    <row r="41641" spans="25:25" hidden="1" x14ac:dyDescent="0.25">
      <c r="Y41641" s="501"/>
    </row>
    <row r="41642" spans="25:25" hidden="1" x14ac:dyDescent="0.25">
      <c r="Y41642" s="501"/>
    </row>
    <row r="41643" spans="25:25" hidden="1" x14ac:dyDescent="0.25">
      <c r="Y41643" s="501"/>
    </row>
    <row r="41644" spans="25:25" hidden="1" x14ac:dyDescent="0.25">
      <c r="Y41644" s="501"/>
    </row>
    <row r="41645" spans="25:25" hidden="1" x14ac:dyDescent="0.25">
      <c r="Y41645" s="501"/>
    </row>
    <row r="41646" spans="25:25" hidden="1" x14ac:dyDescent="0.25">
      <c r="Y41646" s="501"/>
    </row>
    <row r="41647" spans="25:25" hidden="1" x14ac:dyDescent="0.25">
      <c r="Y41647" s="501"/>
    </row>
    <row r="41648" spans="25:25" hidden="1" x14ac:dyDescent="0.25">
      <c r="Y41648" s="501"/>
    </row>
    <row r="41649" spans="25:25" hidden="1" x14ac:dyDescent="0.25">
      <c r="Y41649" s="501"/>
    </row>
    <row r="41650" spans="25:25" hidden="1" x14ac:dyDescent="0.25">
      <c r="Y41650" s="501"/>
    </row>
    <row r="41651" spans="25:25" hidden="1" x14ac:dyDescent="0.25">
      <c r="Y41651" s="501"/>
    </row>
    <row r="41652" spans="25:25" hidden="1" x14ac:dyDescent="0.25">
      <c r="Y41652" s="501"/>
    </row>
    <row r="41653" spans="25:25" hidden="1" x14ac:dyDescent="0.25">
      <c r="Y41653" s="501"/>
    </row>
    <row r="41654" spans="25:25" hidden="1" x14ac:dyDescent="0.25">
      <c r="Y41654" s="501"/>
    </row>
    <row r="41655" spans="25:25" hidden="1" x14ac:dyDescent="0.25">
      <c r="Y41655" s="501"/>
    </row>
    <row r="41656" spans="25:25" hidden="1" x14ac:dyDescent="0.25">
      <c r="Y41656" s="501"/>
    </row>
    <row r="41657" spans="25:25" hidden="1" x14ac:dyDescent="0.25">
      <c r="Y41657" s="501"/>
    </row>
    <row r="41658" spans="25:25" hidden="1" x14ac:dyDescent="0.25">
      <c r="Y41658" s="501"/>
    </row>
    <row r="41659" spans="25:25" hidden="1" x14ac:dyDescent="0.25">
      <c r="Y41659" s="501"/>
    </row>
    <row r="41660" spans="25:25" hidden="1" x14ac:dyDescent="0.25">
      <c r="Y41660" s="501"/>
    </row>
    <row r="41661" spans="25:25" hidden="1" x14ac:dyDescent="0.25">
      <c r="Y41661" s="501"/>
    </row>
    <row r="41662" spans="25:25" hidden="1" x14ac:dyDescent="0.25">
      <c r="Y41662" s="501"/>
    </row>
    <row r="41663" spans="25:25" hidden="1" x14ac:dyDescent="0.25">
      <c r="Y41663" s="501"/>
    </row>
    <row r="41664" spans="25:25" hidden="1" x14ac:dyDescent="0.25">
      <c r="Y41664" s="501"/>
    </row>
    <row r="41665" spans="25:25" hidden="1" x14ac:dyDescent="0.25">
      <c r="Y41665" s="501"/>
    </row>
    <row r="41666" spans="25:25" hidden="1" x14ac:dyDescent="0.25">
      <c r="Y41666" s="501"/>
    </row>
    <row r="41667" spans="25:25" hidden="1" x14ac:dyDescent="0.25">
      <c r="Y41667" s="501"/>
    </row>
    <row r="41668" spans="25:25" hidden="1" x14ac:dyDescent="0.25">
      <c r="Y41668" s="501"/>
    </row>
    <row r="41669" spans="25:25" hidden="1" x14ac:dyDescent="0.25">
      <c r="Y41669" s="501"/>
    </row>
    <row r="41670" spans="25:25" hidden="1" x14ac:dyDescent="0.25">
      <c r="Y41670" s="501"/>
    </row>
    <row r="41671" spans="25:25" hidden="1" x14ac:dyDescent="0.25">
      <c r="Y41671" s="501"/>
    </row>
    <row r="41672" spans="25:25" hidden="1" x14ac:dyDescent="0.25">
      <c r="Y41672" s="501"/>
    </row>
    <row r="41673" spans="25:25" hidden="1" x14ac:dyDescent="0.25">
      <c r="Y41673" s="501"/>
    </row>
    <row r="41674" spans="25:25" hidden="1" x14ac:dyDescent="0.25">
      <c r="Y41674" s="501"/>
    </row>
    <row r="41675" spans="25:25" hidden="1" x14ac:dyDescent="0.25">
      <c r="Y41675" s="501"/>
    </row>
    <row r="41676" spans="25:25" hidden="1" x14ac:dyDescent="0.25">
      <c r="Y41676" s="501"/>
    </row>
    <row r="41677" spans="25:25" hidden="1" x14ac:dyDescent="0.25">
      <c r="Y41677" s="501"/>
    </row>
    <row r="41678" spans="25:25" hidden="1" x14ac:dyDescent="0.25">
      <c r="Y41678" s="501"/>
    </row>
    <row r="41679" spans="25:25" hidden="1" x14ac:dyDescent="0.25">
      <c r="Y41679" s="501"/>
    </row>
    <row r="41680" spans="25:25" hidden="1" x14ac:dyDescent="0.25">
      <c r="Y41680" s="501"/>
    </row>
    <row r="41681" spans="25:25" hidden="1" x14ac:dyDescent="0.25">
      <c r="Y41681" s="501"/>
    </row>
    <row r="41682" spans="25:25" hidden="1" x14ac:dyDescent="0.25">
      <c r="Y41682" s="501"/>
    </row>
    <row r="41683" spans="25:25" hidden="1" x14ac:dyDescent="0.25">
      <c r="Y41683" s="501"/>
    </row>
    <row r="41684" spans="25:25" hidden="1" x14ac:dyDescent="0.25">
      <c r="Y41684" s="501"/>
    </row>
    <row r="41685" spans="25:25" hidden="1" x14ac:dyDescent="0.25">
      <c r="Y41685" s="501"/>
    </row>
    <row r="41686" spans="25:25" hidden="1" x14ac:dyDescent="0.25">
      <c r="Y41686" s="501"/>
    </row>
    <row r="41687" spans="25:25" hidden="1" x14ac:dyDescent="0.25">
      <c r="Y41687" s="501"/>
    </row>
    <row r="41688" spans="25:25" hidden="1" x14ac:dyDescent="0.25">
      <c r="Y41688" s="501"/>
    </row>
    <row r="41689" spans="25:25" hidden="1" x14ac:dyDescent="0.25">
      <c r="Y41689" s="501"/>
    </row>
    <row r="41690" spans="25:25" hidden="1" x14ac:dyDescent="0.25">
      <c r="Y41690" s="501"/>
    </row>
    <row r="41691" spans="25:25" hidden="1" x14ac:dyDescent="0.25">
      <c r="Y41691" s="501"/>
    </row>
    <row r="41692" spans="25:25" hidden="1" x14ac:dyDescent="0.25">
      <c r="Y41692" s="501"/>
    </row>
    <row r="41693" spans="25:25" hidden="1" x14ac:dyDescent="0.25">
      <c r="Y41693" s="501"/>
    </row>
    <row r="41694" spans="25:25" hidden="1" x14ac:dyDescent="0.25">
      <c r="Y41694" s="501"/>
    </row>
    <row r="41695" spans="25:25" hidden="1" x14ac:dyDescent="0.25">
      <c r="Y41695" s="501"/>
    </row>
    <row r="41696" spans="25:25" hidden="1" x14ac:dyDescent="0.25">
      <c r="Y41696" s="501"/>
    </row>
    <row r="41697" spans="25:25" hidden="1" x14ac:dyDescent="0.25">
      <c r="Y41697" s="501"/>
    </row>
    <row r="41698" spans="25:25" hidden="1" x14ac:dyDescent="0.25">
      <c r="Y41698" s="501"/>
    </row>
    <row r="41699" spans="25:25" hidden="1" x14ac:dyDescent="0.25">
      <c r="Y41699" s="501"/>
    </row>
    <row r="41700" spans="25:25" hidden="1" x14ac:dyDescent="0.25">
      <c r="Y41700" s="501"/>
    </row>
    <row r="41701" spans="25:25" hidden="1" x14ac:dyDescent="0.25">
      <c r="Y41701" s="501"/>
    </row>
    <row r="41702" spans="25:25" hidden="1" x14ac:dyDescent="0.25">
      <c r="Y41702" s="501"/>
    </row>
    <row r="41703" spans="25:25" hidden="1" x14ac:dyDescent="0.25">
      <c r="Y41703" s="501"/>
    </row>
    <row r="41704" spans="25:25" hidden="1" x14ac:dyDescent="0.25">
      <c r="Y41704" s="501"/>
    </row>
    <row r="41705" spans="25:25" hidden="1" x14ac:dyDescent="0.25">
      <c r="Y41705" s="501"/>
    </row>
    <row r="41706" spans="25:25" hidden="1" x14ac:dyDescent="0.25">
      <c r="Y41706" s="501"/>
    </row>
    <row r="41707" spans="25:25" hidden="1" x14ac:dyDescent="0.25">
      <c r="Y41707" s="501"/>
    </row>
    <row r="41708" spans="25:25" hidden="1" x14ac:dyDescent="0.25">
      <c r="Y41708" s="501"/>
    </row>
    <row r="41709" spans="25:25" hidden="1" x14ac:dyDescent="0.25">
      <c r="Y41709" s="501"/>
    </row>
    <row r="41710" spans="25:25" hidden="1" x14ac:dyDescent="0.25">
      <c r="Y41710" s="501"/>
    </row>
    <row r="41711" spans="25:25" hidden="1" x14ac:dyDescent="0.25">
      <c r="Y41711" s="501"/>
    </row>
    <row r="41712" spans="25:25" hidden="1" x14ac:dyDescent="0.25">
      <c r="Y41712" s="501"/>
    </row>
    <row r="41713" spans="25:25" hidden="1" x14ac:dyDescent="0.25">
      <c r="Y41713" s="501"/>
    </row>
    <row r="41714" spans="25:25" hidden="1" x14ac:dyDescent="0.25">
      <c r="Y41714" s="501"/>
    </row>
    <row r="41715" spans="25:25" hidden="1" x14ac:dyDescent="0.25">
      <c r="Y41715" s="501"/>
    </row>
    <row r="41716" spans="25:25" hidden="1" x14ac:dyDescent="0.25">
      <c r="Y41716" s="501"/>
    </row>
    <row r="41717" spans="25:25" hidden="1" x14ac:dyDescent="0.25">
      <c r="Y41717" s="501"/>
    </row>
    <row r="41718" spans="25:25" hidden="1" x14ac:dyDescent="0.25">
      <c r="Y41718" s="501"/>
    </row>
    <row r="41719" spans="25:25" hidden="1" x14ac:dyDescent="0.25">
      <c r="Y41719" s="501"/>
    </row>
    <row r="41720" spans="25:25" hidden="1" x14ac:dyDescent="0.25">
      <c r="Y41720" s="501"/>
    </row>
    <row r="41721" spans="25:25" hidden="1" x14ac:dyDescent="0.25">
      <c r="Y41721" s="501"/>
    </row>
    <row r="41722" spans="25:25" hidden="1" x14ac:dyDescent="0.25">
      <c r="Y41722" s="501"/>
    </row>
    <row r="41723" spans="25:25" hidden="1" x14ac:dyDescent="0.25">
      <c r="Y41723" s="501"/>
    </row>
    <row r="41724" spans="25:25" hidden="1" x14ac:dyDescent="0.25">
      <c r="Y41724" s="501"/>
    </row>
    <row r="41725" spans="25:25" hidden="1" x14ac:dyDescent="0.25">
      <c r="Y41725" s="501"/>
    </row>
    <row r="41726" spans="25:25" hidden="1" x14ac:dyDescent="0.25">
      <c r="Y41726" s="501"/>
    </row>
    <row r="41727" spans="25:25" hidden="1" x14ac:dyDescent="0.25">
      <c r="Y41727" s="501"/>
    </row>
    <row r="41728" spans="25:25" hidden="1" x14ac:dyDescent="0.25">
      <c r="Y41728" s="501"/>
    </row>
    <row r="41729" spans="25:25" hidden="1" x14ac:dyDescent="0.25">
      <c r="Y41729" s="501"/>
    </row>
    <row r="41730" spans="25:25" hidden="1" x14ac:dyDescent="0.25">
      <c r="Y41730" s="501"/>
    </row>
    <row r="41731" spans="25:25" hidden="1" x14ac:dyDescent="0.25">
      <c r="Y41731" s="501"/>
    </row>
    <row r="41732" spans="25:25" hidden="1" x14ac:dyDescent="0.25">
      <c r="Y41732" s="501"/>
    </row>
    <row r="41733" spans="25:25" hidden="1" x14ac:dyDescent="0.25">
      <c r="Y41733" s="501"/>
    </row>
    <row r="41734" spans="25:25" hidden="1" x14ac:dyDescent="0.25">
      <c r="Y41734" s="501"/>
    </row>
    <row r="41735" spans="25:25" hidden="1" x14ac:dyDescent="0.25">
      <c r="Y41735" s="501"/>
    </row>
    <row r="41736" spans="25:25" hidden="1" x14ac:dyDescent="0.25">
      <c r="Y41736" s="501"/>
    </row>
    <row r="41737" spans="25:25" hidden="1" x14ac:dyDescent="0.25">
      <c r="Y41737" s="501"/>
    </row>
    <row r="41738" spans="25:25" hidden="1" x14ac:dyDescent="0.25">
      <c r="Y41738" s="501"/>
    </row>
    <row r="41739" spans="25:25" hidden="1" x14ac:dyDescent="0.25">
      <c r="Y41739" s="501"/>
    </row>
    <row r="41740" spans="25:25" hidden="1" x14ac:dyDescent="0.25">
      <c r="Y41740" s="501"/>
    </row>
    <row r="41741" spans="25:25" hidden="1" x14ac:dyDescent="0.25">
      <c r="Y41741" s="501"/>
    </row>
    <row r="41742" spans="25:25" hidden="1" x14ac:dyDescent="0.25">
      <c r="Y41742" s="501"/>
    </row>
    <row r="41743" spans="25:25" hidden="1" x14ac:dyDescent="0.25">
      <c r="Y41743" s="501"/>
    </row>
    <row r="41744" spans="25:25" hidden="1" x14ac:dyDescent="0.25">
      <c r="Y41744" s="501"/>
    </row>
    <row r="41745" spans="25:25" hidden="1" x14ac:dyDescent="0.25">
      <c r="Y41745" s="501"/>
    </row>
    <row r="41746" spans="25:25" hidden="1" x14ac:dyDescent="0.25">
      <c r="Y41746" s="501"/>
    </row>
    <row r="41747" spans="25:25" hidden="1" x14ac:dyDescent="0.25">
      <c r="Y41747" s="501"/>
    </row>
    <row r="41748" spans="25:25" hidden="1" x14ac:dyDescent="0.25">
      <c r="Y41748" s="501"/>
    </row>
    <row r="41749" spans="25:25" hidden="1" x14ac:dyDescent="0.25">
      <c r="Y41749" s="501"/>
    </row>
    <row r="41750" spans="25:25" hidden="1" x14ac:dyDescent="0.25">
      <c r="Y41750" s="501"/>
    </row>
    <row r="41751" spans="25:25" hidden="1" x14ac:dyDescent="0.25">
      <c r="Y41751" s="501"/>
    </row>
    <row r="41752" spans="25:25" hidden="1" x14ac:dyDescent="0.25">
      <c r="Y41752" s="501"/>
    </row>
    <row r="41753" spans="25:25" hidden="1" x14ac:dyDescent="0.25">
      <c r="Y41753" s="501"/>
    </row>
    <row r="41754" spans="25:25" hidden="1" x14ac:dyDescent="0.25">
      <c r="Y41754" s="501"/>
    </row>
    <row r="41755" spans="25:25" hidden="1" x14ac:dyDescent="0.25">
      <c r="Y41755" s="501"/>
    </row>
    <row r="41756" spans="25:25" hidden="1" x14ac:dyDescent="0.25">
      <c r="Y41756" s="501"/>
    </row>
    <row r="41757" spans="25:25" hidden="1" x14ac:dyDescent="0.25">
      <c r="Y41757" s="501"/>
    </row>
    <row r="41758" spans="25:25" hidden="1" x14ac:dyDescent="0.25">
      <c r="Y41758" s="501"/>
    </row>
    <row r="41759" spans="25:25" hidden="1" x14ac:dyDescent="0.25">
      <c r="Y41759" s="501"/>
    </row>
    <row r="41760" spans="25:25" hidden="1" x14ac:dyDescent="0.25">
      <c r="Y41760" s="501"/>
    </row>
    <row r="41761" spans="25:25" hidden="1" x14ac:dyDescent="0.25">
      <c r="Y41761" s="501"/>
    </row>
    <row r="41762" spans="25:25" hidden="1" x14ac:dyDescent="0.25">
      <c r="Y41762" s="501"/>
    </row>
    <row r="41763" spans="25:25" hidden="1" x14ac:dyDescent="0.25">
      <c r="Y41763" s="501"/>
    </row>
    <row r="41764" spans="25:25" hidden="1" x14ac:dyDescent="0.25">
      <c r="Y41764" s="501"/>
    </row>
    <row r="41765" spans="25:25" hidden="1" x14ac:dyDescent="0.25">
      <c r="Y41765" s="501"/>
    </row>
    <row r="41766" spans="25:25" hidden="1" x14ac:dyDescent="0.25">
      <c r="Y41766" s="501"/>
    </row>
    <row r="41767" spans="25:25" hidden="1" x14ac:dyDescent="0.25">
      <c r="Y41767" s="501"/>
    </row>
    <row r="41768" spans="25:25" hidden="1" x14ac:dyDescent="0.25">
      <c r="Y41768" s="501"/>
    </row>
    <row r="41769" spans="25:25" hidden="1" x14ac:dyDescent="0.25">
      <c r="Y41769" s="501"/>
    </row>
    <row r="41770" spans="25:25" hidden="1" x14ac:dyDescent="0.25">
      <c r="Y41770" s="501"/>
    </row>
    <row r="41771" spans="25:25" hidden="1" x14ac:dyDescent="0.25">
      <c r="Y41771" s="501"/>
    </row>
    <row r="41772" spans="25:25" hidden="1" x14ac:dyDescent="0.25">
      <c r="Y41772" s="501"/>
    </row>
    <row r="41773" spans="25:25" hidden="1" x14ac:dyDescent="0.25">
      <c r="Y41773" s="501"/>
    </row>
    <row r="41774" spans="25:25" hidden="1" x14ac:dyDescent="0.25">
      <c r="Y41774" s="501"/>
    </row>
    <row r="41775" spans="25:25" hidden="1" x14ac:dyDescent="0.25">
      <c r="Y41775" s="501"/>
    </row>
    <row r="41776" spans="25:25" hidden="1" x14ac:dyDescent="0.25">
      <c r="Y41776" s="501"/>
    </row>
    <row r="41777" spans="25:25" hidden="1" x14ac:dyDescent="0.25">
      <c r="Y41777" s="501"/>
    </row>
    <row r="41778" spans="25:25" hidden="1" x14ac:dyDescent="0.25">
      <c r="Y41778" s="501"/>
    </row>
    <row r="41779" spans="25:25" hidden="1" x14ac:dyDescent="0.25">
      <c r="Y41779" s="501"/>
    </row>
    <row r="41780" spans="25:25" hidden="1" x14ac:dyDescent="0.25">
      <c r="Y41780" s="501"/>
    </row>
    <row r="41781" spans="25:25" hidden="1" x14ac:dyDescent="0.25">
      <c r="Y41781" s="501"/>
    </row>
    <row r="41782" spans="25:25" hidden="1" x14ac:dyDescent="0.25">
      <c r="Y41782" s="501"/>
    </row>
    <row r="41783" spans="25:25" hidden="1" x14ac:dyDescent="0.25">
      <c r="Y41783" s="501"/>
    </row>
    <row r="41784" spans="25:25" hidden="1" x14ac:dyDescent="0.25">
      <c r="Y41784" s="501"/>
    </row>
    <row r="41785" spans="25:25" hidden="1" x14ac:dyDescent="0.25">
      <c r="Y41785" s="501"/>
    </row>
    <row r="41786" spans="25:25" hidden="1" x14ac:dyDescent="0.25">
      <c r="Y41786" s="501"/>
    </row>
    <row r="41787" spans="25:25" hidden="1" x14ac:dyDescent="0.25">
      <c r="Y41787" s="501"/>
    </row>
    <row r="41788" spans="25:25" hidden="1" x14ac:dyDescent="0.25">
      <c r="Y41788" s="501"/>
    </row>
    <row r="41789" spans="25:25" hidden="1" x14ac:dyDescent="0.25">
      <c r="Y41789" s="501"/>
    </row>
    <row r="41790" spans="25:25" hidden="1" x14ac:dyDescent="0.25">
      <c r="Y41790" s="501"/>
    </row>
    <row r="41791" spans="25:25" hidden="1" x14ac:dyDescent="0.25">
      <c r="Y41791" s="501"/>
    </row>
    <row r="41792" spans="25:25" hidden="1" x14ac:dyDescent="0.25">
      <c r="Y41792" s="501"/>
    </row>
    <row r="41793" spans="25:25" hidden="1" x14ac:dyDescent="0.25">
      <c r="Y41793" s="501"/>
    </row>
    <row r="41794" spans="25:25" hidden="1" x14ac:dyDescent="0.25">
      <c r="Y41794" s="501"/>
    </row>
    <row r="41795" spans="25:25" hidden="1" x14ac:dyDescent="0.25">
      <c r="Y41795" s="501"/>
    </row>
    <row r="41796" spans="25:25" hidden="1" x14ac:dyDescent="0.25">
      <c r="Y41796" s="501"/>
    </row>
    <row r="41797" spans="25:25" hidden="1" x14ac:dyDescent="0.25">
      <c r="Y41797" s="501"/>
    </row>
    <row r="41798" spans="25:25" hidden="1" x14ac:dyDescent="0.25">
      <c r="Y41798" s="501"/>
    </row>
    <row r="41799" spans="25:25" hidden="1" x14ac:dyDescent="0.25">
      <c r="Y41799" s="501"/>
    </row>
    <row r="41800" spans="25:25" hidden="1" x14ac:dyDescent="0.25">
      <c r="Y41800" s="501"/>
    </row>
    <row r="41801" spans="25:25" hidden="1" x14ac:dyDescent="0.25">
      <c r="Y41801" s="501"/>
    </row>
    <row r="41802" spans="25:25" hidden="1" x14ac:dyDescent="0.25">
      <c r="Y41802" s="501"/>
    </row>
    <row r="41803" spans="25:25" hidden="1" x14ac:dyDescent="0.25">
      <c r="Y41803" s="501"/>
    </row>
    <row r="41804" spans="25:25" hidden="1" x14ac:dyDescent="0.25">
      <c r="Y41804" s="501"/>
    </row>
    <row r="41805" spans="25:25" hidden="1" x14ac:dyDescent="0.25">
      <c r="Y41805" s="501"/>
    </row>
    <row r="41806" spans="25:25" hidden="1" x14ac:dyDescent="0.25">
      <c r="Y41806" s="501"/>
    </row>
    <row r="41807" spans="25:25" hidden="1" x14ac:dyDescent="0.25">
      <c r="Y41807" s="501"/>
    </row>
    <row r="41808" spans="25:25" hidden="1" x14ac:dyDescent="0.25">
      <c r="Y41808" s="501"/>
    </row>
    <row r="41809" spans="25:25" hidden="1" x14ac:dyDescent="0.25">
      <c r="Y41809" s="501"/>
    </row>
    <row r="41810" spans="25:25" hidden="1" x14ac:dyDescent="0.25">
      <c r="Y41810" s="501"/>
    </row>
    <row r="41811" spans="25:25" hidden="1" x14ac:dyDescent="0.25">
      <c r="Y41811" s="501"/>
    </row>
    <row r="41812" spans="25:25" hidden="1" x14ac:dyDescent="0.25">
      <c r="Y41812" s="501"/>
    </row>
    <row r="41813" spans="25:25" hidden="1" x14ac:dyDescent="0.25">
      <c r="Y41813" s="501"/>
    </row>
    <row r="41814" spans="25:25" hidden="1" x14ac:dyDescent="0.25">
      <c r="Y41814" s="501"/>
    </row>
    <row r="41815" spans="25:25" hidden="1" x14ac:dyDescent="0.25">
      <c r="Y41815" s="501"/>
    </row>
    <row r="41816" spans="25:25" hidden="1" x14ac:dyDescent="0.25">
      <c r="Y41816" s="501"/>
    </row>
    <row r="41817" spans="25:25" hidden="1" x14ac:dyDescent="0.25">
      <c r="Y41817" s="501"/>
    </row>
    <row r="41818" spans="25:25" hidden="1" x14ac:dyDescent="0.25">
      <c r="Y41818" s="501"/>
    </row>
    <row r="41819" spans="25:25" hidden="1" x14ac:dyDescent="0.25">
      <c r="Y41819" s="501"/>
    </row>
    <row r="41820" spans="25:25" hidden="1" x14ac:dyDescent="0.25">
      <c r="Y41820" s="501"/>
    </row>
    <row r="41821" spans="25:25" hidden="1" x14ac:dyDescent="0.25">
      <c r="Y41821" s="501"/>
    </row>
    <row r="41822" spans="25:25" hidden="1" x14ac:dyDescent="0.25">
      <c r="Y41822" s="501"/>
    </row>
    <row r="41823" spans="25:25" hidden="1" x14ac:dyDescent="0.25">
      <c r="Y41823" s="501"/>
    </row>
    <row r="41824" spans="25:25" hidden="1" x14ac:dyDescent="0.25">
      <c r="Y41824" s="501"/>
    </row>
    <row r="41825" spans="25:25" hidden="1" x14ac:dyDescent="0.25">
      <c r="Y41825" s="501"/>
    </row>
    <row r="41826" spans="25:25" hidden="1" x14ac:dyDescent="0.25">
      <c r="Y41826" s="501"/>
    </row>
    <row r="41827" spans="25:25" hidden="1" x14ac:dyDescent="0.25">
      <c r="Y41827" s="501"/>
    </row>
    <row r="41828" spans="25:25" hidden="1" x14ac:dyDescent="0.25">
      <c r="Y41828" s="501"/>
    </row>
    <row r="41829" spans="25:25" hidden="1" x14ac:dyDescent="0.25">
      <c r="Y41829" s="501"/>
    </row>
    <row r="41830" spans="25:25" hidden="1" x14ac:dyDescent="0.25">
      <c r="Y41830" s="501"/>
    </row>
    <row r="41831" spans="25:25" hidden="1" x14ac:dyDescent="0.25">
      <c r="Y41831" s="501"/>
    </row>
    <row r="41832" spans="25:25" hidden="1" x14ac:dyDescent="0.25">
      <c r="Y41832" s="501"/>
    </row>
    <row r="41833" spans="25:25" hidden="1" x14ac:dyDescent="0.25">
      <c r="Y41833" s="501"/>
    </row>
    <row r="41834" spans="25:25" hidden="1" x14ac:dyDescent="0.25">
      <c r="Y41834" s="501"/>
    </row>
    <row r="41835" spans="25:25" hidden="1" x14ac:dyDescent="0.25">
      <c r="Y41835" s="501"/>
    </row>
    <row r="41836" spans="25:25" hidden="1" x14ac:dyDescent="0.25">
      <c r="Y41836" s="501"/>
    </row>
    <row r="41837" spans="25:25" hidden="1" x14ac:dyDescent="0.25">
      <c r="Y41837" s="501"/>
    </row>
    <row r="41838" spans="25:25" hidden="1" x14ac:dyDescent="0.25">
      <c r="Y41838" s="501"/>
    </row>
    <row r="41839" spans="25:25" hidden="1" x14ac:dyDescent="0.25">
      <c r="Y41839" s="501"/>
    </row>
    <row r="41840" spans="25:25" hidden="1" x14ac:dyDescent="0.25">
      <c r="Y41840" s="501"/>
    </row>
    <row r="41841" spans="25:25" hidden="1" x14ac:dyDescent="0.25">
      <c r="Y41841" s="501"/>
    </row>
    <row r="41842" spans="25:25" hidden="1" x14ac:dyDescent="0.25">
      <c r="Y41842" s="501"/>
    </row>
    <row r="41843" spans="25:25" hidden="1" x14ac:dyDescent="0.25">
      <c r="Y41843" s="501"/>
    </row>
    <row r="41844" spans="25:25" hidden="1" x14ac:dyDescent="0.25">
      <c r="Y41844" s="501"/>
    </row>
    <row r="41845" spans="25:25" hidden="1" x14ac:dyDescent="0.25">
      <c r="Y41845" s="501"/>
    </row>
    <row r="41846" spans="25:25" hidden="1" x14ac:dyDescent="0.25">
      <c r="Y41846" s="501"/>
    </row>
    <row r="41847" spans="25:25" hidden="1" x14ac:dyDescent="0.25">
      <c r="Y41847" s="501"/>
    </row>
    <row r="41848" spans="25:25" hidden="1" x14ac:dyDescent="0.25">
      <c r="Y41848" s="501"/>
    </row>
    <row r="41849" spans="25:25" hidden="1" x14ac:dyDescent="0.25">
      <c r="Y41849" s="501"/>
    </row>
    <row r="41850" spans="25:25" hidden="1" x14ac:dyDescent="0.25">
      <c r="Y41850" s="501"/>
    </row>
    <row r="41851" spans="25:25" hidden="1" x14ac:dyDescent="0.25">
      <c r="Y41851" s="501"/>
    </row>
    <row r="41852" spans="25:25" hidden="1" x14ac:dyDescent="0.25">
      <c r="Y41852" s="501"/>
    </row>
    <row r="41853" spans="25:25" hidden="1" x14ac:dyDescent="0.25">
      <c r="Y41853" s="501"/>
    </row>
    <row r="41854" spans="25:25" hidden="1" x14ac:dyDescent="0.25">
      <c r="Y41854" s="501"/>
    </row>
    <row r="41855" spans="25:25" hidden="1" x14ac:dyDescent="0.25">
      <c r="Y41855" s="501"/>
    </row>
    <row r="41856" spans="25:25" hidden="1" x14ac:dyDescent="0.25">
      <c r="Y41856" s="501"/>
    </row>
    <row r="41857" spans="25:25" hidden="1" x14ac:dyDescent="0.25">
      <c r="Y41857" s="501"/>
    </row>
    <row r="41858" spans="25:25" hidden="1" x14ac:dyDescent="0.25">
      <c r="Y41858" s="501"/>
    </row>
    <row r="41859" spans="25:25" hidden="1" x14ac:dyDescent="0.25">
      <c r="Y41859" s="501"/>
    </row>
    <row r="41860" spans="25:25" hidden="1" x14ac:dyDescent="0.25">
      <c r="Y41860" s="501"/>
    </row>
    <row r="41861" spans="25:25" hidden="1" x14ac:dyDescent="0.25">
      <c r="Y41861" s="501"/>
    </row>
    <row r="41862" spans="25:25" hidden="1" x14ac:dyDescent="0.25">
      <c r="Y41862" s="501"/>
    </row>
    <row r="41863" spans="25:25" hidden="1" x14ac:dyDescent="0.25">
      <c r="Y41863" s="501"/>
    </row>
    <row r="41864" spans="25:25" hidden="1" x14ac:dyDescent="0.25">
      <c r="Y41864" s="501"/>
    </row>
    <row r="41865" spans="25:25" hidden="1" x14ac:dyDescent="0.25">
      <c r="Y41865" s="501"/>
    </row>
    <row r="41866" spans="25:25" hidden="1" x14ac:dyDescent="0.25">
      <c r="Y41866" s="501"/>
    </row>
    <row r="41867" spans="25:25" hidden="1" x14ac:dyDescent="0.25">
      <c r="Y41867" s="501"/>
    </row>
    <row r="41868" spans="25:25" hidden="1" x14ac:dyDescent="0.25">
      <c r="Y41868" s="501"/>
    </row>
    <row r="41869" spans="25:25" hidden="1" x14ac:dyDescent="0.25">
      <c r="Y41869" s="501"/>
    </row>
    <row r="41870" spans="25:25" hidden="1" x14ac:dyDescent="0.25">
      <c r="Y41870" s="501"/>
    </row>
    <row r="41871" spans="25:25" hidden="1" x14ac:dyDescent="0.25">
      <c r="Y41871" s="501"/>
    </row>
    <row r="41872" spans="25:25" hidden="1" x14ac:dyDescent="0.25">
      <c r="Y41872" s="501"/>
    </row>
    <row r="41873" spans="25:25" hidden="1" x14ac:dyDescent="0.25">
      <c r="Y41873" s="501"/>
    </row>
    <row r="41874" spans="25:25" hidden="1" x14ac:dyDescent="0.25">
      <c r="Y41874" s="501"/>
    </row>
    <row r="41875" spans="25:25" hidden="1" x14ac:dyDescent="0.25">
      <c r="Y41875" s="501"/>
    </row>
    <row r="41876" spans="25:25" hidden="1" x14ac:dyDescent="0.25">
      <c r="Y41876" s="501"/>
    </row>
    <row r="41877" spans="25:25" hidden="1" x14ac:dyDescent="0.25">
      <c r="Y41877" s="501"/>
    </row>
    <row r="41878" spans="25:25" hidden="1" x14ac:dyDescent="0.25">
      <c r="Y41878" s="501"/>
    </row>
    <row r="41879" spans="25:25" hidden="1" x14ac:dyDescent="0.25">
      <c r="Y41879" s="501"/>
    </row>
    <row r="41880" spans="25:25" hidden="1" x14ac:dyDescent="0.25">
      <c r="Y41880" s="501"/>
    </row>
    <row r="41881" spans="25:25" hidden="1" x14ac:dyDescent="0.25">
      <c r="Y41881" s="501"/>
    </row>
    <row r="41882" spans="25:25" hidden="1" x14ac:dyDescent="0.25">
      <c r="Y41882" s="501"/>
    </row>
    <row r="41883" spans="25:25" hidden="1" x14ac:dyDescent="0.25">
      <c r="Y41883" s="501"/>
    </row>
    <row r="41884" spans="25:25" hidden="1" x14ac:dyDescent="0.25">
      <c r="Y41884" s="501"/>
    </row>
    <row r="41885" spans="25:25" hidden="1" x14ac:dyDescent="0.25">
      <c r="Y41885" s="501"/>
    </row>
    <row r="41886" spans="25:25" hidden="1" x14ac:dyDescent="0.25">
      <c r="Y41886" s="501"/>
    </row>
    <row r="41887" spans="25:25" hidden="1" x14ac:dyDescent="0.25">
      <c r="Y41887" s="501"/>
    </row>
    <row r="41888" spans="25:25" hidden="1" x14ac:dyDescent="0.25">
      <c r="Y41888" s="501"/>
    </row>
    <row r="41889" spans="25:25" hidden="1" x14ac:dyDescent="0.25">
      <c r="Y41889" s="501"/>
    </row>
    <row r="41890" spans="25:25" hidden="1" x14ac:dyDescent="0.25">
      <c r="Y41890" s="501"/>
    </row>
    <row r="41891" spans="25:25" hidden="1" x14ac:dyDescent="0.25">
      <c r="Y41891" s="501"/>
    </row>
    <row r="41892" spans="25:25" hidden="1" x14ac:dyDescent="0.25">
      <c r="Y41892" s="501"/>
    </row>
    <row r="41893" spans="25:25" hidden="1" x14ac:dyDescent="0.25">
      <c r="Y41893" s="501"/>
    </row>
    <row r="41894" spans="25:25" hidden="1" x14ac:dyDescent="0.25">
      <c r="Y41894" s="501"/>
    </row>
    <row r="41895" spans="25:25" hidden="1" x14ac:dyDescent="0.25">
      <c r="Y41895" s="501"/>
    </row>
    <row r="41896" spans="25:25" hidden="1" x14ac:dyDescent="0.25">
      <c r="Y41896" s="501"/>
    </row>
    <row r="41897" spans="25:25" hidden="1" x14ac:dyDescent="0.25">
      <c r="Y41897" s="501"/>
    </row>
    <row r="41898" spans="25:25" hidden="1" x14ac:dyDescent="0.25">
      <c r="Y41898" s="501"/>
    </row>
    <row r="41899" spans="25:25" hidden="1" x14ac:dyDescent="0.25">
      <c r="Y41899" s="501"/>
    </row>
    <row r="41900" spans="25:25" hidden="1" x14ac:dyDescent="0.25">
      <c r="Y41900" s="501"/>
    </row>
    <row r="41901" spans="25:25" hidden="1" x14ac:dyDescent="0.25">
      <c r="Y41901" s="501"/>
    </row>
    <row r="41902" spans="25:25" hidden="1" x14ac:dyDescent="0.25">
      <c r="Y41902" s="501"/>
    </row>
    <row r="41903" spans="25:25" hidden="1" x14ac:dyDescent="0.25">
      <c r="Y41903" s="501"/>
    </row>
    <row r="41904" spans="25:25" hidden="1" x14ac:dyDescent="0.25">
      <c r="Y41904" s="501"/>
    </row>
    <row r="41905" spans="25:25" hidden="1" x14ac:dyDescent="0.25">
      <c r="Y41905" s="501"/>
    </row>
    <row r="41906" spans="25:25" hidden="1" x14ac:dyDescent="0.25">
      <c r="Y41906" s="501"/>
    </row>
    <row r="41907" spans="25:25" hidden="1" x14ac:dyDescent="0.25">
      <c r="Y41907" s="501"/>
    </row>
    <row r="41908" spans="25:25" hidden="1" x14ac:dyDescent="0.25">
      <c r="Y41908" s="501"/>
    </row>
    <row r="41909" spans="25:25" hidden="1" x14ac:dyDescent="0.25">
      <c r="Y41909" s="501"/>
    </row>
    <row r="41910" spans="25:25" hidden="1" x14ac:dyDescent="0.25">
      <c r="Y41910" s="501"/>
    </row>
    <row r="41911" spans="25:25" hidden="1" x14ac:dyDescent="0.25">
      <c r="Y41911" s="501"/>
    </row>
    <row r="41912" spans="25:25" hidden="1" x14ac:dyDescent="0.25">
      <c r="Y41912" s="501"/>
    </row>
    <row r="41913" spans="25:25" hidden="1" x14ac:dyDescent="0.25">
      <c r="Y41913" s="501"/>
    </row>
    <row r="41914" spans="25:25" hidden="1" x14ac:dyDescent="0.25">
      <c r="Y41914" s="501"/>
    </row>
    <row r="41915" spans="25:25" hidden="1" x14ac:dyDescent="0.25">
      <c r="Y41915" s="501"/>
    </row>
    <row r="41916" spans="25:25" hidden="1" x14ac:dyDescent="0.25">
      <c r="Y41916" s="501"/>
    </row>
    <row r="41917" spans="25:25" hidden="1" x14ac:dyDescent="0.25">
      <c r="Y41917" s="501"/>
    </row>
    <row r="41918" spans="25:25" hidden="1" x14ac:dyDescent="0.25">
      <c r="Y41918" s="501"/>
    </row>
    <row r="41919" spans="25:25" hidden="1" x14ac:dyDescent="0.25">
      <c r="Y41919" s="501"/>
    </row>
    <row r="41920" spans="25:25" hidden="1" x14ac:dyDescent="0.25">
      <c r="Y41920" s="501"/>
    </row>
    <row r="41921" spans="25:25" hidden="1" x14ac:dyDescent="0.25">
      <c r="Y41921" s="501"/>
    </row>
    <row r="41922" spans="25:25" hidden="1" x14ac:dyDescent="0.25">
      <c r="Y41922" s="501"/>
    </row>
    <row r="41923" spans="25:25" hidden="1" x14ac:dyDescent="0.25">
      <c r="Y41923" s="501"/>
    </row>
    <row r="41924" spans="25:25" hidden="1" x14ac:dyDescent="0.25">
      <c r="Y41924" s="501"/>
    </row>
    <row r="41925" spans="25:25" hidden="1" x14ac:dyDescent="0.25">
      <c r="Y41925" s="501"/>
    </row>
    <row r="41926" spans="25:25" hidden="1" x14ac:dyDescent="0.25">
      <c r="Y41926" s="501"/>
    </row>
    <row r="41927" spans="25:25" hidden="1" x14ac:dyDescent="0.25">
      <c r="Y41927" s="501"/>
    </row>
    <row r="41928" spans="25:25" hidden="1" x14ac:dyDescent="0.25">
      <c r="Y41928" s="501"/>
    </row>
    <row r="41929" spans="25:25" hidden="1" x14ac:dyDescent="0.25">
      <c r="Y41929" s="501"/>
    </row>
    <row r="41930" spans="25:25" hidden="1" x14ac:dyDescent="0.25">
      <c r="Y41930" s="501"/>
    </row>
    <row r="41931" spans="25:25" hidden="1" x14ac:dyDescent="0.25">
      <c r="Y41931" s="501"/>
    </row>
    <row r="41932" spans="25:25" hidden="1" x14ac:dyDescent="0.25">
      <c r="Y41932" s="501"/>
    </row>
    <row r="41933" spans="25:25" hidden="1" x14ac:dyDescent="0.25">
      <c r="Y41933" s="501"/>
    </row>
    <row r="41934" spans="25:25" hidden="1" x14ac:dyDescent="0.25">
      <c r="Y41934" s="501"/>
    </row>
    <row r="41935" spans="25:25" hidden="1" x14ac:dyDescent="0.25">
      <c r="Y41935" s="501"/>
    </row>
    <row r="41936" spans="25:25" hidden="1" x14ac:dyDescent="0.25">
      <c r="Y41936" s="501"/>
    </row>
    <row r="41937" spans="25:25" hidden="1" x14ac:dyDescent="0.25">
      <c r="Y41937" s="501"/>
    </row>
    <row r="41938" spans="25:25" hidden="1" x14ac:dyDescent="0.25">
      <c r="Y41938" s="501"/>
    </row>
    <row r="41939" spans="25:25" hidden="1" x14ac:dyDescent="0.25">
      <c r="Y41939" s="501"/>
    </row>
    <row r="41940" spans="25:25" hidden="1" x14ac:dyDescent="0.25">
      <c r="Y41940" s="501"/>
    </row>
    <row r="41941" spans="25:25" hidden="1" x14ac:dyDescent="0.25">
      <c r="Y41941" s="501"/>
    </row>
    <row r="41942" spans="25:25" hidden="1" x14ac:dyDescent="0.25">
      <c r="Y41942" s="501"/>
    </row>
    <row r="41943" spans="25:25" hidden="1" x14ac:dyDescent="0.25">
      <c r="Y41943" s="501"/>
    </row>
    <row r="41944" spans="25:25" hidden="1" x14ac:dyDescent="0.25">
      <c r="Y41944" s="501"/>
    </row>
    <row r="41945" spans="25:25" hidden="1" x14ac:dyDescent="0.25">
      <c r="Y41945" s="501"/>
    </row>
    <row r="41946" spans="25:25" hidden="1" x14ac:dyDescent="0.25">
      <c r="Y41946" s="501"/>
    </row>
    <row r="41947" spans="25:25" hidden="1" x14ac:dyDescent="0.25">
      <c r="Y41947" s="501"/>
    </row>
    <row r="41948" spans="25:25" hidden="1" x14ac:dyDescent="0.25">
      <c r="Y41948" s="501"/>
    </row>
    <row r="41949" spans="25:25" hidden="1" x14ac:dyDescent="0.25">
      <c r="Y41949" s="501"/>
    </row>
    <row r="41950" spans="25:25" hidden="1" x14ac:dyDescent="0.25">
      <c r="Y41950" s="501"/>
    </row>
    <row r="41951" spans="25:25" hidden="1" x14ac:dyDescent="0.25">
      <c r="Y41951" s="501"/>
    </row>
    <row r="41952" spans="25:25" hidden="1" x14ac:dyDescent="0.25">
      <c r="Y41952" s="501"/>
    </row>
    <row r="41953" spans="25:25" hidden="1" x14ac:dyDescent="0.25">
      <c r="Y41953" s="501"/>
    </row>
    <row r="41954" spans="25:25" hidden="1" x14ac:dyDescent="0.25">
      <c r="Y41954" s="501"/>
    </row>
    <row r="41955" spans="25:25" hidden="1" x14ac:dyDescent="0.25">
      <c r="Y41955" s="501"/>
    </row>
    <row r="41956" spans="25:25" hidden="1" x14ac:dyDescent="0.25">
      <c r="Y41956" s="501"/>
    </row>
    <row r="41957" spans="25:25" hidden="1" x14ac:dyDescent="0.25">
      <c r="Y41957" s="501"/>
    </row>
    <row r="41958" spans="25:25" hidden="1" x14ac:dyDescent="0.25">
      <c r="Y41958" s="501"/>
    </row>
    <row r="41959" spans="25:25" hidden="1" x14ac:dyDescent="0.25">
      <c r="Y41959" s="501"/>
    </row>
    <row r="41960" spans="25:25" hidden="1" x14ac:dyDescent="0.25">
      <c r="Y41960" s="501"/>
    </row>
    <row r="41961" spans="25:25" hidden="1" x14ac:dyDescent="0.25">
      <c r="Y41961" s="501"/>
    </row>
    <row r="41962" spans="25:25" hidden="1" x14ac:dyDescent="0.25">
      <c r="Y41962" s="501"/>
    </row>
    <row r="41963" spans="25:25" hidden="1" x14ac:dyDescent="0.25">
      <c r="Y41963" s="501"/>
    </row>
    <row r="41964" spans="25:25" hidden="1" x14ac:dyDescent="0.25">
      <c r="Y41964" s="501"/>
    </row>
    <row r="41965" spans="25:25" hidden="1" x14ac:dyDescent="0.25">
      <c r="Y41965" s="501"/>
    </row>
    <row r="41966" spans="25:25" hidden="1" x14ac:dyDescent="0.25">
      <c r="Y41966" s="501"/>
    </row>
    <row r="41967" spans="25:25" hidden="1" x14ac:dyDescent="0.25">
      <c r="Y41967" s="501"/>
    </row>
    <row r="41968" spans="25:25" hidden="1" x14ac:dyDescent="0.25">
      <c r="Y41968" s="501"/>
    </row>
    <row r="41969" spans="25:25" hidden="1" x14ac:dyDescent="0.25">
      <c r="Y41969" s="501"/>
    </row>
    <row r="41970" spans="25:25" hidden="1" x14ac:dyDescent="0.25">
      <c r="Y41970" s="501"/>
    </row>
    <row r="41971" spans="25:25" hidden="1" x14ac:dyDescent="0.25">
      <c r="Y41971" s="501"/>
    </row>
    <row r="41972" spans="25:25" hidden="1" x14ac:dyDescent="0.25">
      <c r="Y41972" s="501"/>
    </row>
    <row r="41973" spans="25:25" hidden="1" x14ac:dyDescent="0.25">
      <c r="Y41973" s="501"/>
    </row>
    <row r="41974" spans="25:25" hidden="1" x14ac:dyDescent="0.25">
      <c r="Y41974" s="501"/>
    </row>
    <row r="41975" spans="25:25" hidden="1" x14ac:dyDescent="0.25">
      <c r="Y41975" s="501"/>
    </row>
    <row r="41976" spans="25:25" hidden="1" x14ac:dyDescent="0.25">
      <c r="Y41976" s="501"/>
    </row>
    <row r="41977" spans="25:25" hidden="1" x14ac:dyDescent="0.25">
      <c r="Y41977" s="501"/>
    </row>
    <row r="41978" spans="25:25" hidden="1" x14ac:dyDescent="0.25">
      <c r="Y41978" s="501"/>
    </row>
    <row r="41979" spans="25:25" hidden="1" x14ac:dyDescent="0.25">
      <c r="Y41979" s="501"/>
    </row>
    <row r="41980" spans="25:25" hidden="1" x14ac:dyDescent="0.25">
      <c r="Y41980" s="501"/>
    </row>
    <row r="41981" spans="25:25" hidden="1" x14ac:dyDescent="0.25">
      <c r="Y41981" s="501"/>
    </row>
    <row r="41982" spans="25:25" hidden="1" x14ac:dyDescent="0.25">
      <c r="Y41982" s="501"/>
    </row>
    <row r="41983" spans="25:25" hidden="1" x14ac:dyDescent="0.25">
      <c r="Y41983" s="501"/>
    </row>
    <row r="41984" spans="25:25" hidden="1" x14ac:dyDescent="0.25">
      <c r="Y41984" s="501"/>
    </row>
    <row r="41985" spans="25:25" hidden="1" x14ac:dyDescent="0.25">
      <c r="Y41985" s="501"/>
    </row>
    <row r="41986" spans="25:25" hidden="1" x14ac:dyDescent="0.25">
      <c r="Y41986" s="501"/>
    </row>
    <row r="41987" spans="25:25" hidden="1" x14ac:dyDescent="0.25">
      <c r="Y41987" s="501"/>
    </row>
    <row r="41988" spans="25:25" hidden="1" x14ac:dyDescent="0.25">
      <c r="Y41988" s="501"/>
    </row>
    <row r="41989" spans="25:25" hidden="1" x14ac:dyDescent="0.25">
      <c r="Y41989" s="501"/>
    </row>
    <row r="41990" spans="25:25" hidden="1" x14ac:dyDescent="0.25">
      <c r="Y41990" s="501"/>
    </row>
    <row r="41991" spans="25:25" hidden="1" x14ac:dyDescent="0.25">
      <c r="Y41991" s="501"/>
    </row>
    <row r="41992" spans="25:25" hidden="1" x14ac:dyDescent="0.25">
      <c r="Y41992" s="501"/>
    </row>
    <row r="41993" spans="25:25" hidden="1" x14ac:dyDescent="0.25">
      <c r="Y41993" s="501"/>
    </row>
    <row r="41994" spans="25:25" hidden="1" x14ac:dyDescent="0.25">
      <c r="Y41994" s="501"/>
    </row>
    <row r="41995" spans="25:25" hidden="1" x14ac:dyDescent="0.25">
      <c r="Y41995" s="501"/>
    </row>
    <row r="41996" spans="25:25" hidden="1" x14ac:dyDescent="0.25">
      <c r="Y41996" s="501"/>
    </row>
    <row r="41997" spans="25:25" hidden="1" x14ac:dyDescent="0.25">
      <c r="Y41997" s="501"/>
    </row>
    <row r="41998" spans="25:25" hidden="1" x14ac:dyDescent="0.25">
      <c r="Y41998" s="501"/>
    </row>
    <row r="41999" spans="25:25" hidden="1" x14ac:dyDescent="0.25">
      <c r="Y41999" s="501"/>
    </row>
    <row r="42000" spans="25:25" hidden="1" x14ac:dyDescent="0.25">
      <c r="Y42000" s="501"/>
    </row>
    <row r="42001" spans="25:25" hidden="1" x14ac:dyDescent="0.25">
      <c r="Y42001" s="501"/>
    </row>
    <row r="42002" spans="25:25" hidden="1" x14ac:dyDescent="0.25">
      <c r="Y42002" s="501"/>
    </row>
    <row r="42003" spans="25:25" hidden="1" x14ac:dyDescent="0.25">
      <c r="Y42003" s="501"/>
    </row>
    <row r="42004" spans="25:25" hidden="1" x14ac:dyDescent="0.25">
      <c r="Y42004" s="501"/>
    </row>
    <row r="42005" spans="25:25" hidden="1" x14ac:dyDescent="0.25">
      <c r="Y42005" s="501"/>
    </row>
    <row r="42006" spans="25:25" hidden="1" x14ac:dyDescent="0.25">
      <c r="Y42006" s="501"/>
    </row>
    <row r="42007" spans="25:25" hidden="1" x14ac:dyDescent="0.25">
      <c r="Y42007" s="501"/>
    </row>
    <row r="42008" spans="25:25" hidden="1" x14ac:dyDescent="0.25">
      <c r="Y42008" s="501"/>
    </row>
    <row r="42009" spans="25:25" hidden="1" x14ac:dyDescent="0.25">
      <c r="Y42009" s="501"/>
    </row>
    <row r="42010" spans="25:25" hidden="1" x14ac:dyDescent="0.25">
      <c r="Y42010" s="501"/>
    </row>
    <row r="42011" spans="25:25" hidden="1" x14ac:dyDescent="0.25">
      <c r="Y42011" s="501"/>
    </row>
    <row r="42012" spans="25:25" hidden="1" x14ac:dyDescent="0.25">
      <c r="Y42012" s="501"/>
    </row>
    <row r="42013" spans="25:25" hidden="1" x14ac:dyDescent="0.25">
      <c r="Y42013" s="501"/>
    </row>
    <row r="42014" spans="25:25" hidden="1" x14ac:dyDescent="0.25">
      <c r="Y42014" s="501"/>
    </row>
    <row r="42015" spans="25:25" hidden="1" x14ac:dyDescent="0.25">
      <c r="Y42015" s="501"/>
    </row>
    <row r="42016" spans="25:25" hidden="1" x14ac:dyDescent="0.25">
      <c r="Y42016" s="501"/>
    </row>
    <row r="42017" spans="25:25" hidden="1" x14ac:dyDescent="0.25">
      <c r="Y42017" s="501"/>
    </row>
    <row r="42018" spans="25:25" hidden="1" x14ac:dyDescent="0.25">
      <c r="Y42018" s="501"/>
    </row>
    <row r="42019" spans="25:25" hidden="1" x14ac:dyDescent="0.25">
      <c r="Y42019" s="501"/>
    </row>
    <row r="42020" spans="25:25" hidden="1" x14ac:dyDescent="0.25">
      <c r="Y42020" s="501"/>
    </row>
    <row r="42021" spans="25:25" hidden="1" x14ac:dyDescent="0.25">
      <c r="Y42021" s="501"/>
    </row>
    <row r="42022" spans="25:25" hidden="1" x14ac:dyDescent="0.25">
      <c r="Y42022" s="501"/>
    </row>
    <row r="42023" spans="25:25" hidden="1" x14ac:dyDescent="0.25">
      <c r="Y42023" s="501"/>
    </row>
    <row r="42024" spans="25:25" hidden="1" x14ac:dyDescent="0.25">
      <c r="Y42024" s="501"/>
    </row>
    <row r="42025" spans="25:25" hidden="1" x14ac:dyDescent="0.25">
      <c r="Y42025" s="501"/>
    </row>
    <row r="42026" spans="25:25" hidden="1" x14ac:dyDescent="0.25">
      <c r="Y42026" s="501"/>
    </row>
    <row r="42027" spans="25:25" hidden="1" x14ac:dyDescent="0.25">
      <c r="Y42027" s="501"/>
    </row>
    <row r="42028" spans="25:25" hidden="1" x14ac:dyDescent="0.25">
      <c r="Y42028" s="501"/>
    </row>
    <row r="42029" spans="25:25" hidden="1" x14ac:dyDescent="0.25">
      <c r="Y42029" s="501"/>
    </row>
    <row r="42030" spans="25:25" hidden="1" x14ac:dyDescent="0.25">
      <c r="Y42030" s="501"/>
    </row>
    <row r="42031" spans="25:25" hidden="1" x14ac:dyDescent="0.25">
      <c r="Y42031" s="501"/>
    </row>
    <row r="42032" spans="25:25" hidden="1" x14ac:dyDescent="0.25">
      <c r="Y42032" s="501"/>
    </row>
    <row r="42033" spans="25:25" hidden="1" x14ac:dyDescent="0.25">
      <c r="Y42033" s="501"/>
    </row>
    <row r="42034" spans="25:25" hidden="1" x14ac:dyDescent="0.25">
      <c r="Y42034" s="501"/>
    </row>
    <row r="42035" spans="25:25" hidden="1" x14ac:dyDescent="0.25">
      <c r="Y42035" s="501"/>
    </row>
    <row r="42036" spans="25:25" hidden="1" x14ac:dyDescent="0.25">
      <c r="Y42036" s="501"/>
    </row>
    <row r="42037" spans="25:25" hidden="1" x14ac:dyDescent="0.25">
      <c r="Y42037" s="501"/>
    </row>
    <row r="42038" spans="25:25" hidden="1" x14ac:dyDescent="0.25">
      <c r="Y42038" s="501"/>
    </row>
    <row r="42039" spans="25:25" hidden="1" x14ac:dyDescent="0.25">
      <c r="Y42039" s="501"/>
    </row>
    <row r="42040" spans="25:25" hidden="1" x14ac:dyDescent="0.25">
      <c r="Y42040" s="501"/>
    </row>
    <row r="42041" spans="25:25" hidden="1" x14ac:dyDescent="0.25">
      <c r="Y42041" s="501"/>
    </row>
    <row r="42042" spans="25:25" hidden="1" x14ac:dyDescent="0.25">
      <c r="Y42042" s="501"/>
    </row>
    <row r="42043" spans="25:25" hidden="1" x14ac:dyDescent="0.25">
      <c r="Y42043" s="501"/>
    </row>
    <row r="42044" spans="25:25" hidden="1" x14ac:dyDescent="0.25">
      <c r="Y42044" s="501"/>
    </row>
    <row r="42045" spans="25:25" hidden="1" x14ac:dyDescent="0.25">
      <c r="Y42045" s="501"/>
    </row>
    <row r="42046" spans="25:25" hidden="1" x14ac:dyDescent="0.25">
      <c r="Y42046" s="501"/>
    </row>
    <row r="42047" spans="25:25" hidden="1" x14ac:dyDescent="0.25">
      <c r="Y42047" s="501"/>
    </row>
    <row r="42048" spans="25:25" hidden="1" x14ac:dyDescent="0.25">
      <c r="Y42048" s="501"/>
    </row>
    <row r="42049" spans="25:25" hidden="1" x14ac:dyDescent="0.25">
      <c r="Y42049" s="501"/>
    </row>
    <row r="42050" spans="25:25" hidden="1" x14ac:dyDescent="0.25">
      <c r="Y42050" s="501"/>
    </row>
    <row r="42051" spans="25:25" hidden="1" x14ac:dyDescent="0.25">
      <c r="Y42051" s="501"/>
    </row>
    <row r="42052" spans="25:25" hidden="1" x14ac:dyDescent="0.25">
      <c r="Y42052" s="501"/>
    </row>
    <row r="42053" spans="25:25" hidden="1" x14ac:dyDescent="0.25">
      <c r="Y42053" s="501"/>
    </row>
    <row r="42054" spans="25:25" hidden="1" x14ac:dyDescent="0.25">
      <c r="Y42054" s="501"/>
    </row>
    <row r="42055" spans="25:25" hidden="1" x14ac:dyDescent="0.25">
      <c r="Y42055" s="501"/>
    </row>
    <row r="42056" spans="25:25" hidden="1" x14ac:dyDescent="0.25">
      <c r="Y42056" s="501"/>
    </row>
    <row r="42057" spans="25:25" hidden="1" x14ac:dyDescent="0.25">
      <c r="Y42057" s="501"/>
    </row>
    <row r="42058" spans="25:25" hidden="1" x14ac:dyDescent="0.25">
      <c r="Y42058" s="501"/>
    </row>
    <row r="42059" spans="25:25" hidden="1" x14ac:dyDescent="0.25">
      <c r="Y42059" s="501"/>
    </row>
    <row r="42060" spans="25:25" hidden="1" x14ac:dyDescent="0.25">
      <c r="Y42060" s="501"/>
    </row>
    <row r="42061" spans="25:25" hidden="1" x14ac:dyDescent="0.25">
      <c r="Y42061" s="501"/>
    </row>
    <row r="42062" spans="25:25" hidden="1" x14ac:dyDescent="0.25">
      <c r="Y42062" s="501"/>
    </row>
    <row r="42063" spans="25:25" hidden="1" x14ac:dyDescent="0.25">
      <c r="Y42063" s="501"/>
    </row>
    <row r="42064" spans="25:25" hidden="1" x14ac:dyDescent="0.25">
      <c r="Y42064" s="501"/>
    </row>
    <row r="42065" spans="25:25" hidden="1" x14ac:dyDescent="0.25">
      <c r="Y42065" s="501"/>
    </row>
    <row r="42066" spans="25:25" hidden="1" x14ac:dyDescent="0.25">
      <c r="Y42066" s="501"/>
    </row>
    <row r="42067" spans="25:25" hidden="1" x14ac:dyDescent="0.25">
      <c r="Y42067" s="501"/>
    </row>
    <row r="42068" spans="25:25" hidden="1" x14ac:dyDescent="0.25">
      <c r="Y42068" s="501"/>
    </row>
    <row r="42069" spans="25:25" hidden="1" x14ac:dyDescent="0.25">
      <c r="Y42069" s="501"/>
    </row>
    <row r="42070" spans="25:25" hidden="1" x14ac:dyDescent="0.25">
      <c r="Y42070" s="501"/>
    </row>
    <row r="42071" spans="25:25" hidden="1" x14ac:dyDescent="0.25">
      <c r="Y42071" s="501"/>
    </row>
    <row r="42072" spans="25:25" hidden="1" x14ac:dyDescent="0.25">
      <c r="Y42072" s="501"/>
    </row>
    <row r="42073" spans="25:25" hidden="1" x14ac:dyDescent="0.25">
      <c r="Y42073" s="501"/>
    </row>
    <row r="42074" spans="25:25" hidden="1" x14ac:dyDescent="0.25">
      <c r="Y42074" s="501"/>
    </row>
    <row r="42075" spans="25:25" hidden="1" x14ac:dyDescent="0.25">
      <c r="Y42075" s="501"/>
    </row>
    <row r="42076" spans="25:25" hidden="1" x14ac:dyDescent="0.25">
      <c r="Y42076" s="501"/>
    </row>
    <row r="42077" spans="25:25" hidden="1" x14ac:dyDescent="0.25">
      <c r="Y42077" s="501"/>
    </row>
    <row r="42078" spans="25:25" hidden="1" x14ac:dyDescent="0.25">
      <c r="Y42078" s="501"/>
    </row>
    <row r="42079" spans="25:25" hidden="1" x14ac:dyDescent="0.25">
      <c r="Y42079" s="501"/>
    </row>
    <row r="42080" spans="25:25" hidden="1" x14ac:dyDescent="0.25">
      <c r="Y42080" s="501"/>
    </row>
    <row r="42081" spans="25:25" hidden="1" x14ac:dyDescent="0.25">
      <c r="Y42081" s="501"/>
    </row>
    <row r="42082" spans="25:25" hidden="1" x14ac:dyDescent="0.25">
      <c r="Y42082" s="501"/>
    </row>
    <row r="42083" spans="25:25" hidden="1" x14ac:dyDescent="0.25">
      <c r="Y42083" s="501"/>
    </row>
    <row r="42084" spans="25:25" hidden="1" x14ac:dyDescent="0.25">
      <c r="Y42084" s="501"/>
    </row>
    <row r="42085" spans="25:25" hidden="1" x14ac:dyDescent="0.25">
      <c r="Y42085" s="501"/>
    </row>
    <row r="42086" spans="25:25" hidden="1" x14ac:dyDescent="0.25">
      <c r="Y42086" s="501"/>
    </row>
    <row r="42087" spans="25:25" hidden="1" x14ac:dyDescent="0.25">
      <c r="Y42087" s="501"/>
    </row>
    <row r="42088" spans="25:25" hidden="1" x14ac:dyDescent="0.25">
      <c r="Y42088" s="501"/>
    </row>
    <row r="42089" spans="25:25" hidden="1" x14ac:dyDescent="0.25">
      <c r="Y42089" s="501"/>
    </row>
    <row r="42090" spans="25:25" hidden="1" x14ac:dyDescent="0.25">
      <c r="Y42090" s="501"/>
    </row>
    <row r="42091" spans="25:25" hidden="1" x14ac:dyDescent="0.25">
      <c r="Y42091" s="501"/>
    </row>
    <row r="42092" spans="25:25" hidden="1" x14ac:dyDescent="0.25">
      <c r="Y42092" s="501"/>
    </row>
    <row r="42093" spans="25:25" hidden="1" x14ac:dyDescent="0.25">
      <c r="Y42093" s="501"/>
    </row>
    <row r="42094" spans="25:25" hidden="1" x14ac:dyDescent="0.25">
      <c r="Y42094" s="501"/>
    </row>
    <row r="42095" spans="25:25" hidden="1" x14ac:dyDescent="0.25">
      <c r="Y42095" s="501"/>
    </row>
    <row r="42096" spans="25:25" hidden="1" x14ac:dyDescent="0.25">
      <c r="Y42096" s="501"/>
    </row>
    <row r="42097" spans="25:25" hidden="1" x14ac:dyDescent="0.25">
      <c r="Y42097" s="501"/>
    </row>
    <row r="42098" spans="25:25" hidden="1" x14ac:dyDescent="0.25">
      <c r="Y42098" s="501"/>
    </row>
    <row r="42099" spans="25:25" hidden="1" x14ac:dyDescent="0.25">
      <c r="Y42099" s="501"/>
    </row>
    <row r="42100" spans="25:25" hidden="1" x14ac:dyDescent="0.25">
      <c r="Y42100" s="501"/>
    </row>
    <row r="42101" spans="25:25" hidden="1" x14ac:dyDescent="0.25">
      <c r="Y42101" s="501"/>
    </row>
    <row r="42102" spans="25:25" hidden="1" x14ac:dyDescent="0.25">
      <c r="Y42102" s="501"/>
    </row>
    <row r="42103" spans="25:25" hidden="1" x14ac:dyDescent="0.25">
      <c r="Y42103" s="501"/>
    </row>
    <row r="42104" spans="25:25" hidden="1" x14ac:dyDescent="0.25">
      <c r="Y42104" s="501"/>
    </row>
    <row r="42105" spans="25:25" hidden="1" x14ac:dyDescent="0.25">
      <c r="Y42105" s="501"/>
    </row>
    <row r="42106" spans="25:25" hidden="1" x14ac:dyDescent="0.25">
      <c r="Y42106" s="501"/>
    </row>
    <row r="42107" spans="25:25" hidden="1" x14ac:dyDescent="0.25">
      <c r="Y42107" s="501"/>
    </row>
    <row r="42108" spans="25:25" hidden="1" x14ac:dyDescent="0.25">
      <c r="Y42108" s="501"/>
    </row>
    <row r="42109" spans="25:25" hidden="1" x14ac:dyDescent="0.25">
      <c r="Y42109" s="501"/>
    </row>
    <row r="42110" spans="25:25" hidden="1" x14ac:dyDescent="0.25">
      <c r="Y42110" s="501"/>
    </row>
    <row r="42111" spans="25:25" hidden="1" x14ac:dyDescent="0.25">
      <c r="Y42111" s="501"/>
    </row>
    <row r="42112" spans="25:25" hidden="1" x14ac:dyDescent="0.25">
      <c r="Y42112" s="501"/>
    </row>
    <row r="42113" spans="25:25" hidden="1" x14ac:dyDescent="0.25">
      <c r="Y42113" s="501"/>
    </row>
    <row r="42114" spans="25:25" hidden="1" x14ac:dyDescent="0.25">
      <c r="Y42114" s="501"/>
    </row>
    <row r="42115" spans="25:25" hidden="1" x14ac:dyDescent="0.25">
      <c r="Y42115" s="501"/>
    </row>
    <row r="42116" spans="25:25" hidden="1" x14ac:dyDescent="0.25">
      <c r="Y42116" s="501"/>
    </row>
    <row r="42117" spans="25:25" hidden="1" x14ac:dyDescent="0.25">
      <c r="Y42117" s="501"/>
    </row>
    <row r="42118" spans="25:25" hidden="1" x14ac:dyDescent="0.25">
      <c r="Y42118" s="501"/>
    </row>
    <row r="42119" spans="25:25" hidden="1" x14ac:dyDescent="0.25">
      <c r="Y42119" s="501"/>
    </row>
    <row r="42120" spans="25:25" hidden="1" x14ac:dyDescent="0.25">
      <c r="Y42120" s="501"/>
    </row>
    <row r="42121" spans="25:25" hidden="1" x14ac:dyDescent="0.25">
      <c r="Y42121" s="501"/>
    </row>
    <row r="42122" spans="25:25" hidden="1" x14ac:dyDescent="0.25">
      <c r="Y42122" s="501"/>
    </row>
    <row r="42123" spans="25:25" hidden="1" x14ac:dyDescent="0.25">
      <c r="Y42123" s="501"/>
    </row>
    <row r="42124" spans="25:25" hidden="1" x14ac:dyDescent="0.25">
      <c r="Y42124" s="501"/>
    </row>
    <row r="42125" spans="25:25" hidden="1" x14ac:dyDescent="0.25">
      <c r="Y42125" s="501"/>
    </row>
    <row r="42126" spans="25:25" hidden="1" x14ac:dyDescent="0.25">
      <c r="Y42126" s="501"/>
    </row>
    <row r="42127" spans="25:25" hidden="1" x14ac:dyDescent="0.25">
      <c r="Y42127" s="501"/>
    </row>
    <row r="42128" spans="25:25" hidden="1" x14ac:dyDescent="0.25">
      <c r="Y42128" s="501"/>
    </row>
    <row r="42129" spans="25:25" hidden="1" x14ac:dyDescent="0.25">
      <c r="Y42129" s="501"/>
    </row>
    <row r="42130" spans="25:25" hidden="1" x14ac:dyDescent="0.25">
      <c r="Y42130" s="501"/>
    </row>
    <row r="42131" spans="25:25" hidden="1" x14ac:dyDescent="0.25">
      <c r="Y42131" s="501"/>
    </row>
    <row r="42132" spans="25:25" hidden="1" x14ac:dyDescent="0.25">
      <c r="Y42132" s="501"/>
    </row>
    <row r="42133" spans="25:25" hidden="1" x14ac:dyDescent="0.25">
      <c r="Y42133" s="501"/>
    </row>
    <row r="42134" spans="25:25" hidden="1" x14ac:dyDescent="0.25">
      <c r="Y42134" s="501"/>
    </row>
    <row r="42135" spans="25:25" hidden="1" x14ac:dyDescent="0.25">
      <c r="Y42135" s="501"/>
    </row>
    <row r="42136" spans="25:25" hidden="1" x14ac:dyDescent="0.25">
      <c r="Y42136" s="501"/>
    </row>
    <row r="42137" spans="25:25" hidden="1" x14ac:dyDescent="0.25">
      <c r="Y42137" s="501"/>
    </row>
    <row r="42138" spans="25:25" hidden="1" x14ac:dyDescent="0.25">
      <c r="Y42138" s="501"/>
    </row>
    <row r="42139" spans="25:25" hidden="1" x14ac:dyDescent="0.25">
      <c r="Y42139" s="501"/>
    </row>
    <row r="42140" spans="25:25" hidden="1" x14ac:dyDescent="0.25">
      <c r="Y42140" s="501"/>
    </row>
    <row r="42141" spans="25:25" hidden="1" x14ac:dyDescent="0.25">
      <c r="Y42141" s="501"/>
    </row>
    <row r="42142" spans="25:25" hidden="1" x14ac:dyDescent="0.25">
      <c r="Y42142" s="501"/>
    </row>
    <row r="42143" spans="25:25" hidden="1" x14ac:dyDescent="0.25">
      <c r="Y42143" s="501"/>
    </row>
    <row r="42144" spans="25:25" hidden="1" x14ac:dyDescent="0.25">
      <c r="Y42144" s="501"/>
    </row>
    <row r="42145" spans="25:25" hidden="1" x14ac:dyDescent="0.25">
      <c r="Y42145" s="501"/>
    </row>
    <row r="42146" spans="25:25" hidden="1" x14ac:dyDescent="0.25">
      <c r="Y42146" s="501"/>
    </row>
    <row r="42147" spans="25:25" hidden="1" x14ac:dyDescent="0.25">
      <c r="Y42147" s="501"/>
    </row>
    <row r="42148" spans="25:25" hidden="1" x14ac:dyDescent="0.25">
      <c r="Y42148" s="501"/>
    </row>
    <row r="42149" spans="25:25" hidden="1" x14ac:dyDescent="0.25">
      <c r="Y42149" s="501"/>
    </row>
    <row r="42150" spans="25:25" hidden="1" x14ac:dyDescent="0.25">
      <c r="Y42150" s="501"/>
    </row>
    <row r="42151" spans="25:25" hidden="1" x14ac:dyDescent="0.25">
      <c r="Y42151" s="501"/>
    </row>
    <row r="42152" spans="25:25" hidden="1" x14ac:dyDescent="0.25">
      <c r="Y42152" s="501"/>
    </row>
    <row r="42153" spans="25:25" hidden="1" x14ac:dyDescent="0.25">
      <c r="Y42153" s="501"/>
    </row>
    <row r="42154" spans="25:25" hidden="1" x14ac:dyDescent="0.25">
      <c r="Y42154" s="501"/>
    </row>
    <row r="42155" spans="25:25" hidden="1" x14ac:dyDescent="0.25">
      <c r="Y42155" s="501"/>
    </row>
    <row r="42156" spans="25:25" hidden="1" x14ac:dyDescent="0.25">
      <c r="Y42156" s="501"/>
    </row>
    <row r="42157" spans="25:25" hidden="1" x14ac:dyDescent="0.25">
      <c r="Y42157" s="501"/>
    </row>
    <row r="42158" spans="25:25" hidden="1" x14ac:dyDescent="0.25">
      <c r="Y42158" s="501"/>
    </row>
    <row r="42159" spans="25:25" hidden="1" x14ac:dyDescent="0.25">
      <c r="Y42159" s="501"/>
    </row>
    <row r="42160" spans="25:25" hidden="1" x14ac:dyDescent="0.25">
      <c r="Y42160" s="501"/>
    </row>
    <row r="42161" spans="25:25" hidden="1" x14ac:dyDescent="0.25">
      <c r="Y42161" s="501"/>
    </row>
    <row r="42162" spans="25:25" hidden="1" x14ac:dyDescent="0.25">
      <c r="Y42162" s="501"/>
    </row>
    <row r="42163" spans="25:25" hidden="1" x14ac:dyDescent="0.25">
      <c r="Y42163" s="501"/>
    </row>
    <row r="42164" spans="25:25" hidden="1" x14ac:dyDescent="0.25">
      <c r="Y42164" s="501"/>
    </row>
    <row r="42165" spans="25:25" hidden="1" x14ac:dyDescent="0.25">
      <c r="Y42165" s="501"/>
    </row>
    <row r="42166" spans="25:25" hidden="1" x14ac:dyDescent="0.25">
      <c r="Y42166" s="501"/>
    </row>
    <row r="42167" spans="25:25" hidden="1" x14ac:dyDescent="0.25">
      <c r="Y42167" s="501"/>
    </row>
    <row r="42168" spans="25:25" hidden="1" x14ac:dyDescent="0.25">
      <c r="Y42168" s="501"/>
    </row>
    <row r="42169" spans="25:25" hidden="1" x14ac:dyDescent="0.25">
      <c r="Y42169" s="501"/>
    </row>
    <row r="42170" spans="25:25" hidden="1" x14ac:dyDescent="0.25">
      <c r="Y42170" s="501"/>
    </row>
    <row r="42171" spans="25:25" hidden="1" x14ac:dyDescent="0.25">
      <c r="Y42171" s="501"/>
    </row>
    <row r="42172" spans="25:25" hidden="1" x14ac:dyDescent="0.25">
      <c r="Y42172" s="501"/>
    </row>
    <row r="42173" spans="25:25" hidden="1" x14ac:dyDescent="0.25">
      <c r="Y42173" s="501"/>
    </row>
    <row r="42174" spans="25:25" hidden="1" x14ac:dyDescent="0.25">
      <c r="Y42174" s="501"/>
    </row>
    <row r="42175" spans="25:25" hidden="1" x14ac:dyDescent="0.25">
      <c r="Y42175" s="501"/>
    </row>
    <row r="42176" spans="25:25" hidden="1" x14ac:dyDescent="0.25">
      <c r="Y42176" s="501"/>
    </row>
    <row r="42177" spans="25:25" hidden="1" x14ac:dyDescent="0.25">
      <c r="Y42177" s="501"/>
    </row>
    <row r="42178" spans="25:25" hidden="1" x14ac:dyDescent="0.25">
      <c r="Y42178" s="501"/>
    </row>
    <row r="42179" spans="25:25" hidden="1" x14ac:dyDescent="0.25">
      <c r="Y42179" s="501"/>
    </row>
    <row r="42180" spans="25:25" hidden="1" x14ac:dyDescent="0.25">
      <c r="Y42180" s="501"/>
    </row>
    <row r="42181" spans="25:25" hidden="1" x14ac:dyDescent="0.25">
      <c r="Y42181" s="501"/>
    </row>
    <row r="42182" spans="25:25" hidden="1" x14ac:dyDescent="0.25">
      <c r="Y42182" s="501"/>
    </row>
    <row r="42183" spans="25:25" hidden="1" x14ac:dyDescent="0.25">
      <c r="Y42183" s="501"/>
    </row>
    <row r="42184" spans="25:25" hidden="1" x14ac:dyDescent="0.25">
      <c r="Y42184" s="501"/>
    </row>
    <row r="42185" spans="25:25" hidden="1" x14ac:dyDescent="0.25">
      <c r="Y42185" s="501"/>
    </row>
    <row r="42186" spans="25:25" hidden="1" x14ac:dyDescent="0.25">
      <c r="Y42186" s="501"/>
    </row>
    <row r="42187" spans="25:25" hidden="1" x14ac:dyDescent="0.25">
      <c r="Y42187" s="501"/>
    </row>
    <row r="42188" spans="25:25" hidden="1" x14ac:dyDescent="0.25">
      <c r="Y42188" s="501"/>
    </row>
    <row r="42189" spans="25:25" hidden="1" x14ac:dyDescent="0.25">
      <c r="Y42189" s="501"/>
    </row>
    <row r="42190" spans="25:25" hidden="1" x14ac:dyDescent="0.25">
      <c r="Y42190" s="501"/>
    </row>
    <row r="42191" spans="25:25" hidden="1" x14ac:dyDescent="0.25">
      <c r="Y42191" s="501"/>
    </row>
    <row r="42192" spans="25:25" hidden="1" x14ac:dyDescent="0.25">
      <c r="Y42192" s="501"/>
    </row>
    <row r="42193" spans="25:25" hidden="1" x14ac:dyDescent="0.25">
      <c r="Y42193" s="501"/>
    </row>
    <row r="42194" spans="25:25" hidden="1" x14ac:dyDescent="0.25">
      <c r="Y42194" s="501"/>
    </row>
    <row r="42195" spans="25:25" hidden="1" x14ac:dyDescent="0.25">
      <c r="Y42195" s="501"/>
    </row>
    <row r="42196" spans="25:25" hidden="1" x14ac:dyDescent="0.25">
      <c r="Y42196" s="501"/>
    </row>
    <row r="42197" spans="25:25" hidden="1" x14ac:dyDescent="0.25">
      <c r="Y42197" s="501"/>
    </row>
    <row r="42198" spans="25:25" hidden="1" x14ac:dyDescent="0.25">
      <c r="Y42198" s="501"/>
    </row>
    <row r="42199" spans="25:25" hidden="1" x14ac:dyDescent="0.25">
      <c r="Y42199" s="501"/>
    </row>
    <row r="42200" spans="25:25" hidden="1" x14ac:dyDescent="0.25">
      <c r="Y42200" s="501"/>
    </row>
    <row r="42201" spans="25:25" hidden="1" x14ac:dyDescent="0.25">
      <c r="Y42201" s="501"/>
    </row>
    <row r="42202" spans="25:25" hidden="1" x14ac:dyDescent="0.25">
      <c r="Y42202" s="501"/>
    </row>
    <row r="42203" spans="25:25" hidden="1" x14ac:dyDescent="0.25">
      <c r="Y42203" s="501"/>
    </row>
    <row r="42204" spans="25:25" hidden="1" x14ac:dyDescent="0.25">
      <c r="Y42204" s="501"/>
    </row>
    <row r="42205" spans="25:25" hidden="1" x14ac:dyDescent="0.25">
      <c r="Y42205" s="501"/>
    </row>
    <row r="42206" spans="25:25" hidden="1" x14ac:dyDescent="0.25">
      <c r="Y42206" s="501"/>
    </row>
    <row r="42207" spans="25:25" hidden="1" x14ac:dyDescent="0.25">
      <c r="Y42207" s="501"/>
    </row>
    <row r="42208" spans="25:25" hidden="1" x14ac:dyDescent="0.25">
      <c r="Y42208" s="501"/>
    </row>
    <row r="42209" spans="25:25" hidden="1" x14ac:dyDescent="0.25">
      <c r="Y42209" s="501"/>
    </row>
    <row r="42210" spans="25:25" hidden="1" x14ac:dyDescent="0.25">
      <c r="Y42210" s="501"/>
    </row>
    <row r="42211" spans="25:25" hidden="1" x14ac:dyDescent="0.25">
      <c r="Y42211" s="501"/>
    </row>
    <row r="42212" spans="25:25" hidden="1" x14ac:dyDescent="0.25">
      <c r="Y42212" s="501"/>
    </row>
    <row r="42213" spans="25:25" hidden="1" x14ac:dyDescent="0.25">
      <c r="Y42213" s="501"/>
    </row>
    <row r="42214" spans="25:25" hidden="1" x14ac:dyDescent="0.25">
      <c r="Y42214" s="501"/>
    </row>
    <row r="42215" spans="25:25" hidden="1" x14ac:dyDescent="0.25">
      <c r="Y42215" s="501"/>
    </row>
    <row r="42216" spans="25:25" hidden="1" x14ac:dyDescent="0.25">
      <c r="Y42216" s="501"/>
    </row>
    <row r="42217" spans="25:25" hidden="1" x14ac:dyDescent="0.25">
      <c r="Y42217" s="501"/>
    </row>
    <row r="42218" spans="25:25" hidden="1" x14ac:dyDescent="0.25">
      <c r="Y42218" s="501"/>
    </row>
    <row r="42219" spans="25:25" hidden="1" x14ac:dyDescent="0.25">
      <c r="Y42219" s="501"/>
    </row>
    <row r="42220" spans="25:25" hidden="1" x14ac:dyDescent="0.25">
      <c r="Y42220" s="501"/>
    </row>
    <row r="42221" spans="25:25" hidden="1" x14ac:dyDescent="0.25">
      <c r="Y42221" s="501"/>
    </row>
    <row r="42222" spans="25:25" hidden="1" x14ac:dyDescent="0.25">
      <c r="Y42222" s="501"/>
    </row>
    <row r="42223" spans="25:25" hidden="1" x14ac:dyDescent="0.25">
      <c r="Y42223" s="501"/>
    </row>
    <row r="42224" spans="25:25" hidden="1" x14ac:dyDescent="0.25">
      <c r="Y42224" s="501"/>
    </row>
    <row r="42225" spans="25:25" hidden="1" x14ac:dyDescent="0.25">
      <c r="Y42225" s="501"/>
    </row>
    <row r="42226" spans="25:25" hidden="1" x14ac:dyDescent="0.25">
      <c r="Y42226" s="501"/>
    </row>
    <row r="42227" spans="25:25" hidden="1" x14ac:dyDescent="0.25">
      <c r="Y42227" s="501"/>
    </row>
    <row r="42228" spans="25:25" hidden="1" x14ac:dyDescent="0.25">
      <c r="Y42228" s="501"/>
    </row>
    <row r="42229" spans="25:25" hidden="1" x14ac:dyDescent="0.25">
      <c r="Y42229" s="501"/>
    </row>
    <row r="42230" spans="25:25" hidden="1" x14ac:dyDescent="0.25">
      <c r="Y42230" s="501"/>
    </row>
    <row r="42231" spans="25:25" hidden="1" x14ac:dyDescent="0.25">
      <c r="Y42231" s="501"/>
    </row>
    <row r="42232" spans="25:25" hidden="1" x14ac:dyDescent="0.25">
      <c r="Y42232" s="501"/>
    </row>
    <row r="42233" spans="25:25" hidden="1" x14ac:dyDescent="0.25">
      <c r="Y42233" s="501"/>
    </row>
    <row r="42234" spans="25:25" hidden="1" x14ac:dyDescent="0.25">
      <c r="Y42234" s="501"/>
    </row>
    <row r="42235" spans="25:25" hidden="1" x14ac:dyDescent="0.25">
      <c r="Y42235" s="501"/>
    </row>
    <row r="42236" spans="25:25" hidden="1" x14ac:dyDescent="0.25">
      <c r="Y42236" s="501"/>
    </row>
    <row r="42237" spans="25:25" hidden="1" x14ac:dyDescent="0.25">
      <c r="Y42237" s="501"/>
    </row>
    <row r="42238" spans="25:25" hidden="1" x14ac:dyDescent="0.25">
      <c r="Y42238" s="501"/>
    </row>
    <row r="42239" spans="25:25" hidden="1" x14ac:dyDescent="0.25">
      <c r="Y42239" s="501"/>
    </row>
    <row r="42240" spans="25:25" hidden="1" x14ac:dyDescent="0.25">
      <c r="Y42240" s="501"/>
    </row>
    <row r="42241" spans="25:25" hidden="1" x14ac:dyDescent="0.25">
      <c r="Y42241" s="501"/>
    </row>
    <row r="42242" spans="25:25" hidden="1" x14ac:dyDescent="0.25">
      <c r="Y42242" s="501"/>
    </row>
    <row r="42243" spans="25:25" hidden="1" x14ac:dyDescent="0.25">
      <c r="Y42243" s="501"/>
    </row>
    <row r="42244" spans="25:25" hidden="1" x14ac:dyDescent="0.25">
      <c r="Y42244" s="501"/>
    </row>
    <row r="42245" spans="25:25" hidden="1" x14ac:dyDescent="0.25">
      <c r="Y42245" s="501"/>
    </row>
    <row r="42246" spans="25:25" hidden="1" x14ac:dyDescent="0.25">
      <c r="Y42246" s="501"/>
    </row>
    <row r="42247" spans="25:25" hidden="1" x14ac:dyDescent="0.25">
      <c r="Y42247" s="501"/>
    </row>
    <row r="42248" spans="25:25" hidden="1" x14ac:dyDescent="0.25">
      <c r="Y42248" s="501"/>
    </row>
    <row r="42249" spans="25:25" hidden="1" x14ac:dyDescent="0.25">
      <c r="Y42249" s="501"/>
    </row>
    <row r="42250" spans="25:25" hidden="1" x14ac:dyDescent="0.25">
      <c r="Y42250" s="501"/>
    </row>
    <row r="42251" spans="25:25" hidden="1" x14ac:dyDescent="0.25">
      <c r="Y42251" s="501"/>
    </row>
    <row r="42252" spans="25:25" hidden="1" x14ac:dyDescent="0.25">
      <c r="Y42252" s="501"/>
    </row>
    <row r="42253" spans="25:25" hidden="1" x14ac:dyDescent="0.25">
      <c r="Y42253" s="501"/>
    </row>
    <row r="42254" spans="25:25" hidden="1" x14ac:dyDescent="0.25">
      <c r="Y42254" s="501"/>
    </row>
    <row r="42255" spans="25:25" hidden="1" x14ac:dyDescent="0.25">
      <c r="Y42255" s="501"/>
    </row>
    <row r="42256" spans="25:25" hidden="1" x14ac:dyDescent="0.25">
      <c r="Y42256" s="501"/>
    </row>
    <row r="42257" spans="25:25" hidden="1" x14ac:dyDescent="0.25">
      <c r="Y42257" s="501"/>
    </row>
    <row r="42258" spans="25:25" hidden="1" x14ac:dyDescent="0.25">
      <c r="Y42258" s="501"/>
    </row>
    <row r="42259" spans="25:25" hidden="1" x14ac:dyDescent="0.25">
      <c r="Y42259" s="501"/>
    </row>
    <row r="42260" spans="25:25" hidden="1" x14ac:dyDescent="0.25">
      <c r="Y42260" s="501"/>
    </row>
    <row r="42261" spans="25:25" hidden="1" x14ac:dyDescent="0.25">
      <c r="Y42261" s="501"/>
    </row>
    <row r="42262" spans="25:25" hidden="1" x14ac:dyDescent="0.25">
      <c r="Y42262" s="501"/>
    </row>
    <row r="42263" spans="25:25" hidden="1" x14ac:dyDescent="0.25">
      <c r="Y42263" s="501"/>
    </row>
    <row r="42264" spans="25:25" hidden="1" x14ac:dyDescent="0.25">
      <c r="Y42264" s="501"/>
    </row>
    <row r="42265" spans="25:25" hidden="1" x14ac:dyDescent="0.25">
      <c r="Y42265" s="501"/>
    </row>
    <row r="42266" spans="25:25" hidden="1" x14ac:dyDescent="0.25">
      <c r="Y42266" s="501"/>
    </row>
    <row r="42267" spans="25:25" hidden="1" x14ac:dyDescent="0.25">
      <c r="Y42267" s="501"/>
    </row>
    <row r="42268" spans="25:25" hidden="1" x14ac:dyDescent="0.25">
      <c r="Y42268" s="501"/>
    </row>
    <row r="42269" spans="25:25" hidden="1" x14ac:dyDescent="0.25">
      <c r="Y42269" s="501"/>
    </row>
    <row r="42270" spans="25:25" hidden="1" x14ac:dyDescent="0.25">
      <c r="Y42270" s="501"/>
    </row>
    <row r="42271" spans="25:25" hidden="1" x14ac:dyDescent="0.25">
      <c r="Y42271" s="501"/>
    </row>
    <row r="42272" spans="25:25" hidden="1" x14ac:dyDescent="0.25">
      <c r="Y42272" s="501"/>
    </row>
    <row r="42273" spans="25:25" hidden="1" x14ac:dyDescent="0.25">
      <c r="Y42273" s="501"/>
    </row>
    <row r="42274" spans="25:25" hidden="1" x14ac:dyDescent="0.25">
      <c r="Y42274" s="501"/>
    </row>
    <row r="42275" spans="25:25" hidden="1" x14ac:dyDescent="0.25">
      <c r="Y42275" s="501"/>
    </row>
    <row r="42276" spans="25:25" hidden="1" x14ac:dyDescent="0.25">
      <c r="Y42276" s="501"/>
    </row>
    <row r="42277" spans="25:25" hidden="1" x14ac:dyDescent="0.25">
      <c r="Y42277" s="501"/>
    </row>
    <row r="42278" spans="25:25" hidden="1" x14ac:dyDescent="0.25">
      <c r="Y42278" s="501"/>
    </row>
    <row r="42279" spans="25:25" hidden="1" x14ac:dyDescent="0.25">
      <c r="Y42279" s="501"/>
    </row>
    <row r="42280" spans="25:25" hidden="1" x14ac:dyDescent="0.25">
      <c r="Y42280" s="501"/>
    </row>
    <row r="42281" spans="25:25" hidden="1" x14ac:dyDescent="0.25">
      <c r="Y42281" s="501"/>
    </row>
    <row r="42282" spans="25:25" hidden="1" x14ac:dyDescent="0.25">
      <c r="Y42282" s="501"/>
    </row>
    <row r="42283" spans="25:25" hidden="1" x14ac:dyDescent="0.25">
      <c r="Y42283" s="501"/>
    </row>
    <row r="42284" spans="25:25" hidden="1" x14ac:dyDescent="0.25">
      <c r="Y42284" s="501"/>
    </row>
    <row r="42285" spans="25:25" hidden="1" x14ac:dyDescent="0.25">
      <c r="Y42285" s="501"/>
    </row>
    <row r="42286" spans="25:25" hidden="1" x14ac:dyDescent="0.25">
      <c r="Y42286" s="501"/>
    </row>
    <row r="42287" spans="25:25" hidden="1" x14ac:dyDescent="0.25">
      <c r="Y42287" s="501"/>
    </row>
    <row r="42288" spans="25:25" hidden="1" x14ac:dyDescent="0.25">
      <c r="Y42288" s="501"/>
    </row>
    <row r="42289" spans="25:25" hidden="1" x14ac:dyDescent="0.25">
      <c r="Y42289" s="501"/>
    </row>
    <row r="42290" spans="25:25" hidden="1" x14ac:dyDescent="0.25">
      <c r="Y42290" s="501"/>
    </row>
    <row r="42291" spans="25:25" hidden="1" x14ac:dyDescent="0.25">
      <c r="Y42291" s="501"/>
    </row>
    <row r="42292" spans="25:25" hidden="1" x14ac:dyDescent="0.25">
      <c r="Y42292" s="501"/>
    </row>
    <row r="42293" spans="25:25" hidden="1" x14ac:dyDescent="0.25">
      <c r="Y42293" s="501"/>
    </row>
    <row r="42294" spans="25:25" hidden="1" x14ac:dyDescent="0.25">
      <c r="Y42294" s="501"/>
    </row>
    <row r="42295" spans="25:25" hidden="1" x14ac:dyDescent="0.25">
      <c r="Y42295" s="501"/>
    </row>
    <row r="42296" spans="25:25" hidden="1" x14ac:dyDescent="0.25">
      <c r="Y42296" s="501"/>
    </row>
    <row r="42297" spans="25:25" hidden="1" x14ac:dyDescent="0.25">
      <c r="Y42297" s="501"/>
    </row>
    <row r="42298" spans="25:25" hidden="1" x14ac:dyDescent="0.25">
      <c r="Y42298" s="501"/>
    </row>
    <row r="42299" spans="25:25" hidden="1" x14ac:dyDescent="0.25">
      <c r="Y42299" s="501"/>
    </row>
    <row r="42300" spans="25:25" hidden="1" x14ac:dyDescent="0.25">
      <c r="Y42300" s="501"/>
    </row>
    <row r="42301" spans="25:25" hidden="1" x14ac:dyDescent="0.25">
      <c r="Y42301" s="501"/>
    </row>
    <row r="42302" spans="25:25" hidden="1" x14ac:dyDescent="0.25">
      <c r="Y42302" s="501"/>
    </row>
    <row r="42303" spans="25:25" hidden="1" x14ac:dyDescent="0.25">
      <c r="Y42303" s="501"/>
    </row>
    <row r="42304" spans="25:25" hidden="1" x14ac:dyDescent="0.25">
      <c r="Y42304" s="501"/>
    </row>
    <row r="42305" spans="25:25" hidden="1" x14ac:dyDescent="0.25">
      <c r="Y42305" s="501"/>
    </row>
    <row r="42306" spans="25:25" hidden="1" x14ac:dyDescent="0.25">
      <c r="Y42306" s="501"/>
    </row>
    <row r="42307" spans="25:25" hidden="1" x14ac:dyDescent="0.25">
      <c r="Y42307" s="501"/>
    </row>
    <row r="42308" spans="25:25" hidden="1" x14ac:dyDescent="0.25">
      <c r="Y42308" s="501"/>
    </row>
    <row r="42309" spans="25:25" hidden="1" x14ac:dyDescent="0.25">
      <c r="Y42309" s="501"/>
    </row>
    <row r="42310" spans="25:25" hidden="1" x14ac:dyDescent="0.25">
      <c r="Y42310" s="501"/>
    </row>
    <row r="42311" spans="25:25" hidden="1" x14ac:dyDescent="0.25">
      <c r="Y42311" s="501"/>
    </row>
    <row r="42312" spans="25:25" hidden="1" x14ac:dyDescent="0.25">
      <c r="Y42312" s="501"/>
    </row>
    <row r="42313" spans="25:25" hidden="1" x14ac:dyDescent="0.25">
      <c r="Y42313" s="501"/>
    </row>
    <row r="42314" spans="25:25" hidden="1" x14ac:dyDescent="0.25">
      <c r="Y42314" s="501"/>
    </row>
    <row r="42315" spans="25:25" hidden="1" x14ac:dyDescent="0.25">
      <c r="Y42315" s="501"/>
    </row>
    <row r="42316" spans="25:25" hidden="1" x14ac:dyDescent="0.25">
      <c r="Y42316" s="501"/>
    </row>
    <row r="42317" spans="25:25" hidden="1" x14ac:dyDescent="0.25">
      <c r="Y42317" s="501"/>
    </row>
    <row r="42318" spans="25:25" hidden="1" x14ac:dyDescent="0.25">
      <c r="Y42318" s="501"/>
    </row>
    <row r="42319" spans="25:25" hidden="1" x14ac:dyDescent="0.25">
      <c r="Y42319" s="501"/>
    </row>
    <row r="42320" spans="25:25" hidden="1" x14ac:dyDescent="0.25">
      <c r="Y42320" s="501"/>
    </row>
    <row r="42321" spans="25:25" hidden="1" x14ac:dyDescent="0.25">
      <c r="Y42321" s="501"/>
    </row>
    <row r="42322" spans="25:25" hidden="1" x14ac:dyDescent="0.25">
      <c r="Y42322" s="501"/>
    </row>
    <row r="42323" spans="25:25" hidden="1" x14ac:dyDescent="0.25">
      <c r="Y42323" s="501"/>
    </row>
    <row r="42324" spans="25:25" hidden="1" x14ac:dyDescent="0.25">
      <c r="Y42324" s="501"/>
    </row>
    <row r="42325" spans="25:25" hidden="1" x14ac:dyDescent="0.25">
      <c r="Y42325" s="501"/>
    </row>
    <row r="42326" spans="25:25" hidden="1" x14ac:dyDescent="0.25">
      <c r="Y42326" s="501"/>
    </row>
    <row r="42327" spans="25:25" hidden="1" x14ac:dyDescent="0.25">
      <c r="Y42327" s="501"/>
    </row>
    <row r="42328" spans="25:25" hidden="1" x14ac:dyDescent="0.25">
      <c r="Y42328" s="501"/>
    </row>
    <row r="42329" spans="25:25" hidden="1" x14ac:dyDescent="0.25">
      <c r="Y42329" s="501"/>
    </row>
    <row r="42330" spans="25:25" hidden="1" x14ac:dyDescent="0.25">
      <c r="Y42330" s="501"/>
    </row>
    <row r="42331" spans="25:25" hidden="1" x14ac:dyDescent="0.25">
      <c r="Y42331" s="501"/>
    </row>
    <row r="42332" spans="25:25" hidden="1" x14ac:dyDescent="0.25">
      <c r="Y42332" s="501"/>
    </row>
    <row r="42333" spans="25:25" hidden="1" x14ac:dyDescent="0.25">
      <c r="Y42333" s="501"/>
    </row>
    <row r="42334" spans="25:25" hidden="1" x14ac:dyDescent="0.25">
      <c r="Y42334" s="501"/>
    </row>
    <row r="42335" spans="25:25" hidden="1" x14ac:dyDescent="0.25">
      <c r="Y42335" s="501"/>
    </row>
    <row r="42336" spans="25:25" hidden="1" x14ac:dyDescent="0.25">
      <c r="Y42336" s="501"/>
    </row>
    <row r="42337" spans="25:25" hidden="1" x14ac:dyDescent="0.25">
      <c r="Y42337" s="501"/>
    </row>
    <row r="42338" spans="25:25" hidden="1" x14ac:dyDescent="0.25">
      <c r="Y42338" s="501"/>
    </row>
    <row r="42339" spans="25:25" hidden="1" x14ac:dyDescent="0.25">
      <c r="Y42339" s="501"/>
    </row>
    <row r="42340" spans="25:25" hidden="1" x14ac:dyDescent="0.25">
      <c r="Y42340" s="501"/>
    </row>
    <row r="42341" spans="25:25" hidden="1" x14ac:dyDescent="0.25">
      <c r="Y42341" s="501"/>
    </row>
    <row r="42342" spans="25:25" hidden="1" x14ac:dyDescent="0.25">
      <c r="Y42342" s="501"/>
    </row>
    <row r="42343" spans="25:25" hidden="1" x14ac:dyDescent="0.25">
      <c r="Y42343" s="501"/>
    </row>
    <row r="42344" spans="25:25" hidden="1" x14ac:dyDescent="0.25">
      <c r="Y42344" s="501"/>
    </row>
    <row r="42345" spans="25:25" hidden="1" x14ac:dyDescent="0.25">
      <c r="Y42345" s="501"/>
    </row>
    <row r="42346" spans="25:25" hidden="1" x14ac:dyDescent="0.25">
      <c r="Y42346" s="501"/>
    </row>
    <row r="42347" spans="25:25" hidden="1" x14ac:dyDescent="0.25">
      <c r="Y42347" s="501"/>
    </row>
    <row r="42348" spans="25:25" hidden="1" x14ac:dyDescent="0.25">
      <c r="Y42348" s="501"/>
    </row>
    <row r="42349" spans="25:25" hidden="1" x14ac:dyDescent="0.25">
      <c r="Y42349" s="501"/>
    </row>
    <row r="42350" spans="25:25" hidden="1" x14ac:dyDescent="0.25">
      <c r="Y42350" s="501"/>
    </row>
    <row r="42351" spans="25:25" hidden="1" x14ac:dyDescent="0.25">
      <c r="Y42351" s="501"/>
    </row>
    <row r="42352" spans="25:25" hidden="1" x14ac:dyDescent="0.25">
      <c r="Y42352" s="501"/>
    </row>
    <row r="42353" spans="25:25" hidden="1" x14ac:dyDescent="0.25">
      <c r="Y42353" s="501"/>
    </row>
    <row r="42354" spans="25:25" hidden="1" x14ac:dyDescent="0.25">
      <c r="Y42354" s="501"/>
    </row>
    <row r="42355" spans="25:25" hidden="1" x14ac:dyDescent="0.25">
      <c r="Y42355" s="501"/>
    </row>
    <row r="42356" spans="25:25" hidden="1" x14ac:dyDescent="0.25">
      <c r="Y42356" s="501"/>
    </row>
    <row r="42357" spans="25:25" hidden="1" x14ac:dyDescent="0.25">
      <c r="Y42357" s="501"/>
    </row>
    <row r="42358" spans="25:25" hidden="1" x14ac:dyDescent="0.25">
      <c r="Y42358" s="501"/>
    </row>
    <row r="42359" spans="25:25" hidden="1" x14ac:dyDescent="0.25">
      <c r="Y42359" s="501"/>
    </row>
    <row r="42360" spans="25:25" hidden="1" x14ac:dyDescent="0.25">
      <c r="Y42360" s="501"/>
    </row>
    <row r="42361" spans="25:25" hidden="1" x14ac:dyDescent="0.25">
      <c r="Y42361" s="501"/>
    </row>
    <row r="42362" spans="25:25" hidden="1" x14ac:dyDescent="0.25">
      <c r="Y42362" s="501"/>
    </row>
    <row r="42363" spans="25:25" hidden="1" x14ac:dyDescent="0.25">
      <c r="Y42363" s="501"/>
    </row>
    <row r="42364" spans="25:25" hidden="1" x14ac:dyDescent="0.25">
      <c r="Y42364" s="501"/>
    </row>
    <row r="42365" spans="25:25" hidden="1" x14ac:dyDescent="0.25">
      <c r="Y42365" s="501"/>
    </row>
    <row r="42366" spans="25:25" hidden="1" x14ac:dyDescent="0.25">
      <c r="Y42366" s="501"/>
    </row>
    <row r="42367" spans="25:25" hidden="1" x14ac:dyDescent="0.25">
      <c r="Y42367" s="501"/>
    </row>
    <row r="42368" spans="25:25" hidden="1" x14ac:dyDescent="0.25">
      <c r="Y42368" s="501"/>
    </row>
    <row r="42369" spans="25:25" hidden="1" x14ac:dyDescent="0.25">
      <c r="Y42369" s="501"/>
    </row>
    <row r="42370" spans="25:25" hidden="1" x14ac:dyDescent="0.25">
      <c r="Y42370" s="501"/>
    </row>
    <row r="42371" spans="25:25" hidden="1" x14ac:dyDescent="0.25">
      <c r="Y42371" s="501"/>
    </row>
    <row r="42372" spans="25:25" hidden="1" x14ac:dyDescent="0.25">
      <c r="Y42372" s="501"/>
    </row>
    <row r="42373" spans="25:25" hidden="1" x14ac:dyDescent="0.25">
      <c r="Y42373" s="501"/>
    </row>
    <row r="42374" spans="25:25" hidden="1" x14ac:dyDescent="0.25">
      <c r="Y42374" s="501"/>
    </row>
    <row r="42375" spans="25:25" hidden="1" x14ac:dyDescent="0.25">
      <c r="Y42375" s="501"/>
    </row>
    <row r="42376" spans="25:25" hidden="1" x14ac:dyDescent="0.25">
      <c r="Y42376" s="501"/>
    </row>
    <row r="42377" spans="25:25" hidden="1" x14ac:dyDescent="0.25">
      <c r="Y42377" s="501"/>
    </row>
    <row r="42378" spans="25:25" hidden="1" x14ac:dyDescent="0.25">
      <c r="Y42378" s="501"/>
    </row>
    <row r="42379" spans="25:25" hidden="1" x14ac:dyDescent="0.25">
      <c r="Y42379" s="501"/>
    </row>
    <row r="42380" spans="25:25" hidden="1" x14ac:dyDescent="0.25">
      <c r="Y42380" s="501"/>
    </row>
    <row r="42381" spans="25:25" hidden="1" x14ac:dyDescent="0.25">
      <c r="Y42381" s="501"/>
    </row>
    <row r="42382" spans="25:25" hidden="1" x14ac:dyDescent="0.25">
      <c r="Y42382" s="501"/>
    </row>
    <row r="42383" spans="25:25" hidden="1" x14ac:dyDescent="0.25">
      <c r="Y42383" s="501"/>
    </row>
    <row r="42384" spans="25:25" hidden="1" x14ac:dyDescent="0.25">
      <c r="Y42384" s="501"/>
    </row>
    <row r="42385" spans="25:25" hidden="1" x14ac:dyDescent="0.25">
      <c r="Y42385" s="501"/>
    </row>
    <row r="42386" spans="25:25" hidden="1" x14ac:dyDescent="0.25">
      <c r="Y42386" s="501"/>
    </row>
    <row r="42387" spans="25:25" hidden="1" x14ac:dyDescent="0.25">
      <c r="Y42387" s="501"/>
    </row>
    <row r="42388" spans="25:25" hidden="1" x14ac:dyDescent="0.25">
      <c r="Y42388" s="501"/>
    </row>
    <row r="42389" spans="25:25" hidden="1" x14ac:dyDescent="0.25">
      <c r="Y42389" s="501"/>
    </row>
    <row r="42390" spans="25:25" hidden="1" x14ac:dyDescent="0.25">
      <c r="Y42390" s="501"/>
    </row>
    <row r="42391" spans="25:25" hidden="1" x14ac:dyDescent="0.25">
      <c r="Y42391" s="501"/>
    </row>
    <row r="42392" spans="25:25" hidden="1" x14ac:dyDescent="0.25">
      <c r="Y42392" s="501"/>
    </row>
    <row r="42393" spans="25:25" hidden="1" x14ac:dyDescent="0.25">
      <c r="Y42393" s="501"/>
    </row>
    <row r="42394" spans="25:25" hidden="1" x14ac:dyDescent="0.25">
      <c r="Y42394" s="501"/>
    </row>
    <row r="42395" spans="25:25" hidden="1" x14ac:dyDescent="0.25">
      <c r="Y42395" s="501"/>
    </row>
    <row r="42396" spans="25:25" hidden="1" x14ac:dyDescent="0.25">
      <c r="Y42396" s="501"/>
    </row>
    <row r="42397" spans="25:25" hidden="1" x14ac:dyDescent="0.25">
      <c r="Y42397" s="501"/>
    </row>
    <row r="42398" spans="25:25" hidden="1" x14ac:dyDescent="0.25">
      <c r="Y42398" s="501"/>
    </row>
    <row r="42399" spans="25:25" hidden="1" x14ac:dyDescent="0.25">
      <c r="Y42399" s="501"/>
    </row>
    <row r="42400" spans="25:25" hidden="1" x14ac:dyDescent="0.25">
      <c r="Y42400" s="501"/>
    </row>
    <row r="42401" spans="25:25" hidden="1" x14ac:dyDescent="0.25">
      <c r="Y42401" s="501"/>
    </row>
    <row r="42402" spans="25:25" hidden="1" x14ac:dyDescent="0.25">
      <c r="Y42402" s="501"/>
    </row>
    <row r="42403" spans="25:25" hidden="1" x14ac:dyDescent="0.25">
      <c r="Y42403" s="501"/>
    </row>
    <row r="42404" spans="25:25" hidden="1" x14ac:dyDescent="0.25">
      <c r="Y42404" s="501"/>
    </row>
    <row r="42405" spans="25:25" hidden="1" x14ac:dyDescent="0.25">
      <c r="Y42405" s="501"/>
    </row>
    <row r="42406" spans="25:25" hidden="1" x14ac:dyDescent="0.25">
      <c r="Y42406" s="501"/>
    </row>
    <row r="42407" spans="25:25" hidden="1" x14ac:dyDescent="0.25">
      <c r="Y42407" s="501"/>
    </row>
    <row r="42408" spans="25:25" hidden="1" x14ac:dyDescent="0.25">
      <c r="Y42408" s="501"/>
    </row>
    <row r="42409" spans="25:25" hidden="1" x14ac:dyDescent="0.25">
      <c r="Y42409" s="501"/>
    </row>
    <row r="42410" spans="25:25" hidden="1" x14ac:dyDescent="0.25">
      <c r="Y42410" s="501"/>
    </row>
    <row r="42411" spans="25:25" hidden="1" x14ac:dyDescent="0.25">
      <c r="Y42411" s="501"/>
    </row>
    <row r="42412" spans="25:25" hidden="1" x14ac:dyDescent="0.25">
      <c r="Y42412" s="501"/>
    </row>
    <row r="42413" spans="25:25" hidden="1" x14ac:dyDescent="0.25">
      <c r="Y42413" s="501"/>
    </row>
    <row r="42414" spans="25:25" hidden="1" x14ac:dyDescent="0.25">
      <c r="Y42414" s="501"/>
    </row>
    <row r="42415" spans="25:25" hidden="1" x14ac:dyDescent="0.25">
      <c r="Y42415" s="501"/>
    </row>
    <row r="42416" spans="25:25" hidden="1" x14ac:dyDescent="0.25">
      <c r="Y42416" s="501"/>
    </row>
    <row r="42417" spans="25:25" hidden="1" x14ac:dyDescent="0.25">
      <c r="Y42417" s="501"/>
    </row>
    <row r="42418" spans="25:25" hidden="1" x14ac:dyDescent="0.25">
      <c r="Y42418" s="501"/>
    </row>
    <row r="42419" spans="25:25" hidden="1" x14ac:dyDescent="0.25">
      <c r="Y42419" s="501"/>
    </row>
    <row r="42420" spans="25:25" hidden="1" x14ac:dyDescent="0.25">
      <c r="Y42420" s="501"/>
    </row>
    <row r="42421" spans="25:25" hidden="1" x14ac:dyDescent="0.25">
      <c r="Y42421" s="501"/>
    </row>
    <row r="42422" spans="25:25" hidden="1" x14ac:dyDescent="0.25">
      <c r="Y42422" s="501"/>
    </row>
    <row r="42423" spans="25:25" hidden="1" x14ac:dyDescent="0.25">
      <c r="Y42423" s="501"/>
    </row>
    <row r="42424" spans="25:25" hidden="1" x14ac:dyDescent="0.25">
      <c r="Y42424" s="501"/>
    </row>
    <row r="42425" spans="25:25" hidden="1" x14ac:dyDescent="0.25">
      <c r="Y42425" s="501"/>
    </row>
    <row r="42426" spans="25:25" hidden="1" x14ac:dyDescent="0.25">
      <c r="Y42426" s="501"/>
    </row>
    <row r="42427" spans="25:25" hidden="1" x14ac:dyDescent="0.25">
      <c r="Y42427" s="501"/>
    </row>
    <row r="42428" spans="25:25" hidden="1" x14ac:dyDescent="0.25">
      <c r="Y42428" s="501"/>
    </row>
    <row r="42429" spans="25:25" hidden="1" x14ac:dyDescent="0.25">
      <c r="Y42429" s="501"/>
    </row>
    <row r="42430" spans="25:25" hidden="1" x14ac:dyDescent="0.25">
      <c r="Y42430" s="501"/>
    </row>
    <row r="42431" spans="25:25" hidden="1" x14ac:dyDescent="0.25">
      <c r="Y42431" s="501"/>
    </row>
    <row r="42432" spans="25:25" hidden="1" x14ac:dyDescent="0.25">
      <c r="Y42432" s="501"/>
    </row>
    <row r="42433" spans="25:25" hidden="1" x14ac:dyDescent="0.25">
      <c r="Y42433" s="501"/>
    </row>
    <row r="42434" spans="25:25" hidden="1" x14ac:dyDescent="0.25">
      <c r="Y42434" s="501"/>
    </row>
    <row r="42435" spans="25:25" hidden="1" x14ac:dyDescent="0.25">
      <c r="Y42435" s="501"/>
    </row>
    <row r="42436" spans="25:25" hidden="1" x14ac:dyDescent="0.25">
      <c r="Y42436" s="501"/>
    </row>
    <row r="42437" spans="25:25" hidden="1" x14ac:dyDescent="0.25">
      <c r="Y42437" s="501"/>
    </row>
    <row r="42438" spans="25:25" hidden="1" x14ac:dyDescent="0.25">
      <c r="Y42438" s="501"/>
    </row>
    <row r="42439" spans="25:25" hidden="1" x14ac:dyDescent="0.25">
      <c r="Y42439" s="501"/>
    </row>
    <row r="42440" spans="25:25" hidden="1" x14ac:dyDescent="0.25">
      <c r="Y42440" s="501"/>
    </row>
    <row r="42441" spans="25:25" hidden="1" x14ac:dyDescent="0.25">
      <c r="Y42441" s="501"/>
    </row>
    <row r="42442" spans="25:25" hidden="1" x14ac:dyDescent="0.25">
      <c r="Y42442" s="501"/>
    </row>
    <row r="42443" spans="25:25" hidden="1" x14ac:dyDescent="0.25">
      <c r="Y42443" s="501"/>
    </row>
    <row r="42444" spans="25:25" hidden="1" x14ac:dyDescent="0.25">
      <c r="Y42444" s="501"/>
    </row>
    <row r="42445" spans="25:25" hidden="1" x14ac:dyDescent="0.25">
      <c r="Y42445" s="501"/>
    </row>
    <row r="42446" spans="25:25" hidden="1" x14ac:dyDescent="0.25">
      <c r="Y42446" s="501"/>
    </row>
    <row r="42447" spans="25:25" hidden="1" x14ac:dyDescent="0.25">
      <c r="Y42447" s="501"/>
    </row>
    <row r="42448" spans="25:25" hidden="1" x14ac:dyDescent="0.25">
      <c r="Y42448" s="501"/>
    </row>
    <row r="42449" spans="25:25" hidden="1" x14ac:dyDescent="0.25">
      <c r="Y42449" s="501"/>
    </row>
    <row r="42450" spans="25:25" hidden="1" x14ac:dyDescent="0.25">
      <c r="Y42450" s="501"/>
    </row>
    <row r="42451" spans="25:25" hidden="1" x14ac:dyDescent="0.25">
      <c r="Y42451" s="501"/>
    </row>
    <row r="42452" spans="25:25" hidden="1" x14ac:dyDescent="0.25">
      <c r="Y42452" s="501"/>
    </row>
    <row r="42453" spans="25:25" hidden="1" x14ac:dyDescent="0.25">
      <c r="Y42453" s="501"/>
    </row>
    <row r="42454" spans="25:25" hidden="1" x14ac:dyDescent="0.25">
      <c r="Y42454" s="501"/>
    </row>
    <row r="42455" spans="25:25" hidden="1" x14ac:dyDescent="0.25">
      <c r="Y42455" s="501"/>
    </row>
    <row r="42456" spans="25:25" hidden="1" x14ac:dyDescent="0.25">
      <c r="Y42456" s="501"/>
    </row>
    <row r="42457" spans="25:25" hidden="1" x14ac:dyDescent="0.25">
      <c r="Y42457" s="501"/>
    </row>
    <row r="42458" spans="25:25" hidden="1" x14ac:dyDescent="0.25">
      <c r="Y42458" s="501"/>
    </row>
    <row r="42459" spans="25:25" hidden="1" x14ac:dyDescent="0.25">
      <c r="Y42459" s="501"/>
    </row>
    <row r="42460" spans="25:25" hidden="1" x14ac:dyDescent="0.25">
      <c r="Y42460" s="501"/>
    </row>
    <row r="42461" spans="25:25" hidden="1" x14ac:dyDescent="0.25">
      <c r="Y42461" s="501"/>
    </row>
    <row r="42462" spans="25:25" hidden="1" x14ac:dyDescent="0.25">
      <c r="Y42462" s="501"/>
    </row>
    <row r="42463" spans="25:25" hidden="1" x14ac:dyDescent="0.25">
      <c r="Y42463" s="501"/>
    </row>
    <row r="42464" spans="25:25" hidden="1" x14ac:dyDescent="0.25">
      <c r="Y42464" s="501"/>
    </row>
    <row r="42465" spans="25:25" hidden="1" x14ac:dyDescent="0.25">
      <c r="Y42465" s="501"/>
    </row>
    <row r="42466" spans="25:25" hidden="1" x14ac:dyDescent="0.25">
      <c r="Y42466" s="501"/>
    </row>
    <row r="42467" spans="25:25" hidden="1" x14ac:dyDescent="0.25">
      <c r="Y42467" s="501"/>
    </row>
    <row r="42468" spans="25:25" hidden="1" x14ac:dyDescent="0.25">
      <c r="Y42468" s="501"/>
    </row>
    <row r="42469" spans="25:25" hidden="1" x14ac:dyDescent="0.25">
      <c r="Y42469" s="501"/>
    </row>
    <row r="42470" spans="25:25" hidden="1" x14ac:dyDescent="0.25">
      <c r="Y42470" s="501"/>
    </row>
    <row r="42471" spans="25:25" hidden="1" x14ac:dyDescent="0.25">
      <c r="Y42471" s="501"/>
    </row>
    <row r="42472" spans="25:25" hidden="1" x14ac:dyDescent="0.25">
      <c r="Y42472" s="501"/>
    </row>
    <row r="42473" spans="25:25" hidden="1" x14ac:dyDescent="0.25">
      <c r="Y42473" s="501"/>
    </row>
    <row r="42474" spans="25:25" hidden="1" x14ac:dyDescent="0.25">
      <c r="Y42474" s="501"/>
    </row>
    <row r="42475" spans="25:25" hidden="1" x14ac:dyDescent="0.25">
      <c r="Y42475" s="501"/>
    </row>
    <row r="42476" spans="25:25" hidden="1" x14ac:dyDescent="0.25">
      <c r="Y42476" s="501"/>
    </row>
    <row r="42477" spans="25:25" hidden="1" x14ac:dyDescent="0.25">
      <c r="Y42477" s="501"/>
    </row>
    <row r="42478" spans="25:25" hidden="1" x14ac:dyDescent="0.25">
      <c r="Y42478" s="501"/>
    </row>
    <row r="42479" spans="25:25" hidden="1" x14ac:dyDescent="0.25">
      <c r="Y42479" s="501"/>
    </row>
    <row r="42480" spans="25:25" hidden="1" x14ac:dyDescent="0.25">
      <c r="Y42480" s="501"/>
    </row>
    <row r="42481" spans="25:25" hidden="1" x14ac:dyDescent="0.25">
      <c r="Y42481" s="501"/>
    </row>
    <row r="42482" spans="25:25" hidden="1" x14ac:dyDescent="0.25">
      <c r="Y42482" s="501"/>
    </row>
    <row r="42483" spans="25:25" hidden="1" x14ac:dyDescent="0.25">
      <c r="Y42483" s="501"/>
    </row>
    <row r="42484" spans="25:25" hidden="1" x14ac:dyDescent="0.25">
      <c r="Y42484" s="501"/>
    </row>
    <row r="42485" spans="25:25" hidden="1" x14ac:dyDescent="0.25">
      <c r="Y42485" s="501"/>
    </row>
    <row r="42486" spans="25:25" hidden="1" x14ac:dyDescent="0.25">
      <c r="Y42486" s="501"/>
    </row>
    <row r="42487" spans="25:25" hidden="1" x14ac:dyDescent="0.25">
      <c r="Y42487" s="501"/>
    </row>
    <row r="42488" spans="25:25" hidden="1" x14ac:dyDescent="0.25">
      <c r="Y42488" s="501"/>
    </row>
    <row r="42489" spans="25:25" hidden="1" x14ac:dyDescent="0.25">
      <c r="Y42489" s="501"/>
    </row>
    <row r="42490" spans="25:25" hidden="1" x14ac:dyDescent="0.25">
      <c r="Y42490" s="501"/>
    </row>
    <row r="42491" spans="25:25" hidden="1" x14ac:dyDescent="0.25">
      <c r="Y42491" s="501"/>
    </row>
    <row r="42492" spans="25:25" hidden="1" x14ac:dyDescent="0.25">
      <c r="Y42492" s="501"/>
    </row>
    <row r="42493" spans="25:25" hidden="1" x14ac:dyDescent="0.25">
      <c r="Y42493" s="501"/>
    </row>
    <row r="42494" spans="25:25" hidden="1" x14ac:dyDescent="0.25">
      <c r="Y42494" s="501"/>
    </row>
    <row r="42495" spans="25:25" hidden="1" x14ac:dyDescent="0.25">
      <c r="Y42495" s="501"/>
    </row>
    <row r="42496" spans="25:25" hidden="1" x14ac:dyDescent="0.25">
      <c r="Y42496" s="501"/>
    </row>
    <row r="42497" spans="25:25" hidden="1" x14ac:dyDescent="0.25">
      <c r="Y42497" s="501"/>
    </row>
    <row r="42498" spans="25:25" hidden="1" x14ac:dyDescent="0.25">
      <c r="Y42498" s="501"/>
    </row>
    <row r="42499" spans="25:25" hidden="1" x14ac:dyDescent="0.25">
      <c r="Y42499" s="501"/>
    </row>
    <row r="42500" spans="25:25" hidden="1" x14ac:dyDescent="0.25">
      <c r="Y42500" s="501"/>
    </row>
    <row r="42501" spans="25:25" hidden="1" x14ac:dyDescent="0.25">
      <c r="Y42501" s="501"/>
    </row>
    <row r="42502" spans="25:25" hidden="1" x14ac:dyDescent="0.25">
      <c r="Y42502" s="501"/>
    </row>
    <row r="42503" spans="25:25" hidden="1" x14ac:dyDescent="0.25">
      <c r="Y42503" s="501"/>
    </row>
    <row r="42504" spans="25:25" hidden="1" x14ac:dyDescent="0.25">
      <c r="Y42504" s="501"/>
    </row>
    <row r="42505" spans="25:25" hidden="1" x14ac:dyDescent="0.25">
      <c r="Y42505" s="501"/>
    </row>
    <row r="42506" spans="25:25" hidden="1" x14ac:dyDescent="0.25">
      <c r="Y42506" s="501"/>
    </row>
    <row r="42507" spans="25:25" hidden="1" x14ac:dyDescent="0.25">
      <c r="Y42507" s="501"/>
    </row>
    <row r="42508" spans="25:25" hidden="1" x14ac:dyDescent="0.25">
      <c r="Y42508" s="501"/>
    </row>
    <row r="42509" spans="25:25" hidden="1" x14ac:dyDescent="0.25">
      <c r="Y42509" s="501"/>
    </row>
    <row r="42510" spans="25:25" hidden="1" x14ac:dyDescent="0.25">
      <c r="Y42510" s="501"/>
    </row>
    <row r="42511" spans="25:25" hidden="1" x14ac:dyDescent="0.25">
      <c r="Y42511" s="501"/>
    </row>
    <row r="42512" spans="25:25" hidden="1" x14ac:dyDescent="0.25">
      <c r="Y42512" s="501"/>
    </row>
    <row r="42513" spans="25:25" hidden="1" x14ac:dyDescent="0.25">
      <c r="Y42513" s="501"/>
    </row>
    <row r="42514" spans="25:25" hidden="1" x14ac:dyDescent="0.25">
      <c r="Y42514" s="501"/>
    </row>
    <row r="42515" spans="25:25" hidden="1" x14ac:dyDescent="0.25">
      <c r="Y42515" s="501"/>
    </row>
    <row r="42516" spans="25:25" hidden="1" x14ac:dyDescent="0.25">
      <c r="Y42516" s="501"/>
    </row>
    <row r="42517" spans="25:25" hidden="1" x14ac:dyDescent="0.25">
      <c r="Y42517" s="501"/>
    </row>
    <row r="42518" spans="25:25" hidden="1" x14ac:dyDescent="0.25">
      <c r="Y42518" s="501"/>
    </row>
    <row r="42519" spans="25:25" hidden="1" x14ac:dyDescent="0.25">
      <c r="Y42519" s="501"/>
    </row>
    <row r="42520" spans="25:25" hidden="1" x14ac:dyDescent="0.25">
      <c r="Y42520" s="501"/>
    </row>
    <row r="42521" spans="25:25" hidden="1" x14ac:dyDescent="0.25">
      <c r="Y42521" s="501"/>
    </row>
    <row r="42522" spans="25:25" hidden="1" x14ac:dyDescent="0.25">
      <c r="Y42522" s="501"/>
    </row>
    <row r="42523" spans="25:25" hidden="1" x14ac:dyDescent="0.25">
      <c r="Y42523" s="501"/>
    </row>
    <row r="42524" spans="25:25" hidden="1" x14ac:dyDescent="0.25">
      <c r="Y42524" s="501"/>
    </row>
    <row r="42525" spans="25:25" hidden="1" x14ac:dyDescent="0.25">
      <c r="Y42525" s="501"/>
    </row>
    <row r="42526" spans="25:25" hidden="1" x14ac:dyDescent="0.25">
      <c r="Y42526" s="501"/>
    </row>
    <row r="42527" spans="25:25" hidden="1" x14ac:dyDescent="0.25">
      <c r="Y42527" s="501"/>
    </row>
    <row r="42528" spans="25:25" hidden="1" x14ac:dyDescent="0.25">
      <c r="Y42528" s="501"/>
    </row>
    <row r="42529" spans="25:25" hidden="1" x14ac:dyDescent="0.25">
      <c r="Y42529" s="501"/>
    </row>
    <row r="42530" spans="25:25" hidden="1" x14ac:dyDescent="0.25">
      <c r="Y42530" s="501"/>
    </row>
    <row r="42531" spans="25:25" hidden="1" x14ac:dyDescent="0.25">
      <c r="Y42531" s="501"/>
    </row>
    <row r="42532" spans="25:25" hidden="1" x14ac:dyDescent="0.25">
      <c r="Y42532" s="501"/>
    </row>
    <row r="42533" spans="25:25" hidden="1" x14ac:dyDescent="0.25">
      <c r="Y42533" s="501"/>
    </row>
    <row r="42534" spans="25:25" hidden="1" x14ac:dyDescent="0.25">
      <c r="Y42534" s="501"/>
    </row>
    <row r="42535" spans="25:25" hidden="1" x14ac:dyDescent="0.25">
      <c r="Y42535" s="501"/>
    </row>
    <row r="42536" spans="25:25" hidden="1" x14ac:dyDescent="0.25">
      <c r="Y42536" s="501"/>
    </row>
    <row r="42537" spans="25:25" hidden="1" x14ac:dyDescent="0.25">
      <c r="Y42537" s="501"/>
    </row>
    <row r="42538" spans="25:25" hidden="1" x14ac:dyDescent="0.25">
      <c r="Y42538" s="501"/>
    </row>
    <row r="42539" spans="25:25" hidden="1" x14ac:dyDescent="0.25">
      <c r="Y42539" s="501"/>
    </row>
    <row r="42540" spans="25:25" hidden="1" x14ac:dyDescent="0.25">
      <c r="Y42540" s="501"/>
    </row>
    <row r="42541" spans="25:25" hidden="1" x14ac:dyDescent="0.25">
      <c r="Y42541" s="501"/>
    </row>
    <row r="42542" spans="25:25" hidden="1" x14ac:dyDescent="0.25">
      <c r="Y42542" s="501"/>
    </row>
    <row r="42543" spans="25:25" hidden="1" x14ac:dyDescent="0.25">
      <c r="Y42543" s="501"/>
    </row>
    <row r="42544" spans="25:25" hidden="1" x14ac:dyDescent="0.25">
      <c r="Y42544" s="501"/>
    </row>
    <row r="42545" spans="25:25" hidden="1" x14ac:dyDescent="0.25">
      <c r="Y42545" s="501"/>
    </row>
    <row r="42546" spans="25:25" hidden="1" x14ac:dyDescent="0.25">
      <c r="Y42546" s="501"/>
    </row>
    <row r="42547" spans="25:25" hidden="1" x14ac:dyDescent="0.25">
      <c r="Y42547" s="501"/>
    </row>
    <row r="42548" spans="25:25" hidden="1" x14ac:dyDescent="0.25">
      <c r="Y42548" s="501"/>
    </row>
    <row r="42549" spans="25:25" hidden="1" x14ac:dyDescent="0.25">
      <c r="Y42549" s="501"/>
    </row>
    <row r="42550" spans="25:25" hidden="1" x14ac:dyDescent="0.25">
      <c r="Y42550" s="501"/>
    </row>
    <row r="42551" spans="25:25" hidden="1" x14ac:dyDescent="0.25">
      <c r="Y42551" s="501"/>
    </row>
    <row r="42552" spans="25:25" hidden="1" x14ac:dyDescent="0.25">
      <c r="Y42552" s="501"/>
    </row>
    <row r="42553" spans="25:25" hidden="1" x14ac:dyDescent="0.25">
      <c r="Y42553" s="501"/>
    </row>
    <row r="42554" spans="25:25" hidden="1" x14ac:dyDescent="0.25">
      <c r="Y42554" s="501"/>
    </row>
    <row r="42555" spans="25:25" hidden="1" x14ac:dyDescent="0.25">
      <c r="Y42555" s="501"/>
    </row>
    <row r="42556" spans="25:25" hidden="1" x14ac:dyDescent="0.25">
      <c r="Y42556" s="501"/>
    </row>
    <row r="42557" spans="25:25" hidden="1" x14ac:dyDescent="0.25">
      <c r="Y42557" s="501"/>
    </row>
    <row r="42558" spans="25:25" hidden="1" x14ac:dyDescent="0.25">
      <c r="Y42558" s="501"/>
    </row>
    <row r="42559" spans="25:25" hidden="1" x14ac:dyDescent="0.25">
      <c r="Y42559" s="501"/>
    </row>
    <row r="42560" spans="25:25" hidden="1" x14ac:dyDescent="0.25">
      <c r="Y42560" s="501"/>
    </row>
    <row r="42561" spans="25:25" hidden="1" x14ac:dyDescent="0.25">
      <c r="Y42561" s="501"/>
    </row>
    <row r="42562" spans="25:25" hidden="1" x14ac:dyDescent="0.25">
      <c r="Y42562" s="501"/>
    </row>
    <row r="42563" spans="25:25" hidden="1" x14ac:dyDescent="0.25">
      <c r="Y42563" s="501"/>
    </row>
    <row r="42564" spans="25:25" hidden="1" x14ac:dyDescent="0.25">
      <c r="Y42564" s="501"/>
    </row>
    <row r="42565" spans="25:25" hidden="1" x14ac:dyDescent="0.25">
      <c r="Y42565" s="501"/>
    </row>
    <row r="42566" spans="25:25" hidden="1" x14ac:dyDescent="0.25">
      <c r="Y42566" s="501"/>
    </row>
    <row r="42567" spans="25:25" hidden="1" x14ac:dyDescent="0.25">
      <c r="Y42567" s="501"/>
    </row>
    <row r="42568" spans="25:25" hidden="1" x14ac:dyDescent="0.25">
      <c r="Y42568" s="501"/>
    </row>
    <row r="42569" spans="25:25" hidden="1" x14ac:dyDescent="0.25">
      <c r="Y42569" s="501"/>
    </row>
    <row r="42570" spans="25:25" hidden="1" x14ac:dyDescent="0.25">
      <c r="Y42570" s="501"/>
    </row>
    <row r="42571" spans="25:25" hidden="1" x14ac:dyDescent="0.25">
      <c r="Y42571" s="501"/>
    </row>
    <row r="42572" spans="25:25" hidden="1" x14ac:dyDescent="0.25">
      <c r="Y42572" s="501"/>
    </row>
    <row r="42573" spans="25:25" hidden="1" x14ac:dyDescent="0.25">
      <c r="Y42573" s="501"/>
    </row>
    <row r="42574" spans="25:25" hidden="1" x14ac:dyDescent="0.25">
      <c r="Y42574" s="501"/>
    </row>
    <row r="42575" spans="25:25" hidden="1" x14ac:dyDescent="0.25">
      <c r="Y42575" s="501"/>
    </row>
    <row r="42576" spans="25:25" hidden="1" x14ac:dyDescent="0.25">
      <c r="Y42576" s="501"/>
    </row>
    <row r="42577" spans="25:25" hidden="1" x14ac:dyDescent="0.25">
      <c r="Y42577" s="501"/>
    </row>
    <row r="42578" spans="25:25" hidden="1" x14ac:dyDescent="0.25">
      <c r="Y42578" s="501"/>
    </row>
    <row r="42579" spans="25:25" hidden="1" x14ac:dyDescent="0.25">
      <c r="Y42579" s="501"/>
    </row>
    <row r="42580" spans="25:25" hidden="1" x14ac:dyDescent="0.25">
      <c r="Y42580" s="501"/>
    </row>
    <row r="42581" spans="25:25" hidden="1" x14ac:dyDescent="0.25">
      <c r="Y42581" s="501"/>
    </row>
    <row r="42582" spans="25:25" hidden="1" x14ac:dyDescent="0.25">
      <c r="Y42582" s="501"/>
    </row>
    <row r="42583" spans="25:25" hidden="1" x14ac:dyDescent="0.25">
      <c r="Y42583" s="501"/>
    </row>
    <row r="42584" spans="25:25" hidden="1" x14ac:dyDescent="0.25">
      <c r="Y42584" s="501"/>
    </row>
    <row r="42585" spans="25:25" hidden="1" x14ac:dyDescent="0.25">
      <c r="Y42585" s="501"/>
    </row>
    <row r="42586" spans="25:25" hidden="1" x14ac:dyDescent="0.25">
      <c r="Y42586" s="501"/>
    </row>
    <row r="42587" spans="25:25" hidden="1" x14ac:dyDescent="0.25">
      <c r="Y42587" s="501"/>
    </row>
    <row r="42588" spans="25:25" hidden="1" x14ac:dyDescent="0.25">
      <c r="Y42588" s="501"/>
    </row>
    <row r="42589" spans="25:25" hidden="1" x14ac:dyDescent="0.25">
      <c r="Y42589" s="501"/>
    </row>
    <row r="42590" spans="25:25" hidden="1" x14ac:dyDescent="0.25">
      <c r="Y42590" s="501"/>
    </row>
    <row r="42591" spans="25:25" hidden="1" x14ac:dyDescent="0.25">
      <c r="Y42591" s="501"/>
    </row>
    <row r="42592" spans="25:25" hidden="1" x14ac:dyDescent="0.25">
      <c r="Y42592" s="501"/>
    </row>
    <row r="42593" spans="25:25" hidden="1" x14ac:dyDescent="0.25">
      <c r="Y42593" s="501"/>
    </row>
    <row r="42594" spans="25:25" hidden="1" x14ac:dyDescent="0.25">
      <c r="Y42594" s="501"/>
    </row>
    <row r="42595" spans="25:25" hidden="1" x14ac:dyDescent="0.25">
      <c r="Y42595" s="501"/>
    </row>
    <row r="42596" spans="25:25" hidden="1" x14ac:dyDescent="0.25">
      <c r="Y42596" s="501"/>
    </row>
    <row r="42597" spans="25:25" hidden="1" x14ac:dyDescent="0.25">
      <c r="Y42597" s="501"/>
    </row>
    <row r="42598" spans="25:25" hidden="1" x14ac:dyDescent="0.25">
      <c r="Y42598" s="501"/>
    </row>
    <row r="42599" spans="25:25" hidden="1" x14ac:dyDescent="0.25">
      <c r="Y42599" s="501"/>
    </row>
    <row r="42600" spans="25:25" hidden="1" x14ac:dyDescent="0.25">
      <c r="Y42600" s="501"/>
    </row>
    <row r="42601" spans="25:25" hidden="1" x14ac:dyDescent="0.25">
      <c r="Y42601" s="501"/>
    </row>
    <row r="42602" spans="25:25" hidden="1" x14ac:dyDescent="0.25">
      <c r="Y42602" s="501"/>
    </row>
    <row r="42603" spans="25:25" hidden="1" x14ac:dyDescent="0.25">
      <c r="Y42603" s="501"/>
    </row>
    <row r="42604" spans="25:25" hidden="1" x14ac:dyDescent="0.25">
      <c r="Y42604" s="501"/>
    </row>
    <row r="42605" spans="25:25" hidden="1" x14ac:dyDescent="0.25">
      <c r="Y42605" s="501"/>
    </row>
    <row r="42606" spans="25:25" hidden="1" x14ac:dyDescent="0.25">
      <c r="Y42606" s="501"/>
    </row>
    <row r="42607" spans="25:25" hidden="1" x14ac:dyDescent="0.25">
      <c r="Y42607" s="501"/>
    </row>
    <row r="42608" spans="25:25" hidden="1" x14ac:dyDescent="0.25">
      <c r="Y42608" s="501"/>
    </row>
    <row r="42609" spans="25:25" hidden="1" x14ac:dyDescent="0.25">
      <c r="Y42609" s="501"/>
    </row>
    <row r="42610" spans="25:25" hidden="1" x14ac:dyDescent="0.25">
      <c r="Y42610" s="501"/>
    </row>
    <row r="42611" spans="25:25" hidden="1" x14ac:dyDescent="0.25">
      <c r="Y42611" s="501"/>
    </row>
    <row r="42612" spans="25:25" hidden="1" x14ac:dyDescent="0.25">
      <c r="Y42612" s="501"/>
    </row>
    <row r="42613" spans="25:25" hidden="1" x14ac:dyDescent="0.25">
      <c r="Y42613" s="501"/>
    </row>
    <row r="42614" spans="25:25" hidden="1" x14ac:dyDescent="0.25">
      <c r="Y42614" s="501"/>
    </row>
    <row r="42615" spans="25:25" hidden="1" x14ac:dyDescent="0.25">
      <c r="Y42615" s="501"/>
    </row>
    <row r="42616" spans="25:25" hidden="1" x14ac:dyDescent="0.25">
      <c r="Y42616" s="501"/>
    </row>
    <row r="42617" spans="25:25" hidden="1" x14ac:dyDescent="0.25">
      <c r="Y42617" s="501"/>
    </row>
    <row r="42618" spans="25:25" hidden="1" x14ac:dyDescent="0.25">
      <c r="Y42618" s="501"/>
    </row>
    <row r="42619" spans="25:25" hidden="1" x14ac:dyDescent="0.25">
      <c r="Y42619" s="501"/>
    </row>
    <row r="42620" spans="25:25" hidden="1" x14ac:dyDescent="0.25">
      <c r="Y42620" s="501"/>
    </row>
    <row r="42621" spans="25:25" hidden="1" x14ac:dyDescent="0.25">
      <c r="Y42621" s="501"/>
    </row>
    <row r="42622" spans="25:25" hidden="1" x14ac:dyDescent="0.25">
      <c r="Y42622" s="501"/>
    </row>
    <row r="42623" spans="25:25" hidden="1" x14ac:dyDescent="0.25">
      <c r="Y42623" s="501"/>
    </row>
    <row r="42624" spans="25:25" hidden="1" x14ac:dyDescent="0.25">
      <c r="Y42624" s="501"/>
    </row>
    <row r="42625" spans="25:25" hidden="1" x14ac:dyDescent="0.25">
      <c r="Y42625" s="501"/>
    </row>
    <row r="42626" spans="25:25" hidden="1" x14ac:dyDescent="0.25">
      <c r="Y42626" s="501"/>
    </row>
    <row r="42627" spans="25:25" hidden="1" x14ac:dyDescent="0.25">
      <c r="Y42627" s="501"/>
    </row>
    <row r="42628" spans="25:25" hidden="1" x14ac:dyDescent="0.25">
      <c r="Y42628" s="501"/>
    </row>
    <row r="42629" spans="25:25" hidden="1" x14ac:dyDescent="0.25">
      <c r="Y42629" s="501"/>
    </row>
    <row r="42630" spans="25:25" hidden="1" x14ac:dyDescent="0.25">
      <c r="Y42630" s="501"/>
    </row>
    <row r="42631" spans="25:25" hidden="1" x14ac:dyDescent="0.25">
      <c r="Y42631" s="501"/>
    </row>
    <row r="42632" spans="25:25" hidden="1" x14ac:dyDescent="0.25">
      <c r="Y42632" s="501"/>
    </row>
    <row r="42633" spans="25:25" hidden="1" x14ac:dyDescent="0.25">
      <c r="Y42633" s="501"/>
    </row>
    <row r="42634" spans="25:25" hidden="1" x14ac:dyDescent="0.25">
      <c r="Y42634" s="501"/>
    </row>
    <row r="42635" spans="25:25" hidden="1" x14ac:dyDescent="0.25">
      <c r="Y42635" s="501"/>
    </row>
    <row r="42636" spans="25:25" hidden="1" x14ac:dyDescent="0.25">
      <c r="Y42636" s="501"/>
    </row>
    <row r="42637" spans="25:25" hidden="1" x14ac:dyDescent="0.25">
      <c r="Y42637" s="501"/>
    </row>
    <row r="42638" spans="25:25" hidden="1" x14ac:dyDescent="0.25">
      <c r="Y42638" s="501"/>
    </row>
    <row r="42639" spans="25:25" hidden="1" x14ac:dyDescent="0.25">
      <c r="Y42639" s="501"/>
    </row>
    <row r="42640" spans="25:25" hidden="1" x14ac:dyDescent="0.25">
      <c r="Y42640" s="501"/>
    </row>
    <row r="42641" spans="25:25" hidden="1" x14ac:dyDescent="0.25">
      <c r="Y42641" s="501"/>
    </row>
    <row r="42642" spans="25:25" hidden="1" x14ac:dyDescent="0.25">
      <c r="Y42642" s="501"/>
    </row>
    <row r="42643" spans="25:25" hidden="1" x14ac:dyDescent="0.25">
      <c r="Y42643" s="501"/>
    </row>
    <row r="42644" spans="25:25" hidden="1" x14ac:dyDescent="0.25">
      <c r="Y42644" s="501"/>
    </row>
    <row r="42645" spans="25:25" hidden="1" x14ac:dyDescent="0.25">
      <c r="Y42645" s="501"/>
    </row>
    <row r="42646" spans="25:25" hidden="1" x14ac:dyDescent="0.25">
      <c r="Y42646" s="501"/>
    </row>
    <row r="42647" spans="25:25" hidden="1" x14ac:dyDescent="0.25">
      <c r="Y42647" s="501"/>
    </row>
    <row r="42648" spans="25:25" hidden="1" x14ac:dyDescent="0.25">
      <c r="Y42648" s="501"/>
    </row>
    <row r="42649" spans="25:25" hidden="1" x14ac:dyDescent="0.25">
      <c r="Y42649" s="501"/>
    </row>
    <row r="42650" spans="25:25" hidden="1" x14ac:dyDescent="0.25">
      <c r="Y42650" s="501"/>
    </row>
    <row r="42651" spans="25:25" hidden="1" x14ac:dyDescent="0.25">
      <c r="Y42651" s="501"/>
    </row>
    <row r="42652" spans="25:25" hidden="1" x14ac:dyDescent="0.25">
      <c r="Y42652" s="501"/>
    </row>
    <row r="42653" spans="25:25" hidden="1" x14ac:dyDescent="0.25">
      <c r="Y42653" s="501"/>
    </row>
    <row r="42654" spans="25:25" hidden="1" x14ac:dyDescent="0.25">
      <c r="Y42654" s="501"/>
    </row>
    <row r="42655" spans="25:25" hidden="1" x14ac:dyDescent="0.25">
      <c r="Y42655" s="501"/>
    </row>
    <row r="42656" spans="25:25" hidden="1" x14ac:dyDescent="0.25">
      <c r="Y42656" s="501"/>
    </row>
    <row r="42657" spans="25:25" hidden="1" x14ac:dyDescent="0.25">
      <c r="Y42657" s="501"/>
    </row>
    <row r="42658" spans="25:25" hidden="1" x14ac:dyDescent="0.25">
      <c r="Y42658" s="501"/>
    </row>
    <row r="42659" spans="25:25" hidden="1" x14ac:dyDescent="0.25">
      <c r="Y42659" s="501"/>
    </row>
    <row r="42660" spans="25:25" hidden="1" x14ac:dyDescent="0.25">
      <c r="Y42660" s="501"/>
    </row>
    <row r="42661" spans="25:25" hidden="1" x14ac:dyDescent="0.25">
      <c r="Y42661" s="501"/>
    </row>
    <row r="42662" spans="25:25" hidden="1" x14ac:dyDescent="0.25">
      <c r="Y42662" s="501"/>
    </row>
    <row r="42663" spans="25:25" hidden="1" x14ac:dyDescent="0.25">
      <c r="Y42663" s="501"/>
    </row>
    <row r="42664" spans="25:25" hidden="1" x14ac:dyDescent="0.25">
      <c r="Y42664" s="501"/>
    </row>
    <row r="42665" spans="25:25" hidden="1" x14ac:dyDescent="0.25">
      <c r="Y42665" s="501"/>
    </row>
    <row r="42666" spans="25:25" hidden="1" x14ac:dyDescent="0.25">
      <c r="Y42666" s="501"/>
    </row>
    <row r="42667" spans="25:25" hidden="1" x14ac:dyDescent="0.25">
      <c r="Y42667" s="501"/>
    </row>
    <row r="42668" spans="25:25" hidden="1" x14ac:dyDescent="0.25">
      <c r="Y42668" s="501"/>
    </row>
    <row r="42669" spans="25:25" hidden="1" x14ac:dyDescent="0.25">
      <c r="Y42669" s="501"/>
    </row>
    <row r="42670" spans="25:25" hidden="1" x14ac:dyDescent="0.25">
      <c r="Y42670" s="501"/>
    </row>
    <row r="42671" spans="25:25" hidden="1" x14ac:dyDescent="0.25">
      <c r="Y42671" s="501"/>
    </row>
    <row r="42672" spans="25:25" hidden="1" x14ac:dyDescent="0.25">
      <c r="Y42672" s="501"/>
    </row>
    <row r="42673" spans="25:25" hidden="1" x14ac:dyDescent="0.25">
      <c r="Y42673" s="501"/>
    </row>
    <row r="42674" spans="25:25" hidden="1" x14ac:dyDescent="0.25">
      <c r="Y42674" s="501"/>
    </row>
    <row r="42675" spans="25:25" hidden="1" x14ac:dyDescent="0.25">
      <c r="Y42675" s="501"/>
    </row>
    <row r="42676" spans="25:25" hidden="1" x14ac:dyDescent="0.25">
      <c r="Y42676" s="501"/>
    </row>
    <row r="42677" spans="25:25" hidden="1" x14ac:dyDescent="0.25">
      <c r="Y42677" s="501"/>
    </row>
    <row r="42678" spans="25:25" hidden="1" x14ac:dyDescent="0.25">
      <c r="Y42678" s="501"/>
    </row>
    <row r="42679" spans="25:25" hidden="1" x14ac:dyDescent="0.25">
      <c r="Y42679" s="501"/>
    </row>
    <row r="42680" spans="25:25" hidden="1" x14ac:dyDescent="0.25">
      <c r="Y42680" s="501"/>
    </row>
    <row r="42681" spans="25:25" hidden="1" x14ac:dyDescent="0.25">
      <c r="Y42681" s="501"/>
    </row>
    <row r="42682" spans="25:25" hidden="1" x14ac:dyDescent="0.25">
      <c r="Y42682" s="501"/>
    </row>
    <row r="42683" spans="25:25" hidden="1" x14ac:dyDescent="0.25">
      <c r="Y42683" s="501"/>
    </row>
    <row r="42684" spans="25:25" hidden="1" x14ac:dyDescent="0.25">
      <c r="Y42684" s="501"/>
    </row>
    <row r="42685" spans="25:25" hidden="1" x14ac:dyDescent="0.25">
      <c r="Y42685" s="501"/>
    </row>
    <row r="42686" spans="25:25" hidden="1" x14ac:dyDescent="0.25">
      <c r="Y42686" s="501"/>
    </row>
    <row r="42687" spans="25:25" hidden="1" x14ac:dyDescent="0.25">
      <c r="Y42687" s="501"/>
    </row>
    <row r="42688" spans="25:25" hidden="1" x14ac:dyDescent="0.25">
      <c r="Y42688" s="501"/>
    </row>
    <row r="42689" spans="25:25" hidden="1" x14ac:dyDescent="0.25">
      <c r="Y42689" s="501"/>
    </row>
    <row r="42690" spans="25:25" hidden="1" x14ac:dyDescent="0.25">
      <c r="Y42690" s="501"/>
    </row>
    <row r="42691" spans="25:25" hidden="1" x14ac:dyDescent="0.25">
      <c r="Y42691" s="501"/>
    </row>
    <row r="42692" spans="25:25" hidden="1" x14ac:dyDescent="0.25">
      <c r="Y42692" s="501"/>
    </row>
    <row r="42693" spans="25:25" hidden="1" x14ac:dyDescent="0.25">
      <c r="Y42693" s="501"/>
    </row>
    <row r="42694" spans="25:25" hidden="1" x14ac:dyDescent="0.25">
      <c r="Y42694" s="501"/>
    </row>
    <row r="42695" spans="25:25" hidden="1" x14ac:dyDescent="0.25">
      <c r="Y42695" s="501"/>
    </row>
    <row r="42696" spans="25:25" hidden="1" x14ac:dyDescent="0.25">
      <c r="Y42696" s="501"/>
    </row>
    <row r="42697" spans="25:25" hidden="1" x14ac:dyDescent="0.25">
      <c r="Y42697" s="501"/>
    </row>
    <row r="42698" spans="25:25" hidden="1" x14ac:dyDescent="0.25">
      <c r="Y42698" s="501"/>
    </row>
    <row r="42699" spans="25:25" hidden="1" x14ac:dyDescent="0.25">
      <c r="Y42699" s="501"/>
    </row>
    <row r="42700" spans="25:25" hidden="1" x14ac:dyDescent="0.25">
      <c r="Y42700" s="501"/>
    </row>
    <row r="42701" spans="25:25" hidden="1" x14ac:dyDescent="0.25">
      <c r="Y42701" s="501"/>
    </row>
    <row r="42702" spans="25:25" hidden="1" x14ac:dyDescent="0.25">
      <c r="Y42702" s="501"/>
    </row>
    <row r="42703" spans="25:25" hidden="1" x14ac:dyDescent="0.25">
      <c r="Y42703" s="501"/>
    </row>
    <row r="42704" spans="25:25" hidden="1" x14ac:dyDescent="0.25">
      <c r="Y42704" s="501"/>
    </row>
    <row r="42705" spans="25:25" hidden="1" x14ac:dyDescent="0.25">
      <c r="Y42705" s="501"/>
    </row>
    <row r="42706" spans="25:25" hidden="1" x14ac:dyDescent="0.25">
      <c r="Y42706" s="501"/>
    </row>
    <row r="42707" spans="25:25" hidden="1" x14ac:dyDescent="0.25">
      <c r="Y42707" s="501"/>
    </row>
    <row r="42708" spans="25:25" hidden="1" x14ac:dyDescent="0.25">
      <c r="Y42708" s="501"/>
    </row>
    <row r="42709" spans="25:25" hidden="1" x14ac:dyDescent="0.25">
      <c r="Y42709" s="501"/>
    </row>
    <row r="42710" spans="25:25" hidden="1" x14ac:dyDescent="0.25">
      <c r="Y42710" s="501"/>
    </row>
    <row r="42711" spans="25:25" hidden="1" x14ac:dyDescent="0.25">
      <c r="Y42711" s="501"/>
    </row>
    <row r="42712" spans="25:25" hidden="1" x14ac:dyDescent="0.25">
      <c r="Y42712" s="501"/>
    </row>
    <row r="42713" spans="25:25" hidden="1" x14ac:dyDescent="0.25">
      <c r="Y42713" s="501"/>
    </row>
    <row r="42714" spans="25:25" hidden="1" x14ac:dyDescent="0.25">
      <c r="Y42714" s="501"/>
    </row>
    <row r="42715" spans="25:25" hidden="1" x14ac:dyDescent="0.25">
      <c r="Y42715" s="501"/>
    </row>
    <row r="42716" spans="25:25" hidden="1" x14ac:dyDescent="0.25">
      <c r="Y42716" s="501"/>
    </row>
    <row r="42717" spans="25:25" hidden="1" x14ac:dyDescent="0.25">
      <c r="Y42717" s="501"/>
    </row>
    <row r="42718" spans="25:25" hidden="1" x14ac:dyDescent="0.25">
      <c r="Y42718" s="501"/>
    </row>
    <row r="42719" spans="25:25" hidden="1" x14ac:dyDescent="0.25">
      <c r="Y42719" s="501"/>
    </row>
    <row r="42720" spans="25:25" hidden="1" x14ac:dyDescent="0.25">
      <c r="Y42720" s="501"/>
    </row>
    <row r="42721" spans="25:25" hidden="1" x14ac:dyDescent="0.25">
      <c r="Y42721" s="501"/>
    </row>
    <row r="42722" spans="25:25" hidden="1" x14ac:dyDescent="0.25">
      <c r="Y42722" s="501"/>
    </row>
    <row r="42723" spans="25:25" hidden="1" x14ac:dyDescent="0.25">
      <c r="Y42723" s="501"/>
    </row>
    <row r="42724" spans="25:25" hidden="1" x14ac:dyDescent="0.25">
      <c r="Y42724" s="501"/>
    </row>
    <row r="42725" spans="25:25" hidden="1" x14ac:dyDescent="0.25">
      <c r="Y42725" s="501"/>
    </row>
    <row r="42726" spans="25:25" hidden="1" x14ac:dyDescent="0.25">
      <c r="Y42726" s="501"/>
    </row>
    <row r="42727" spans="25:25" hidden="1" x14ac:dyDescent="0.25">
      <c r="Y42727" s="501"/>
    </row>
    <row r="42728" spans="25:25" hidden="1" x14ac:dyDescent="0.25">
      <c r="Y42728" s="501"/>
    </row>
    <row r="42729" spans="25:25" hidden="1" x14ac:dyDescent="0.25">
      <c r="Y42729" s="501"/>
    </row>
    <row r="42730" spans="25:25" hidden="1" x14ac:dyDescent="0.25">
      <c r="Y42730" s="501"/>
    </row>
    <row r="42731" spans="25:25" hidden="1" x14ac:dyDescent="0.25">
      <c r="Y42731" s="501"/>
    </row>
    <row r="42732" spans="25:25" hidden="1" x14ac:dyDescent="0.25">
      <c r="Y42732" s="501"/>
    </row>
    <row r="42733" spans="25:25" hidden="1" x14ac:dyDescent="0.25">
      <c r="Y42733" s="501"/>
    </row>
    <row r="42734" spans="25:25" hidden="1" x14ac:dyDescent="0.25">
      <c r="Y42734" s="501"/>
    </row>
    <row r="42735" spans="25:25" hidden="1" x14ac:dyDescent="0.25">
      <c r="Y42735" s="501"/>
    </row>
    <row r="42736" spans="25:25" hidden="1" x14ac:dyDescent="0.25">
      <c r="Y42736" s="501"/>
    </row>
    <row r="42737" spans="25:25" hidden="1" x14ac:dyDescent="0.25">
      <c r="Y42737" s="501"/>
    </row>
    <row r="42738" spans="25:25" hidden="1" x14ac:dyDescent="0.25">
      <c r="Y42738" s="501"/>
    </row>
    <row r="42739" spans="25:25" hidden="1" x14ac:dyDescent="0.25">
      <c r="Y42739" s="501"/>
    </row>
    <row r="42740" spans="25:25" hidden="1" x14ac:dyDescent="0.25">
      <c r="Y42740" s="501"/>
    </row>
    <row r="42741" spans="25:25" hidden="1" x14ac:dyDescent="0.25">
      <c r="Y42741" s="501"/>
    </row>
    <row r="42742" spans="25:25" hidden="1" x14ac:dyDescent="0.25">
      <c r="Y42742" s="501"/>
    </row>
    <row r="42743" spans="25:25" hidden="1" x14ac:dyDescent="0.25">
      <c r="Y42743" s="501"/>
    </row>
    <row r="42744" spans="25:25" hidden="1" x14ac:dyDescent="0.25">
      <c r="Y42744" s="501"/>
    </row>
    <row r="42745" spans="25:25" hidden="1" x14ac:dyDescent="0.25">
      <c r="Y42745" s="501"/>
    </row>
    <row r="42746" spans="25:25" hidden="1" x14ac:dyDescent="0.25">
      <c r="Y42746" s="501"/>
    </row>
    <row r="42747" spans="25:25" hidden="1" x14ac:dyDescent="0.25">
      <c r="Y42747" s="501"/>
    </row>
    <row r="42748" spans="25:25" hidden="1" x14ac:dyDescent="0.25">
      <c r="Y42748" s="501"/>
    </row>
    <row r="42749" spans="25:25" hidden="1" x14ac:dyDescent="0.25">
      <c r="Y42749" s="501"/>
    </row>
    <row r="42750" spans="25:25" hidden="1" x14ac:dyDescent="0.25">
      <c r="Y42750" s="501"/>
    </row>
    <row r="42751" spans="25:25" hidden="1" x14ac:dyDescent="0.25">
      <c r="Y42751" s="501"/>
    </row>
    <row r="42752" spans="25:25" hidden="1" x14ac:dyDescent="0.25">
      <c r="Y42752" s="501"/>
    </row>
    <row r="42753" spans="25:25" hidden="1" x14ac:dyDescent="0.25">
      <c r="Y42753" s="501"/>
    </row>
    <row r="42754" spans="25:25" hidden="1" x14ac:dyDescent="0.25">
      <c r="Y42754" s="501"/>
    </row>
    <row r="42755" spans="25:25" hidden="1" x14ac:dyDescent="0.25">
      <c r="Y42755" s="501"/>
    </row>
    <row r="42756" spans="25:25" hidden="1" x14ac:dyDescent="0.25">
      <c r="Y42756" s="501"/>
    </row>
    <row r="42757" spans="25:25" hidden="1" x14ac:dyDescent="0.25">
      <c r="Y42757" s="501"/>
    </row>
    <row r="42758" spans="25:25" hidden="1" x14ac:dyDescent="0.25">
      <c r="Y42758" s="501"/>
    </row>
    <row r="42759" spans="25:25" hidden="1" x14ac:dyDescent="0.25">
      <c r="Y42759" s="501"/>
    </row>
    <row r="42760" spans="25:25" hidden="1" x14ac:dyDescent="0.25">
      <c r="Y42760" s="501"/>
    </row>
    <row r="42761" spans="25:25" hidden="1" x14ac:dyDescent="0.25">
      <c r="Y42761" s="501"/>
    </row>
    <row r="42762" spans="25:25" hidden="1" x14ac:dyDescent="0.25">
      <c r="Y42762" s="501"/>
    </row>
    <row r="42763" spans="25:25" hidden="1" x14ac:dyDescent="0.25">
      <c r="Y42763" s="501"/>
    </row>
    <row r="42764" spans="25:25" hidden="1" x14ac:dyDescent="0.25">
      <c r="Y42764" s="501"/>
    </row>
    <row r="42765" spans="25:25" hidden="1" x14ac:dyDescent="0.25">
      <c r="Y42765" s="501"/>
    </row>
    <row r="42766" spans="25:25" hidden="1" x14ac:dyDescent="0.25">
      <c r="Y42766" s="501"/>
    </row>
    <row r="42767" spans="25:25" hidden="1" x14ac:dyDescent="0.25">
      <c r="Y42767" s="501"/>
    </row>
    <row r="42768" spans="25:25" hidden="1" x14ac:dyDescent="0.25">
      <c r="Y42768" s="501"/>
    </row>
    <row r="42769" spans="25:25" hidden="1" x14ac:dyDescent="0.25">
      <c r="Y42769" s="501"/>
    </row>
    <row r="42770" spans="25:25" hidden="1" x14ac:dyDescent="0.25">
      <c r="Y42770" s="501"/>
    </row>
    <row r="42771" spans="25:25" hidden="1" x14ac:dyDescent="0.25">
      <c r="Y42771" s="501"/>
    </row>
    <row r="42772" spans="25:25" hidden="1" x14ac:dyDescent="0.25">
      <c r="Y42772" s="501"/>
    </row>
    <row r="42773" spans="25:25" hidden="1" x14ac:dyDescent="0.25">
      <c r="Y42773" s="501"/>
    </row>
    <row r="42774" spans="25:25" hidden="1" x14ac:dyDescent="0.25">
      <c r="Y42774" s="501"/>
    </row>
    <row r="42775" spans="25:25" hidden="1" x14ac:dyDescent="0.25">
      <c r="Y42775" s="501"/>
    </row>
    <row r="42776" spans="25:25" hidden="1" x14ac:dyDescent="0.25">
      <c r="Y42776" s="501"/>
    </row>
    <row r="42777" spans="25:25" hidden="1" x14ac:dyDescent="0.25">
      <c r="Y42777" s="501"/>
    </row>
    <row r="42778" spans="25:25" hidden="1" x14ac:dyDescent="0.25">
      <c r="Y42778" s="501"/>
    </row>
    <row r="42779" spans="25:25" hidden="1" x14ac:dyDescent="0.25">
      <c r="Y42779" s="501"/>
    </row>
    <row r="42780" spans="25:25" hidden="1" x14ac:dyDescent="0.25">
      <c r="Y42780" s="501"/>
    </row>
    <row r="42781" spans="25:25" hidden="1" x14ac:dyDescent="0.25">
      <c r="Y42781" s="501"/>
    </row>
    <row r="42782" spans="25:25" hidden="1" x14ac:dyDescent="0.25">
      <c r="Y42782" s="501"/>
    </row>
    <row r="42783" spans="25:25" hidden="1" x14ac:dyDescent="0.25">
      <c r="Y42783" s="501"/>
    </row>
    <row r="42784" spans="25:25" hidden="1" x14ac:dyDescent="0.25">
      <c r="Y42784" s="501"/>
    </row>
    <row r="42785" spans="25:25" hidden="1" x14ac:dyDescent="0.25">
      <c r="Y42785" s="501"/>
    </row>
    <row r="42786" spans="25:25" hidden="1" x14ac:dyDescent="0.25">
      <c r="Y42786" s="501"/>
    </row>
    <row r="42787" spans="25:25" hidden="1" x14ac:dyDescent="0.25">
      <c r="Y42787" s="501"/>
    </row>
    <row r="42788" spans="25:25" hidden="1" x14ac:dyDescent="0.25">
      <c r="Y42788" s="501"/>
    </row>
    <row r="42789" spans="25:25" hidden="1" x14ac:dyDescent="0.25">
      <c r="Y42789" s="501"/>
    </row>
    <row r="42790" spans="25:25" hidden="1" x14ac:dyDescent="0.25">
      <c r="Y42790" s="501"/>
    </row>
    <row r="42791" spans="25:25" hidden="1" x14ac:dyDescent="0.25">
      <c r="Y42791" s="501"/>
    </row>
    <row r="42792" spans="25:25" hidden="1" x14ac:dyDescent="0.25">
      <c r="Y42792" s="501"/>
    </row>
    <row r="42793" spans="25:25" hidden="1" x14ac:dyDescent="0.25">
      <c r="Y42793" s="501"/>
    </row>
    <row r="42794" spans="25:25" hidden="1" x14ac:dyDescent="0.25">
      <c r="Y42794" s="501"/>
    </row>
    <row r="42795" spans="25:25" hidden="1" x14ac:dyDescent="0.25">
      <c r="Y42795" s="501"/>
    </row>
    <row r="42796" spans="25:25" hidden="1" x14ac:dyDescent="0.25">
      <c r="Y42796" s="501"/>
    </row>
    <row r="42797" spans="25:25" hidden="1" x14ac:dyDescent="0.25">
      <c r="Y42797" s="501"/>
    </row>
    <row r="42798" spans="25:25" hidden="1" x14ac:dyDescent="0.25">
      <c r="Y42798" s="501"/>
    </row>
    <row r="42799" spans="25:25" hidden="1" x14ac:dyDescent="0.25">
      <c r="Y42799" s="501"/>
    </row>
    <row r="42800" spans="25:25" hidden="1" x14ac:dyDescent="0.25">
      <c r="Y42800" s="501"/>
    </row>
    <row r="42801" spans="25:25" hidden="1" x14ac:dyDescent="0.25">
      <c r="Y42801" s="501"/>
    </row>
    <row r="42802" spans="25:25" hidden="1" x14ac:dyDescent="0.25">
      <c r="Y42802" s="501"/>
    </row>
    <row r="42803" spans="25:25" hidden="1" x14ac:dyDescent="0.25">
      <c r="Y42803" s="501"/>
    </row>
    <row r="42804" spans="25:25" hidden="1" x14ac:dyDescent="0.25">
      <c r="Y42804" s="501"/>
    </row>
    <row r="42805" spans="25:25" hidden="1" x14ac:dyDescent="0.25">
      <c r="Y42805" s="501"/>
    </row>
    <row r="42806" spans="25:25" hidden="1" x14ac:dyDescent="0.25">
      <c r="Y42806" s="501"/>
    </row>
    <row r="42807" spans="25:25" hidden="1" x14ac:dyDescent="0.25">
      <c r="Y42807" s="501"/>
    </row>
    <row r="42808" spans="25:25" hidden="1" x14ac:dyDescent="0.25">
      <c r="Y42808" s="501"/>
    </row>
    <row r="42809" spans="25:25" hidden="1" x14ac:dyDescent="0.25">
      <c r="Y42809" s="501"/>
    </row>
    <row r="42810" spans="25:25" hidden="1" x14ac:dyDescent="0.25">
      <c r="Y42810" s="501"/>
    </row>
    <row r="42811" spans="25:25" hidden="1" x14ac:dyDescent="0.25">
      <c r="Y42811" s="501"/>
    </row>
    <row r="42812" spans="25:25" hidden="1" x14ac:dyDescent="0.25">
      <c r="Y42812" s="501"/>
    </row>
    <row r="42813" spans="25:25" hidden="1" x14ac:dyDescent="0.25">
      <c r="Y42813" s="501"/>
    </row>
    <row r="42814" spans="25:25" hidden="1" x14ac:dyDescent="0.25">
      <c r="Y42814" s="501"/>
    </row>
    <row r="42815" spans="25:25" hidden="1" x14ac:dyDescent="0.25">
      <c r="Y42815" s="501"/>
    </row>
    <row r="42816" spans="25:25" hidden="1" x14ac:dyDescent="0.25">
      <c r="Y42816" s="501"/>
    </row>
    <row r="42817" spans="25:25" hidden="1" x14ac:dyDescent="0.25">
      <c r="Y42817" s="501"/>
    </row>
    <row r="42818" spans="25:25" hidden="1" x14ac:dyDescent="0.25">
      <c r="Y42818" s="501"/>
    </row>
    <row r="42819" spans="25:25" hidden="1" x14ac:dyDescent="0.25">
      <c r="Y42819" s="501"/>
    </row>
    <row r="42820" spans="25:25" hidden="1" x14ac:dyDescent="0.25">
      <c r="Y42820" s="501"/>
    </row>
    <row r="42821" spans="25:25" hidden="1" x14ac:dyDescent="0.25">
      <c r="Y42821" s="501"/>
    </row>
    <row r="42822" spans="25:25" hidden="1" x14ac:dyDescent="0.25">
      <c r="Y42822" s="501"/>
    </row>
    <row r="42823" spans="25:25" hidden="1" x14ac:dyDescent="0.25">
      <c r="Y42823" s="501"/>
    </row>
    <row r="42824" spans="25:25" hidden="1" x14ac:dyDescent="0.25">
      <c r="Y42824" s="501"/>
    </row>
    <row r="42825" spans="25:25" hidden="1" x14ac:dyDescent="0.25">
      <c r="Y42825" s="501"/>
    </row>
    <row r="42826" spans="25:25" hidden="1" x14ac:dyDescent="0.25">
      <c r="Y42826" s="501"/>
    </row>
    <row r="42827" spans="25:25" hidden="1" x14ac:dyDescent="0.25">
      <c r="Y42827" s="501"/>
    </row>
    <row r="42828" spans="25:25" hidden="1" x14ac:dyDescent="0.25">
      <c r="Y42828" s="501"/>
    </row>
    <row r="42829" spans="25:25" hidden="1" x14ac:dyDescent="0.25">
      <c r="Y42829" s="501"/>
    </row>
    <row r="42830" spans="25:25" hidden="1" x14ac:dyDescent="0.25">
      <c r="Y42830" s="501"/>
    </row>
    <row r="42831" spans="25:25" hidden="1" x14ac:dyDescent="0.25">
      <c r="Y42831" s="501"/>
    </row>
    <row r="42832" spans="25:25" hidden="1" x14ac:dyDescent="0.25">
      <c r="Y42832" s="501"/>
    </row>
    <row r="42833" spans="25:25" hidden="1" x14ac:dyDescent="0.25">
      <c r="Y42833" s="501"/>
    </row>
    <row r="42834" spans="25:25" hidden="1" x14ac:dyDescent="0.25">
      <c r="Y42834" s="501"/>
    </row>
    <row r="42835" spans="25:25" hidden="1" x14ac:dyDescent="0.25">
      <c r="Y42835" s="501"/>
    </row>
    <row r="42836" spans="25:25" hidden="1" x14ac:dyDescent="0.25">
      <c r="Y42836" s="501"/>
    </row>
    <row r="42837" spans="25:25" hidden="1" x14ac:dyDescent="0.25">
      <c r="Y42837" s="501"/>
    </row>
    <row r="42838" spans="25:25" hidden="1" x14ac:dyDescent="0.25">
      <c r="Y42838" s="501"/>
    </row>
    <row r="42839" spans="25:25" hidden="1" x14ac:dyDescent="0.25">
      <c r="Y42839" s="501"/>
    </row>
    <row r="42840" spans="25:25" hidden="1" x14ac:dyDescent="0.25">
      <c r="Y42840" s="501"/>
    </row>
    <row r="42841" spans="25:25" hidden="1" x14ac:dyDescent="0.25">
      <c r="Y42841" s="501"/>
    </row>
    <row r="42842" spans="25:25" hidden="1" x14ac:dyDescent="0.25">
      <c r="Y42842" s="501"/>
    </row>
    <row r="42843" spans="25:25" hidden="1" x14ac:dyDescent="0.25">
      <c r="Y42843" s="501"/>
    </row>
    <row r="42844" spans="25:25" hidden="1" x14ac:dyDescent="0.25">
      <c r="Y42844" s="501"/>
    </row>
    <row r="42845" spans="25:25" hidden="1" x14ac:dyDescent="0.25">
      <c r="Y42845" s="501"/>
    </row>
    <row r="42846" spans="25:25" hidden="1" x14ac:dyDescent="0.25">
      <c r="Y42846" s="501"/>
    </row>
    <row r="42847" spans="25:25" hidden="1" x14ac:dyDescent="0.25">
      <c r="Y42847" s="501"/>
    </row>
    <row r="42848" spans="25:25" hidden="1" x14ac:dyDescent="0.25">
      <c r="Y42848" s="501"/>
    </row>
    <row r="42849" spans="25:25" hidden="1" x14ac:dyDescent="0.25">
      <c r="Y42849" s="501"/>
    </row>
    <row r="42850" spans="25:25" hidden="1" x14ac:dyDescent="0.25">
      <c r="Y42850" s="501"/>
    </row>
    <row r="42851" spans="25:25" hidden="1" x14ac:dyDescent="0.25">
      <c r="Y42851" s="501"/>
    </row>
    <row r="42852" spans="25:25" hidden="1" x14ac:dyDescent="0.25">
      <c r="Y42852" s="501"/>
    </row>
    <row r="42853" spans="25:25" hidden="1" x14ac:dyDescent="0.25">
      <c r="Y42853" s="501"/>
    </row>
    <row r="42854" spans="25:25" hidden="1" x14ac:dyDescent="0.25">
      <c r="Y42854" s="501"/>
    </row>
    <row r="42855" spans="25:25" hidden="1" x14ac:dyDescent="0.25">
      <c r="Y42855" s="501"/>
    </row>
    <row r="42856" spans="25:25" hidden="1" x14ac:dyDescent="0.25">
      <c r="Y42856" s="501"/>
    </row>
    <row r="42857" spans="25:25" hidden="1" x14ac:dyDescent="0.25">
      <c r="Y42857" s="501"/>
    </row>
    <row r="42858" spans="25:25" hidden="1" x14ac:dyDescent="0.25">
      <c r="Y42858" s="501"/>
    </row>
    <row r="42859" spans="25:25" hidden="1" x14ac:dyDescent="0.25">
      <c r="Y42859" s="501"/>
    </row>
    <row r="42860" spans="25:25" hidden="1" x14ac:dyDescent="0.25">
      <c r="Y42860" s="501"/>
    </row>
    <row r="42861" spans="25:25" hidden="1" x14ac:dyDescent="0.25">
      <c r="Y42861" s="501"/>
    </row>
    <row r="42862" spans="25:25" hidden="1" x14ac:dyDescent="0.25">
      <c r="Y42862" s="501"/>
    </row>
    <row r="42863" spans="25:25" hidden="1" x14ac:dyDescent="0.25">
      <c r="Y42863" s="501"/>
    </row>
    <row r="42864" spans="25:25" hidden="1" x14ac:dyDescent="0.25">
      <c r="Y42864" s="501"/>
    </row>
    <row r="42865" spans="25:25" hidden="1" x14ac:dyDescent="0.25">
      <c r="Y42865" s="501"/>
    </row>
    <row r="42866" spans="25:25" hidden="1" x14ac:dyDescent="0.25">
      <c r="Y42866" s="501"/>
    </row>
    <row r="42867" spans="25:25" hidden="1" x14ac:dyDescent="0.25">
      <c r="Y42867" s="501"/>
    </row>
    <row r="42868" spans="25:25" hidden="1" x14ac:dyDescent="0.25">
      <c r="Y42868" s="501"/>
    </row>
    <row r="42869" spans="25:25" hidden="1" x14ac:dyDescent="0.25">
      <c r="Y42869" s="501"/>
    </row>
    <row r="42870" spans="25:25" hidden="1" x14ac:dyDescent="0.25">
      <c r="Y42870" s="501"/>
    </row>
    <row r="42871" spans="25:25" hidden="1" x14ac:dyDescent="0.25">
      <c r="Y42871" s="501"/>
    </row>
    <row r="42872" spans="25:25" hidden="1" x14ac:dyDescent="0.25">
      <c r="Y42872" s="501"/>
    </row>
    <row r="42873" spans="25:25" hidden="1" x14ac:dyDescent="0.25">
      <c r="Y42873" s="501"/>
    </row>
    <row r="42874" spans="25:25" hidden="1" x14ac:dyDescent="0.25">
      <c r="Y42874" s="501"/>
    </row>
    <row r="42875" spans="25:25" hidden="1" x14ac:dyDescent="0.25">
      <c r="Y42875" s="501"/>
    </row>
    <row r="42876" spans="25:25" hidden="1" x14ac:dyDescent="0.25">
      <c r="Y42876" s="501"/>
    </row>
    <row r="42877" spans="25:25" hidden="1" x14ac:dyDescent="0.25">
      <c r="Y42877" s="501"/>
    </row>
    <row r="42878" spans="25:25" hidden="1" x14ac:dyDescent="0.25">
      <c r="Y42878" s="501"/>
    </row>
    <row r="42879" spans="25:25" hidden="1" x14ac:dyDescent="0.25">
      <c r="Y42879" s="501"/>
    </row>
    <row r="42880" spans="25:25" hidden="1" x14ac:dyDescent="0.25">
      <c r="Y42880" s="501"/>
    </row>
    <row r="42881" spans="25:25" hidden="1" x14ac:dyDescent="0.25">
      <c r="Y42881" s="501"/>
    </row>
    <row r="42882" spans="25:25" hidden="1" x14ac:dyDescent="0.25">
      <c r="Y42882" s="501"/>
    </row>
    <row r="42883" spans="25:25" hidden="1" x14ac:dyDescent="0.25">
      <c r="Y42883" s="501"/>
    </row>
    <row r="42884" spans="25:25" hidden="1" x14ac:dyDescent="0.25">
      <c r="Y42884" s="501"/>
    </row>
    <row r="42885" spans="25:25" hidden="1" x14ac:dyDescent="0.25">
      <c r="Y42885" s="501"/>
    </row>
    <row r="42886" spans="25:25" hidden="1" x14ac:dyDescent="0.25">
      <c r="Y42886" s="501"/>
    </row>
    <row r="42887" spans="25:25" hidden="1" x14ac:dyDescent="0.25">
      <c r="Y42887" s="501"/>
    </row>
    <row r="42888" spans="25:25" hidden="1" x14ac:dyDescent="0.25">
      <c r="Y42888" s="501"/>
    </row>
    <row r="42889" spans="25:25" hidden="1" x14ac:dyDescent="0.25">
      <c r="Y42889" s="501"/>
    </row>
    <row r="42890" spans="25:25" hidden="1" x14ac:dyDescent="0.25">
      <c r="Y42890" s="501"/>
    </row>
    <row r="42891" spans="25:25" hidden="1" x14ac:dyDescent="0.25">
      <c r="Y42891" s="501"/>
    </row>
    <row r="42892" spans="25:25" hidden="1" x14ac:dyDescent="0.25">
      <c r="Y42892" s="501"/>
    </row>
    <row r="42893" spans="25:25" hidden="1" x14ac:dyDescent="0.25">
      <c r="Y42893" s="501"/>
    </row>
    <row r="42894" spans="25:25" hidden="1" x14ac:dyDescent="0.25">
      <c r="Y42894" s="501"/>
    </row>
    <row r="42895" spans="25:25" hidden="1" x14ac:dyDescent="0.25">
      <c r="Y42895" s="501"/>
    </row>
    <row r="42896" spans="25:25" hidden="1" x14ac:dyDescent="0.25">
      <c r="Y42896" s="501"/>
    </row>
    <row r="42897" spans="25:25" hidden="1" x14ac:dyDescent="0.25">
      <c r="Y42897" s="501"/>
    </row>
    <row r="42898" spans="25:25" hidden="1" x14ac:dyDescent="0.25">
      <c r="Y42898" s="501"/>
    </row>
    <row r="42899" spans="25:25" hidden="1" x14ac:dyDescent="0.25">
      <c r="Y42899" s="501"/>
    </row>
    <row r="42900" spans="25:25" hidden="1" x14ac:dyDescent="0.25">
      <c r="Y42900" s="501"/>
    </row>
    <row r="42901" spans="25:25" hidden="1" x14ac:dyDescent="0.25">
      <c r="Y42901" s="501"/>
    </row>
    <row r="42902" spans="25:25" hidden="1" x14ac:dyDescent="0.25">
      <c r="Y42902" s="501"/>
    </row>
    <row r="42903" spans="25:25" hidden="1" x14ac:dyDescent="0.25">
      <c r="Y42903" s="501"/>
    </row>
    <row r="42904" spans="25:25" hidden="1" x14ac:dyDescent="0.25">
      <c r="Y42904" s="501"/>
    </row>
    <row r="42905" spans="25:25" hidden="1" x14ac:dyDescent="0.25">
      <c r="Y42905" s="501"/>
    </row>
    <row r="42906" spans="25:25" hidden="1" x14ac:dyDescent="0.25">
      <c r="Y42906" s="501"/>
    </row>
    <row r="42907" spans="25:25" hidden="1" x14ac:dyDescent="0.25">
      <c r="Y42907" s="501"/>
    </row>
    <row r="42908" spans="25:25" hidden="1" x14ac:dyDescent="0.25">
      <c r="Y42908" s="501"/>
    </row>
    <row r="42909" spans="25:25" hidden="1" x14ac:dyDescent="0.25">
      <c r="Y42909" s="501"/>
    </row>
    <row r="42910" spans="25:25" hidden="1" x14ac:dyDescent="0.25">
      <c r="Y42910" s="501"/>
    </row>
    <row r="42911" spans="25:25" hidden="1" x14ac:dyDescent="0.25">
      <c r="Y42911" s="501"/>
    </row>
    <row r="42912" spans="25:25" hidden="1" x14ac:dyDescent="0.25">
      <c r="Y42912" s="501"/>
    </row>
    <row r="42913" spans="25:25" hidden="1" x14ac:dyDescent="0.25">
      <c r="Y42913" s="501"/>
    </row>
    <row r="42914" spans="25:25" hidden="1" x14ac:dyDescent="0.25">
      <c r="Y42914" s="501"/>
    </row>
    <row r="42915" spans="25:25" hidden="1" x14ac:dyDescent="0.25">
      <c r="Y42915" s="501"/>
    </row>
    <row r="42916" spans="25:25" hidden="1" x14ac:dyDescent="0.25">
      <c r="Y42916" s="501"/>
    </row>
    <row r="42917" spans="25:25" hidden="1" x14ac:dyDescent="0.25">
      <c r="Y42917" s="501"/>
    </row>
    <row r="42918" spans="25:25" hidden="1" x14ac:dyDescent="0.25">
      <c r="Y42918" s="501"/>
    </row>
    <row r="42919" spans="25:25" hidden="1" x14ac:dyDescent="0.25">
      <c r="Y42919" s="501"/>
    </row>
    <row r="42920" spans="25:25" hidden="1" x14ac:dyDescent="0.25">
      <c r="Y42920" s="501"/>
    </row>
    <row r="42921" spans="25:25" hidden="1" x14ac:dyDescent="0.25">
      <c r="Y42921" s="501"/>
    </row>
    <row r="42922" spans="25:25" hidden="1" x14ac:dyDescent="0.25">
      <c r="Y42922" s="501"/>
    </row>
    <row r="42923" spans="25:25" hidden="1" x14ac:dyDescent="0.25">
      <c r="Y42923" s="501"/>
    </row>
    <row r="42924" spans="25:25" hidden="1" x14ac:dyDescent="0.25">
      <c r="Y42924" s="501"/>
    </row>
    <row r="42925" spans="25:25" hidden="1" x14ac:dyDescent="0.25">
      <c r="Y42925" s="501"/>
    </row>
    <row r="42926" spans="25:25" hidden="1" x14ac:dyDescent="0.25">
      <c r="Y42926" s="501"/>
    </row>
    <row r="42927" spans="25:25" hidden="1" x14ac:dyDescent="0.25">
      <c r="Y42927" s="501"/>
    </row>
    <row r="42928" spans="25:25" hidden="1" x14ac:dyDescent="0.25">
      <c r="Y42928" s="501"/>
    </row>
    <row r="42929" spans="25:25" hidden="1" x14ac:dyDescent="0.25">
      <c r="Y42929" s="501"/>
    </row>
    <row r="42930" spans="25:25" hidden="1" x14ac:dyDescent="0.25">
      <c r="Y42930" s="501"/>
    </row>
    <row r="42931" spans="25:25" hidden="1" x14ac:dyDescent="0.25">
      <c r="Y42931" s="501"/>
    </row>
    <row r="42932" spans="25:25" hidden="1" x14ac:dyDescent="0.25">
      <c r="Y42932" s="501"/>
    </row>
    <row r="42933" spans="25:25" hidden="1" x14ac:dyDescent="0.25">
      <c r="Y42933" s="501"/>
    </row>
    <row r="42934" spans="25:25" hidden="1" x14ac:dyDescent="0.25">
      <c r="Y42934" s="501"/>
    </row>
    <row r="42935" spans="25:25" hidden="1" x14ac:dyDescent="0.25">
      <c r="Y42935" s="501"/>
    </row>
    <row r="42936" spans="25:25" hidden="1" x14ac:dyDescent="0.25">
      <c r="Y42936" s="501"/>
    </row>
    <row r="42937" spans="25:25" hidden="1" x14ac:dyDescent="0.25">
      <c r="Y42937" s="501"/>
    </row>
    <row r="42938" spans="25:25" hidden="1" x14ac:dyDescent="0.25">
      <c r="Y42938" s="501"/>
    </row>
    <row r="42939" spans="25:25" hidden="1" x14ac:dyDescent="0.25">
      <c r="Y42939" s="501"/>
    </row>
    <row r="42940" spans="25:25" hidden="1" x14ac:dyDescent="0.25">
      <c r="Y42940" s="501"/>
    </row>
    <row r="42941" spans="25:25" hidden="1" x14ac:dyDescent="0.25">
      <c r="Y42941" s="501"/>
    </row>
    <row r="42942" spans="25:25" hidden="1" x14ac:dyDescent="0.25">
      <c r="Y42942" s="501"/>
    </row>
    <row r="42943" spans="25:25" hidden="1" x14ac:dyDescent="0.25">
      <c r="Y42943" s="501"/>
    </row>
    <row r="42944" spans="25:25" hidden="1" x14ac:dyDescent="0.25">
      <c r="Y42944" s="501"/>
    </row>
    <row r="42945" spans="25:25" hidden="1" x14ac:dyDescent="0.25">
      <c r="Y42945" s="501"/>
    </row>
    <row r="42946" spans="25:25" hidden="1" x14ac:dyDescent="0.25">
      <c r="Y42946" s="501"/>
    </row>
    <row r="42947" spans="25:25" hidden="1" x14ac:dyDescent="0.25">
      <c r="Y42947" s="501"/>
    </row>
    <row r="42948" spans="25:25" hidden="1" x14ac:dyDescent="0.25">
      <c r="Y42948" s="501"/>
    </row>
    <row r="42949" spans="25:25" hidden="1" x14ac:dyDescent="0.25">
      <c r="Y42949" s="501"/>
    </row>
    <row r="42950" spans="25:25" hidden="1" x14ac:dyDescent="0.25">
      <c r="Y42950" s="501"/>
    </row>
    <row r="42951" spans="25:25" hidden="1" x14ac:dyDescent="0.25">
      <c r="Y42951" s="501"/>
    </row>
    <row r="42952" spans="25:25" hidden="1" x14ac:dyDescent="0.25">
      <c r="Y42952" s="501"/>
    </row>
    <row r="42953" spans="25:25" hidden="1" x14ac:dyDescent="0.25">
      <c r="Y42953" s="501"/>
    </row>
    <row r="42954" spans="25:25" hidden="1" x14ac:dyDescent="0.25">
      <c r="Y42954" s="501"/>
    </row>
    <row r="42955" spans="25:25" hidden="1" x14ac:dyDescent="0.25">
      <c r="Y42955" s="501"/>
    </row>
    <row r="42956" spans="25:25" hidden="1" x14ac:dyDescent="0.25">
      <c r="Y42956" s="501"/>
    </row>
    <row r="42957" spans="25:25" hidden="1" x14ac:dyDescent="0.25">
      <c r="Y42957" s="501"/>
    </row>
    <row r="42958" spans="25:25" hidden="1" x14ac:dyDescent="0.25">
      <c r="Y42958" s="501"/>
    </row>
    <row r="42959" spans="25:25" hidden="1" x14ac:dyDescent="0.25">
      <c r="Y42959" s="501"/>
    </row>
    <row r="42960" spans="25:25" hidden="1" x14ac:dyDescent="0.25">
      <c r="Y42960" s="501"/>
    </row>
    <row r="42961" spans="25:25" hidden="1" x14ac:dyDescent="0.25">
      <c r="Y42961" s="501"/>
    </row>
    <row r="42962" spans="25:25" hidden="1" x14ac:dyDescent="0.25">
      <c r="Y42962" s="501"/>
    </row>
    <row r="42963" spans="25:25" hidden="1" x14ac:dyDescent="0.25">
      <c r="Y42963" s="501"/>
    </row>
    <row r="42964" spans="25:25" hidden="1" x14ac:dyDescent="0.25">
      <c r="Y42964" s="501"/>
    </row>
    <row r="42965" spans="25:25" hidden="1" x14ac:dyDescent="0.25">
      <c r="Y42965" s="501"/>
    </row>
    <row r="42966" spans="25:25" hidden="1" x14ac:dyDescent="0.25">
      <c r="Y42966" s="501"/>
    </row>
    <row r="42967" spans="25:25" hidden="1" x14ac:dyDescent="0.25">
      <c r="Y42967" s="501"/>
    </row>
    <row r="42968" spans="25:25" hidden="1" x14ac:dyDescent="0.25">
      <c r="Y42968" s="501"/>
    </row>
    <row r="42969" spans="25:25" hidden="1" x14ac:dyDescent="0.25">
      <c r="Y42969" s="501"/>
    </row>
    <row r="42970" spans="25:25" hidden="1" x14ac:dyDescent="0.25">
      <c r="Y42970" s="501"/>
    </row>
    <row r="42971" spans="25:25" hidden="1" x14ac:dyDescent="0.25">
      <c r="Y42971" s="501"/>
    </row>
    <row r="42972" spans="25:25" hidden="1" x14ac:dyDescent="0.25">
      <c r="Y42972" s="501"/>
    </row>
    <row r="42973" spans="25:25" hidden="1" x14ac:dyDescent="0.25">
      <c r="Y42973" s="501"/>
    </row>
    <row r="42974" spans="25:25" hidden="1" x14ac:dyDescent="0.25">
      <c r="Y42974" s="501"/>
    </row>
    <row r="42975" spans="25:25" hidden="1" x14ac:dyDescent="0.25">
      <c r="Y42975" s="501"/>
    </row>
    <row r="42976" spans="25:25" hidden="1" x14ac:dyDescent="0.25">
      <c r="Y42976" s="501"/>
    </row>
    <row r="42977" spans="25:25" hidden="1" x14ac:dyDescent="0.25">
      <c r="Y42977" s="501"/>
    </row>
    <row r="42978" spans="25:25" hidden="1" x14ac:dyDescent="0.25">
      <c r="Y42978" s="501"/>
    </row>
    <row r="42979" spans="25:25" hidden="1" x14ac:dyDescent="0.25">
      <c r="Y42979" s="501"/>
    </row>
    <row r="42980" spans="25:25" hidden="1" x14ac:dyDescent="0.25">
      <c r="Y42980" s="501"/>
    </row>
    <row r="42981" spans="25:25" hidden="1" x14ac:dyDescent="0.25">
      <c r="Y42981" s="501"/>
    </row>
    <row r="42982" spans="25:25" hidden="1" x14ac:dyDescent="0.25">
      <c r="Y42982" s="501"/>
    </row>
    <row r="42983" spans="25:25" hidden="1" x14ac:dyDescent="0.25">
      <c r="Y42983" s="501"/>
    </row>
    <row r="42984" spans="25:25" hidden="1" x14ac:dyDescent="0.25">
      <c r="Y42984" s="501"/>
    </row>
    <row r="42985" spans="25:25" hidden="1" x14ac:dyDescent="0.25">
      <c r="Y42985" s="501"/>
    </row>
    <row r="42986" spans="25:25" hidden="1" x14ac:dyDescent="0.25">
      <c r="Y42986" s="501"/>
    </row>
    <row r="42987" spans="25:25" hidden="1" x14ac:dyDescent="0.25">
      <c r="Y42987" s="501"/>
    </row>
    <row r="42988" spans="25:25" hidden="1" x14ac:dyDescent="0.25">
      <c r="Y42988" s="501"/>
    </row>
    <row r="42989" spans="25:25" hidden="1" x14ac:dyDescent="0.25">
      <c r="Y42989" s="501"/>
    </row>
    <row r="42990" spans="25:25" hidden="1" x14ac:dyDescent="0.25">
      <c r="Y42990" s="501"/>
    </row>
    <row r="42991" spans="25:25" hidden="1" x14ac:dyDescent="0.25">
      <c r="Y42991" s="501"/>
    </row>
    <row r="42992" spans="25:25" hidden="1" x14ac:dyDescent="0.25">
      <c r="Y42992" s="501"/>
    </row>
    <row r="42993" spans="25:25" hidden="1" x14ac:dyDescent="0.25">
      <c r="Y42993" s="501"/>
    </row>
    <row r="42994" spans="25:25" hidden="1" x14ac:dyDescent="0.25">
      <c r="Y42994" s="501"/>
    </row>
    <row r="42995" spans="25:25" hidden="1" x14ac:dyDescent="0.25">
      <c r="Y42995" s="501"/>
    </row>
    <row r="42996" spans="25:25" hidden="1" x14ac:dyDescent="0.25">
      <c r="Y42996" s="501"/>
    </row>
    <row r="42997" spans="25:25" hidden="1" x14ac:dyDescent="0.25">
      <c r="Y42997" s="501"/>
    </row>
    <row r="42998" spans="25:25" hidden="1" x14ac:dyDescent="0.25">
      <c r="Y42998" s="501"/>
    </row>
    <row r="42999" spans="25:25" hidden="1" x14ac:dyDescent="0.25">
      <c r="Y42999" s="501"/>
    </row>
    <row r="43000" spans="25:25" hidden="1" x14ac:dyDescent="0.25">
      <c r="Y43000" s="501"/>
    </row>
    <row r="43001" spans="25:25" hidden="1" x14ac:dyDescent="0.25">
      <c r="Y43001" s="501"/>
    </row>
    <row r="43002" spans="25:25" hidden="1" x14ac:dyDescent="0.25">
      <c r="Y43002" s="501"/>
    </row>
    <row r="43003" spans="25:25" hidden="1" x14ac:dyDescent="0.25">
      <c r="Y43003" s="501"/>
    </row>
    <row r="43004" spans="25:25" hidden="1" x14ac:dyDescent="0.25">
      <c r="Y43004" s="501"/>
    </row>
    <row r="43005" spans="25:25" hidden="1" x14ac:dyDescent="0.25">
      <c r="Y43005" s="501"/>
    </row>
    <row r="43006" spans="25:25" hidden="1" x14ac:dyDescent="0.25">
      <c r="Y43006" s="501"/>
    </row>
    <row r="43007" spans="25:25" hidden="1" x14ac:dyDescent="0.25">
      <c r="Y43007" s="501"/>
    </row>
    <row r="43008" spans="25:25" hidden="1" x14ac:dyDescent="0.25">
      <c r="Y43008" s="501"/>
    </row>
    <row r="43009" spans="25:25" hidden="1" x14ac:dyDescent="0.25">
      <c r="Y43009" s="501"/>
    </row>
    <row r="43010" spans="25:25" hidden="1" x14ac:dyDescent="0.25">
      <c r="Y43010" s="501"/>
    </row>
    <row r="43011" spans="25:25" hidden="1" x14ac:dyDescent="0.25">
      <c r="Y43011" s="501"/>
    </row>
    <row r="43012" spans="25:25" hidden="1" x14ac:dyDescent="0.25">
      <c r="Y43012" s="501"/>
    </row>
    <row r="43013" spans="25:25" hidden="1" x14ac:dyDescent="0.25">
      <c r="Y43013" s="501"/>
    </row>
    <row r="43014" spans="25:25" hidden="1" x14ac:dyDescent="0.25">
      <c r="Y43014" s="501"/>
    </row>
    <row r="43015" spans="25:25" hidden="1" x14ac:dyDescent="0.25">
      <c r="Y43015" s="501"/>
    </row>
    <row r="43016" spans="25:25" hidden="1" x14ac:dyDescent="0.25">
      <c r="Y43016" s="501"/>
    </row>
    <row r="43017" spans="25:25" hidden="1" x14ac:dyDescent="0.25">
      <c r="Y43017" s="501"/>
    </row>
    <row r="43018" spans="25:25" hidden="1" x14ac:dyDescent="0.25">
      <c r="Y43018" s="501"/>
    </row>
    <row r="43019" spans="25:25" hidden="1" x14ac:dyDescent="0.25">
      <c r="Y43019" s="501"/>
    </row>
    <row r="43020" spans="25:25" hidden="1" x14ac:dyDescent="0.25">
      <c r="Y43020" s="501"/>
    </row>
    <row r="43021" spans="25:25" hidden="1" x14ac:dyDescent="0.25">
      <c r="Y43021" s="501"/>
    </row>
    <row r="43022" spans="25:25" hidden="1" x14ac:dyDescent="0.25">
      <c r="Y43022" s="501"/>
    </row>
    <row r="43023" spans="25:25" hidden="1" x14ac:dyDescent="0.25">
      <c r="Y43023" s="501"/>
    </row>
    <row r="43024" spans="25:25" hidden="1" x14ac:dyDescent="0.25">
      <c r="Y43024" s="501"/>
    </row>
    <row r="43025" spans="25:25" hidden="1" x14ac:dyDescent="0.25">
      <c r="Y43025" s="501"/>
    </row>
    <row r="43026" spans="25:25" hidden="1" x14ac:dyDescent="0.25">
      <c r="Y43026" s="501"/>
    </row>
    <row r="43027" spans="25:25" hidden="1" x14ac:dyDescent="0.25">
      <c r="Y43027" s="501"/>
    </row>
    <row r="43028" spans="25:25" hidden="1" x14ac:dyDescent="0.25">
      <c r="Y43028" s="501"/>
    </row>
    <row r="43029" spans="25:25" hidden="1" x14ac:dyDescent="0.25">
      <c r="Y43029" s="501"/>
    </row>
    <row r="43030" spans="25:25" hidden="1" x14ac:dyDescent="0.25">
      <c r="Y43030" s="501"/>
    </row>
    <row r="43031" spans="25:25" hidden="1" x14ac:dyDescent="0.25">
      <c r="Y43031" s="501"/>
    </row>
    <row r="43032" spans="25:25" hidden="1" x14ac:dyDescent="0.25">
      <c r="Y43032" s="501"/>
    </row>
    <row r="43033" spans="25:25" hidden="1" x14ac:dyDescent="0.25">
      <c r="Y43033" s="501"/>
    </row>
    <row r="43034" spans="25:25" hidden="1" x14ac:dyDescent="0.25">
      <c r="Y43034" s="501"/>
    </row>
    <row r="43035" spans="25:25" hidden="1" x14ac:dyDescent="0.25">
      <c r="Y43035" s="501"/>
    </row>
    <row r="43036" spans="25:25" hidden="1" x14ac:dyDescent="0.25">
      <c r="Y43036" s="501"/>
    </row>
    <row r="43037" spans="25:25" hidden="1" x14ac:dyDescent="0.25">
      <c r="Y43037" s="501"/>
    </row>
    <row r="43038" spans="25:25" hidden="1" x14ac:dyDescent="0.25">
      <c r="Y43038" s="501"/>
    </row>
    <row r="43039" spans="25:25" hidden="1" x14ac:dyDescent="0.25">
      <c r="Y43039" s="501"/>
    </row>
    <row r="43040" spans="25:25" hidden="1" x14ac:dyDescent="0.25">
      <c r="Y43040" s="501"/>
    </row>
    <row r="43041" spans="25:25" hidden="1" x14ac:dyDescent="0.25">
      <c r="Y43041" s="501"/>
    </row>
    <row r="43042" spans="25:25" hidden="1" x14ac:dyDescent="0.25">
      <c r="Y43042" s="501"/>
    </row>
    <row r="43043" spans="25:25" hidden="1" x14ac:dyDescent="0.25">
      <c r="Y43043" s="501"/>
    </row>
    <row r="43044" spans="25:25" hidden="1" x14ac:dyDescent="0.25">
      <c r="Y43044" s="501"/>
    </row>
    <row r="43045" spans="25:25" hidden="1" x14ac:dyDescent="0.25">
      <c r="Y43045" s="501"/>
    </row>
    <row r="43046" spans="25:25" hidden="1" x14ac:dyDescent="0.25">
      <c r="Y43046" s="501"/>
    </row>
    <row r="43047" spans="25:25" hidden="1" x14ac:dyDescent="0.25">
      <c r="Y43047" s="501"/>
    </row>
    <row r="43048" spans="25:25" hidden="1" x14ac:dyDescent="0.25">
      <c r="Y43048" s="501"/>
    </row>
    <row r="43049" spans="25:25" hidden="1" x14ac:dyDescent="0.25">
      <c r="Y43049" s="501"/>
    </row>
    <row r="43050" spans="25:25" hidden="1" x14ac:dyDescent="0.25">
      <c r="Y43050" s="501"/>
    </row>
    <row r="43051" spans="25:25" hidden="1" x14ac:dyDescent="0.25">
      <c r="Y43051" s="501"/>
    </row>
    <row r="43052" spans="25:25" hidden="1" x14ac:dyDescent="0.25">
      <c r="Y43052" s="501"/>
    </row>
    <row r="43053" spans="25:25" hidden="1" x14ac:dyDescent="0.25">
      <c r="Y43053" s="501"/>
    </row>
    <row r="43054" spans="25:25" hidden="1" x14ac:dyDescent="0.25">
      <c r="Y43054" s="501"/>
    </row>
    <row r="43055" spans="25:25" hidden="1" x14ac:dyDescent="0.25">
      <c r="Y43055" s="501"/>
    </row>
    <row r="43056" spans="25:25" hidden="1" x14ac:dyDescent="0.25">
      <c r="Y43056" s="501"/>
    </row>
    <row r="43057" spans="25:25" hidden="1" x14ac:dyDescent="0.25">
      <c r="Y43057" s="501"/>
    </row>
    <row r="43058" spans="25:25" hidden="1" x14ac:dyDescent="0.25">
      <c r="Y43058" s="501"/>
    </row>
    <row r="43059" spans="25:25" hidden="1" x14ac:dyDescent="0.25">
      <c r="Y43059" s="501"/>
    </row>
    <row r="43060" spans="25:25" hidden="1" x14ac:dyDescent="0.25">
      <c r="Y43060" s="501"/>
    </row>
    <row r="43061" spans="25:25" hidden="1" x14ac:dyDescent="0.25">
      <c r="Y43061" s="501"/>
    </row>
    <row r="43062" spans="25:25" hidden="1" x14ac:dyDescent="0.25">
      <c r="Y43062" s="501"/>
    </row>
    <row r="43063" spans="25:25" hidden="1" x14ac:dyDescent="0.25">
      <c r="Y43063" s="501"/>
    </row>
    <row r="43064" spans="25:25" hidden="1" x14ac:dyDescent="0.25">
      <c r="Y43064" s="501"/>
    </row>
    <row r="43065" spans="25:25" hidden="1" x14ac:dyDescent="0.25">
      <c r="Y43065" s="501"/>
    </row>
    <row r="43066" spans="25:25" hidden="1" x14ac:dyDescent="0.25">
      <c r="Y43066" s="501"/>
    </row>
    <row r="43067" spans="25:25" hidden="1" x14ac:dyDescent="0.25">
      <c r="Y43067" s="501"/>
    </row>
    <row r="43068" spans="25:25" hidden="1" x14ac:dyDescent="0.25">
      <c r="Y43068" s="501"/>
    </row>
    <row r="43069" spans="25:25" hidden="1" x14ac:dyDescent="0.25">
      <c r="Y43069" s="501"/>
    </row>
    <row r="43070" spans="25:25" hidden="1" x14ac:dyDescent="0.25">
      <c r="Y43070" s="501"/>
    </row>
    <row r="43071" spans="25:25" hidden="1" x14ac:dyDescent="0.25">
      <c r="Y43071" s="501"/>
    </row>
    <row r="43072" spans="25:25" hidden="1" x14ac:dyDescent="0.25">
      <c r="Y43072" s="501"/>
    </row>
    <row r="43073" spans="25:25" hidden="1" x14ac:dyDescent="0.25">
      <c r="Y43073" s="501"/>
    </row>
    <row r="43074" spans="25:25" hidden="1" x14ac:dyDescent="0.25">
      <c r="Y43074" s="501"/>
    </row>
    <row r="43075" spans="25:25" hidden="1" x14ac:dyDescent="0.25">
      <c r="Y43075" s="501"/>
    </row>
    <row r="43076" spans="25:25" hidden="1" x14ac:dyDescent="0.25">
      <c r="Y43076" s="501"/>
    </row>
    <row r="43077" spans="25:25" hidden="1" x14ac:dyDescent="0.25">
      <c r="Y43077" s="501"/>
    </row>
    <row r="43078" spans="25:25" hidden="1" x14ac:dyDescent="0.25">
      <c r="Y43078" s="501"/>
    </row>
    <row r="43079" spans="25:25" hidden="1" x14ac:dyDescent="0.25">
      <c r="Y43079" s="501"/>
    </row>
    <row r="43080" spans="25:25" hidden="1" x14ac:dyDescent="0.25">
      <c r="Y43080" s="501"/>
    </row>
    <row r="43081" spans="25:25" hidden="1" x14ac:dyDescent="0.25">
      <c r="Y43081" s="501"/>
    </row>
    <row r="43082" spans="25:25" hidden="1" x14ac:dyDescent="0.25">
      <c r="Y43082" s="501"/>
    </row>
    <row r="43083" spans="25:25" hidden="1" x14ac:dyDescent="0.25">
      <c r="Y43083" s="501"/>
    </row>
    <row r="43084" spans="25:25" hidden="1" x14ac:dyDescent="0.25">
      <c r="Y43084" s="501"/>
    </row>
    <row r="43085" spans="25:25" hidden="1" x14ac:dyDescent="0.25">
      <c r="Y43085" s="501"/>
    </row>
    <row r="43086" spans="25:25" hidden="1" x14ac:dyDescent="0.25">
      <c r="Y43086" s="501"/>
    </row>
    <row r="43087" spans="25:25" hidden="1" x14ac:dyDescent="0.25">
      <c r="Y43087" s="501"/>
    </row>
    <row r="43088" spans="25:25" hidden="1" x14ac:dyDescent="0.25">
      <c r="Y43088" s="501"/>
    </row>
    <row r="43089" spans="25:25" hidden="1" x14ac:dyDescent="0.25">
      <c r="Y43089" s="501"/>
    </row>
    <row r="43090" spans="25:25" hidden="1" x14ac:dyDescent="0.25">
      <c r="Y43090" s="501"/>
    </row>
    <row r="43091" spans="25:25" hidden="1" x14ac:dyDescent="0.25">
      <c r="Y43091" s="501"/>
    </row>
    <row r="43092" spans="25:25" hidden="1" x14ac:dyDescent="0.25">
      <c r="Y43092" s="501"/>
    </row>
    <row r="43093" spans="25:25" hidden="1" x14ac:dyDescent="0.25">
      <c r="Y43093" s="501"/>
    </row>
    <row r="43094" spans="25:25" hidden="1" x14ac:dyDescent="0.25">
      <c r="Y43094" s="501"/>
    </row>
    <row r="43095" spans="25:25" hidden="1" x14ac:dyDescent="0.25">
      <c r="Y43095" s="501"/>
    </row>
    <row r="43096" spans="25:25" hidden="1" x14ac:dyDescent="0.25">
      <c r="Y43096" s="501"/>
    </row>
    <row r="43097" spans="25:25" hidden="1" x14ac:dyDescent="0.25">
      <c r="Y43097" s="501"/>
    </row>
    <row r="43098" spans="25:25" hidden="1" x14ac:dyDescent="0.25">
      <c r="Y43098" s="501"/>
    </row>
    <row r="43099" spans="25:25" hidden="1" x14ac:dyDescent="0.25">
      <c r="Y43099" s="501"/>
    </row>
    <row r="43100" spans="25:25" hidden="1" x14ac:dyDescent="0.25">
      <c r="Y43100" s="501"/>
    </row>
    <row r="43101" spans="25:25" hidden="1" x14ac:dyDescent="0.25">
      <c r="Y43101" s="501"/>
    </row>
    <row r="43102" spans="25:25" hidden="1" x14ac:dyDescent="0.25">
      <c r="Y43102" s="501"/>
    </row>
    <row r="43103" spans="25:25" hidden="1" x14ac:dyDescent="0.25">
      <c r="Y43103" s="501"/>
    </row>
    <row r="43104" spans="25:25" hidden="1" x14ac:dyDescent="0.25">
      <c r="Y43104" s="501"/>
    </row>
    <row r="43105" spans="25:25" hidden="1" x14ac:dyDescent="0.25">
      <c r="Y43105" s="501"/>
    </row>
    <row r="43106" spans="25:25" hidden="1" x14ac:dyDescent="0.25">
      <c r="Y43106" s="501"/>
    </row>
    <row r="43107" spans="25:25" hidden="1" x14ac:dyDescent="0.25">
      <c r="Y43107" s="501"/>
    </row>
    <row r="43108" spans="25:25" hidden="1" x14ac:dyDescent="0.25">
      <c r="Y43108" s="501"/>
    </row>
    <row r="43109" spans="25:25" hidden="1" x14ac:dyDescent="0.25">
      <c r="Y43109" s="501"/>
    </row>
    <row r="43110" spans="25:25" hidden="1" x14ac:dyDescent="0.25">
      <c r="Y43110" s="501"/>
    </row>
    <row r="43111" spans="25:25" hidden="1" x14ac:dyDescent="0.25">
      <c r="Y43111" s="501"/>
    </row>
    <row r="43112" spans="25:25" hidden="1" x14ac:dyDescent="0.25">
      <c r="Y43112" s="501"/>
    </row>
    <row r="43113" spans="25:25" hidden="1" x14ac:dyDescent="0.25">
      <c r="Y43113" s="501"/>
    </row>
    <row r="43114" spans="25:25" hidden="1" x14ac:dyDescent="0.25">
      <c r="Y43114" s="501"/>
    </row>
    <row r="43115" spans="25:25" hidden="1" x14ac:dyDescent="0.25">
      <c r="Y43115" s="501"/>
    </row>
    <row r="43116" spans="25:25" hidden="1" x14ac:dyDescent="0.25">
      <c r="Y43116" s="501"/>
    </row>
    <row r="43117" spans="25:25" hidden="1" x14ac:dyDescent="0.25">
      <c r="Y43117" s="501"/>
    </row>
    <row r="43118" spans="25:25" hidden="1" x14ac:dyDescent="0.25">
      <c r="Y43118" s="501"/>
    </row>
    <row r="43119" spans="25:25" hidden="1" x14ac:dyDescent="0.25">
      <c r="Y43119" s="501"/>
    </row>
    <row r="43120" spans="25:25" hidden="1" x14ac:dyDescent="0.25">
      <c r="Y43120" s="501"/>
    </row>
    <row r="43121" spans="25:25" hidden="1" x14ac:dyDescent="0.25">
      <c r="Y43121" s="501"/>
    </row>
    <row r="43122" spans="25:25" hidden="1" x14ac:dyDescent="0.25">
      <c r="Y43122" s="501"/>
    </row>
    <row r="43123" spans="25:25" hidden="1" x14ac:dyDescent="0.25">
      <c r="Y43123" s="501"/>
    </row>
    <row r="43124" spans="25:25" hidden="1" x14ac:dyDescent="0.25">
      <c r="Y43124" s="501"/>
    </row>
    <row r="43125" spans="25:25" hidden="1" x14ac:dyDescent="0.25">
      <c r="Y43125" s="501"/>
    </row>
    <row r="43126" spans="25:25" hidden="1" x14ac:dyDescent="0.25">
      <c r="Y43126" s="501"/>
    </row>
    <row r="43127" spans="25:25" hidden="1" x14ac:dyDescent="0.25">
      <c r="Y43127" s="501"/>
    </row>
    <row r="43128" spans="25:25" hidden="1" x14ac:dyDescent="0.25">
      <c r="Y43128" s="501"/>
    </row>
    <row r="43129" spans="25:25" hidden="1" x14ac:dyDescent="0.25">
      <c r="Y43129" s="501"/>
    </row>
    <row r="43130" spans="25:25" hidden="1" x14ac:dyDescent="0.25">
      <c r="Y43130" s="501"/>
    </row>
    <row r="43131" spans="25:25" hidden="1" x14ac:dyDescent="0.25">
      <c r="Y43131" s="501"/>
    </row>
    <row r="43132" spans="25:25" hidden="1" x14ac:dyDescent="0.25">
      <c r="Y43132" s="501"/>
    </row>
    <row r="43133" spans="25:25" hidden="1" x14ac:dyDescent="0.25">
      <c r="Y43133" s="501"/>
    </row>
    <row r="43134" spans="25:25" hidden="1" x14ac:dyDescent="0.25">
      <c r="Y43134" s="501"/>
    </row>
    <row r="43135" spans="25:25" hidden="1" x14ac:dyDescent="0.25">
      <c r="Y43135" s="501"/>
    </row>
    <row r="43136" spans="25:25" hidden="1" x14ac:dyDescent="0.25">
      <c r="Y43136" s="501"/>
    </row>
    <row r="43137" spans="25:25" hidden="1" x14ac:dyDescent="0.25">
      <c r="Y43137" s="501"/>
    </row>
    <row r="43138" spans="25:25" hidden="1" x14ac:dyDescent="0.25">
      <c r="Y43138" s="501"/>
    </row>
    <row r="43139" spans="25:25" hidden="1" x14ac:dyDescent="0.25">
      <c r="Y43139" s="501"/>
    </row>
    <row r="43140" spans="25:25" hidden="1" x14ac:dyDescent="0.25">
      <c r="Y43140" s="501"/>
    </row>
    <row r="43141" spans="25:25" hidden="1" x14ac:dyDescent="0.25">
      <c r="Y43141" s="501"/>
    </row>
    <row r="43142" spans="25:25" hidden="1" x14ac:dyDescent="0.25">
      <c r="Y43142" s="501"/>
    </row>
    <row r="43143" spans="25:25" hidden="1" x14ac:dyDescent="0.25">
      <c r="Y43143" s="501"/>
    </row>
    <row r="43144" spans="25:25" hidden="1" x14ac:dyDescent="0.25">
      <c r="Y43144" s="501"/>
    </row>
    <row r="43145" spans="25:25" hidden="1" x14ac:dyDescent="0.25">
      <c r="Y43145" s="501"/>
    </row>
    <row r="43146" spans="25:25" hidden="1" x14ac:dyDescent="0.25">
      <c r="Y43146" s="501"/>
    </row>
    <row r="43147" spans="25:25" hidden="1" x14ac:dyDescent="0.25">
      <c r="Y43147" s="501"/>
    </row>
    <row r="43148" spans="25:25" hidden="1" x14ac:dyDescent="0.25">
      <c r="Y43148" s="501"/>
    </row>
    <row r="43149" spans="25:25" hidden="1" x14ac:dyDescent="0.25">
      <c r="Y43149" s="501"/>
    </row>
    <row r="43150" spans="25:25" hidden="1" x14ac:dyDescent="0.25">
      <c r="Y43150" s="501"/>
    </row>
    <row r="43151" spans="25:25" hidden="1" x14ac:dyDescent="0.25">
      <c r="Y43151" s="501"/>
    </row>
    <row r="43152" spans="25:25" hidden="1" x14ac:dyDescent="0.25">
      <c r="Y43152" s="501"/>
    </row>
    <row r="43153" spans="25:25" hidden="1" x14ac:dyDescent="0.25">
      <c r="Y43153" s="501"/>
    </row>
    <row r="43154" spans="25:25" hidden="1" x14ac:dyDescent="0.25">
      <c r="Y43154" s="501"/>
    </row>
    <row r="43155" spans="25:25" hidden="1" x14ac:dyDescent="0.25">
      <c r="Y43155" s="501"/>
    </row>
    <row r="43156" spans="25:25" hidden="1" x14ac:dyDescent="0.25">
      <c r="Y43156" s="501"/>
    </row>
    <row r="43157" spans="25:25" hidden="1" x14ac:dyDescent="0.25">
      <c r="Y43157" s="501"/>
    </row>
    <row r="43158" spans="25:25" hidden="1" x14ac:dyDescent="0.25">
      <c r="Y43158" s="501"/>
    </row>
    <row r="43159" spans="25:25" hidden="1" x14ac:dyDescent="0.25">
      <c r="Y43159" s="501"/>
    </row>
    <row r="43160" spans="25:25" hidden="1" x14ac:dyDescent="0.25">
      <c r="Y43160" s="501"/>
    </row>
    <row r="43161" spans="25:25" hidden="1" x14ac:dyDescent="0.25">
      <c r="Y43161" s="501"/>
    </row>
    <row r="43162" spans="25:25" hidden="1" x14ac:dyDescent="0.25">
      <c r="Y43162" s="501"/>
    </row>
    <row r="43163" spans="25:25" hidden="1" x14ac:dyDescent="0.25">
      <c r="Y43163" s="501"/>
    </row>
    <row r="43164" spans="25:25" hidden="1" x14ac:dyDescent="0.25">
      <c r="Y43164" s="501"/>
    </row>
    <row r="43165" spans="25:25" hidden="1" x14ac:dyDescent="0.25">
      <c r="Y43165" s="501"/>
    </row>
    <row r="43166" spans="25:25" hidden="1" x14ac:dyDescent="0.25">
      <c r="Y43166" s="501"/>
    </row>
    <row r="43167" spans="25:25" hidden="1" x14ac:dyDescent="0.25">
      <c r="Y43167" s="501"/>
    </row>
    <row r="43168" spans="25:25" hidden="1" x14ac:dyDescent="0.25">
      <c r="Y43168" s="501"/>
    </row>
    <row r="43169" spans="25:25" hidden="1" x14ac:dyDescent="0.25">
      <c r="Y43169" s="501"/>
    </row>
    <row r="43170" spans="25:25" hidden="1" x14ac:dyDescent="0.25">
      <c r="Y43170" s="501"/>
    </row>
    <row r="43171" spans="25:25" hidden="1" x14ac:dyDescent="0.25">
      <c r="Y43171" s="501"/>
    </row>
    <row r="43172" spans="25:25" hidden="1" x14ac:dyDescent="0.25">
      <c r="Y43172" s="501"/>
    </row>
    <row r="43173" spans="25:25" hidden="1" x14ac:dyDescent="0.25">
      <c r="Y43173" s="501"/>
    </row>
    <row r="43174" spans="25:25" hidden="1" x14ac:dyDescent="0.25">
      <c r="Y43174" s="501"/>
    </row>
    <row r="43175" spans="25:25" hidden="1" x14ac:dyDescent="0.25">
      <c r="Y43175" s="501"/>
    </row>
    <row r="43176" spans="25:25" hidden="1" x14ac:dyDescent="0.25">
      <c r="Y43176" s="501"/>
    </row>
    <row r="43177" spans="25:25" hidden="1" x14ac:dyDescent="0.25">
      <c r="Y43177" s="501"/>
    </row>
    <row r="43178" spans="25:25" hidden="1" x14ac:dyDescent="0.25">
      <c r="Y43178" s="501"/>
    </row>
    <row r="43179" spans="25:25" hidden="1" x14ac:dyDescent="0.25">
      <c r="Y43179" s="501"/>
    </row>
    <row r="43180" spans="25:25" hidden="1" x14ac:dyDescent="0.25">
      <c r="Y43180" s="501"/>
    </row>
    <row r="43181" spans="25:25" hidden="1" x14ac:dyDescent="0.25">
      <c r="Y43181" s="501"/>
    </row>
    <row r="43182" spans="25:25" hidden="1" x14ac:dyDescent="0.25">
      <c r="Y43182" s="501"/>
    </row>
    <row r="43183" spans="25:25" hidden="1" x14ac:dyDescent="0.25">
      <c r="Y43183" s="501"/>
    </row>
    <row r="43184" spans="25:25" hidden="1" x14ac:dyDescent="0.25">
      <c r="Y43184" s="501"/>
    </row>
    <row r="43185" spans="25:25" hidden="1" x14ac:dyDescent="0.25">
      <c r="Y43185" s="501"/>
    </row>
    <row r="43186" spans="25:25" hidden="1" x14ac:dyDescent="0.25">
      <c r="Y43186" s="501"/>
    </row>
    <row r="43187" spans="25:25" hidden="1" x14ac:dyDescent="0.25">
      <c r="Y43187" s="501"/>
    </row>
    <row r="43188" spans="25:25" hidden="1" x14ac:dyDescent="0.25">
      <c r="Y43188" s="501"/>
    </row>
    <row r="43189" spans="25:25" hidden="1" x14ac:dyDescent="0.25">
      <c r="Y43189" s="501"/>
    </row>
    <row r="43190" spans="25:25" hidden="1" x14ac:dyDescent="0.25">
      <c r="Y43190" s="501"/>
    </row>
    <row r="43191" spans="25:25" hidden="1" x14ac:dyDescent="0.25">
      <c r="Y43191" s="501"/>
    </row>
    <row r="43192" spans="25:25" hidden="1" x14ac:dyDescent="0.25">
      <c r="Y43192" s="501"/>
    </row>
    <row r="43193" spans="25:25" hidden="1" x14ac:dyDescent="0.25">
      <c r="Y43193" s="501"/>
    </row>
    <row r="43194" spans="25:25" hidden="1" x14ac:dyDescent="0.25">
      <c r="Y43194" s="501"/>
    </row>
    <row r="43195" spans="25:25" hidden="1" x14ac:dyDescent="0.25">
      <c r="Y43195" s="501"/>
    </row>
    <row r="43196" spans="25:25" hidden="1" x14ac:dyDescent="0.25">
      <c r="Y43196" s="501"/>
    </row>
    <row r="43197" spans="25:25" hidden="1" x14ac:dyDescent="0.25">
      <c r="Y43197" s="501"/>
    </row>
    <row r="43198" spans="25:25" hidden="1" x14ac:dyDescent="0.25">
      <c r="Y43198" s="501"/>
    </row>
    <row r="43199" spans="25:25" hidden="1" x14ac:dyDescent="0.25">
      <c r="Y43199" s="501"/>
    </row>
    <row r="43200" spans="25:25" hidden="1" x14ac:dyDescent="0.25">
      <c r="Y43200" s="501"/>
    </row>
    <row r="43201" spans="25:25" hidden="1" x14ac:dyDescent="0.25">
      <c r="Y43201" s="501"/>
    </row>
    <row r="43202" spans="25:25" hidden="1" x14ac:dyDescent="0.25">
      <c r="Y43202" s="501"/>
    </row>
    <row r="43203" spans="25:25" hidden="1" x14ac:dyDescent="0.25">
      <c r="Y43203" s="501"/>
    </row>
    <row r="43204" spans="25:25" hidden="1" x14ac:dyDescent="0.25">
      <c r="Y43204" s="501"/>
    </row>
    <row r="43205" spans="25:25" hidden="1" x14ac:dyDescent="0.25">
      <c r="Y43205" s="501"/>
    </row>
    <row r="43206" spans="25:25" hidden="1" x14ac:dyDescent="0.25">
      <c r="Y43206" s="501"/>
    </row>
    <row r="43207" spans="25:25" hidden="1" x14ac:dyDescent="0.25">
      <c r="Y43207" s="501"/>
    </row>
    <row r="43208" spans="25:25" hidden="1" x14ac:dyDescent="0.25">
      <c r="Y43208" s="501"/>
    </row>
    <row r="43209" spans="25:25" hidden="1" x14ac:dyDescent="0.25">
      <c r="Y43209" s="501"/>
    </row>
    <row r="43210" spans="25:25" hidden="1" x14ac:dyDescent="0.25">
      <c r="Y43210" s="501"/>
    </row>
    <row r="43211" spans="25:25" hidden="1" x14ac:dyDescent="0.25">
      <c r="Y43211" s="501"/>
    </row>
    <row r="43212" spans="25:25" hidden="1" x14ac:dyDescent="0.25">
      <c r="Y43212" s="501"/>
    </row>
    <row r="43213" spans="25:25" hidden="1" x14ac:dyDescent="0.25">
      <c r="Y43213" s="501"/>
    </row>
    <row r="43214" spans="25:25" hidden="1" x14ac:dyDescent="0.25">
      <c r="Y43214" s="501"/>
    </row>
    <row r="43215" spans="25:25" hidden="1" x14ac:dyDescent="0.25">
      <c r="Y43215" s="501"/>
    </row>
    <row r="43216" spans="25:25" hidden="1" x14ac:dyDescent="0.25">
      <c r="Y43216" s="501"/>
    </row>
    <row r="43217" spans="25:25" hidden="1" x14ac:dyDescent="0.25">
      <c r="Y43217" s="501"/>
    </row>
    <row r="43218" spans="25:25" hidden="1" x14ac:dyDescent="0.25">
      <c r="Y43218" s="501"/>
    </row>
    <row r="43219" spans="25:25" hidden="1" x14ac:dyDescent="0.25">
      <c r="Y43219" s="501"/>
    </row>
    <row r="43220" spans="25:25" hidden="1" x14ac:dyDescent="0.25">
      <c r="Y43220" s="501"/>
    </row>
    <row r="43221" spans="25:25" hidden="1" x14ac:dyDescent="0.25">
      <c r="Y43221" s="501"/>
    </row>
    <row r="43222" spans="25:25" hidden="1" x14ac:dyDescent="0.25">
      <c r="Y43222" s="501"/>
    </row>
    <row r="43223" spans="25:25" hidden="1" x14ac:dyDescent="0.25">
      <c r="Y43223" s="501"/>
    </row>
    <row r="43224" spans="25:25" hidden="1" x14ac:dyDescent="0.25">
      <c r="Y43224" s="501"/>
    </row>
    <row r="43225" spans="25:25" hidden="1" x14ac:dyDescent="0.25">
      <c r="Y43225" s="501"/>
    </row>
    <row r="43226" spans="25:25" hidden="1" x14ac:dyDescent="0.25">
      <c r="Y43226" s="501"/>
    </row>
    <row r="43227" spans="25:25" hidden="1" x14ac:dyDescent="0.25">
      <c r="Y43227" s="501"/>
    </row>
    <row r="43228" spans="25:25" hidden="1" x14ac:dyDescent="0.25">
      <c r="Y43228" s="501"/>
    </row>
    <row r="43229" spans="25:25" hidden="1" x14ac:dyDescent="0.25">
      <c r="Y43229" s="501"/>
    </row>
    <row r="43230" spans="25:25" hidden="1" x14ac:dyDescent="0.25">
      <c r="Y43230" s="501"/>
    </row>
    <row r="43231" spans="25:25" hidden="1" x14ac:dyDescent="0.25">
      <c r="Y43231" s="501"/>
    </row>
    <row r="43232" spans="25:25" hidden="1" x14ac:dyDescent="0.25">
      <c r="Y43232" s="501"/>
    </row>
    <row r="43233" spans="25:25" hidden="1" x14ac:dyDescent="0.25">
      <c r="Y43233" s="501"/>
    </row>
    <row r="43234" spans="25:25" hidden="1" x14ac:dyDescent="0.25">
      <c r="Y43234" s="501"/>
    </row>
    <row r="43235" spans="25:25" hidden="1" x14ac:dyDescent="0.25">
      <c r="Y43235" s="501"/>
    </row>
    <row r="43236" spans="25:25" hidden="1" x14ac:dyDescent="0.25">
      <c r="Y43236" s="501"/>
    </row>
    <row r="43237" spans="25:25" hidden="1" x14ac:dyDescent="0.25">
      <c r="Y43237" s="501"/>
    </row>
    <row r="43238" spans="25:25" hidden="1" x14ac:dyDescent="0.25">
      <c r="Y43238" s="501"/>
    </row>
    <row r="43239" spans="25:25" hidden="1" x14ac:dyDescent="0.25">
      <c r="Y43239" s="501"/>
    </row>
    <row r="43240" spans="25:25" hidden="1" x14ac:dyDescent="0.25">
      <c r="Y43240" s="501"/>
    </row>
    <row r="43241" spans="25:25" hidden="1" x14ac:dyDescent="0.25">
      <c r="Y43241" s="501"/>
    </row>
    <row r="43242" spans="25:25" hidden="1" x14ac:dyDescent="0.25">
      <c r="Y43242" s="501"/>
    </row>
    <row r="43243" spans="25:25" hidden="1" x14ac:dyDescent="0.25">
      <c r="Y43243" s="501"/>
    </row>
    <row r="43244" spans="25:25" hidden="1" x14ac:dyDescent="0.25">
      <c r="Y43244" s="501"/>
    </row>
    <row r="43245" spans="25:25" hidden="1" x14ac:dyDescent="0.25">
      <c r="Y43245" s="501"/>
    </row>
    <row r="43246" spans="25:25" hidden="1" x14ac:dyDescent="0.25">
      <c r="Y43246" s="501"/>
    </row>
    <row r="43247" spans="25:25" hidden="1" x14ac:dyDescent="0.25">
      <c r="Y43247" s="501"/>
    </row>
    <row r="43248" spans="25:25" hidden="1" x14ac:dyDescent="0.25">
      <c r="Y43248" s="501"/>
    </row>
    <row r="43249" spans="25:25" hidden="1" x14ac:dyDescent="0.25">
      <c r="Y43249" s="501"/>
    </row>
    <row r="43250" spans="25:25" hidden="1" x14ac:dyDescent="0.25">
      <c r="Y43250" s="501"/>
    </row>
    <row r="43251" spans="25:25" hidden="1" x14ac:dyDescent="0.25">
      <c r="Y43251" s="501"/>
    </row>
    <row r="43252" spans="25:25" hidden="1" x14ac:dyDescent="0.25">
      <c r="Y43252" s="501"/>
    </row>
    <row r="43253" spans="25:25" hidden="1" x14ac:dyDescent="0.25">
      <c r="Y43253" s="501"/>
    </row>
    <row r="43254" spans="25:25" hidden="1" x14ac:dyDescent="0.25">
      <c r="Y43254" s="501"/>
    </row>
    <row r="43255" spans="25:25" hidden="1" x14ac:dyDescent="0.25">
      <c r="Y43255" s="501"/>
    </row>
    <row r="43256" spans="25:25" hidden="1" x14ac:dyDescent="0.25">
      <c r="Y43256" s="501"/>
    </row>
    <row r="43257" spans="25:25" hidden="1" x14ac:dyDescent="0.25">
      <c r="Y43257" s="501"/>
    </row>
    <row r="43258" spans="25:25" hidden="1" x14ac:dyDescent="0.25">
      <c r="Y43258" s="501"/>
    </row>
    <row r="43259" spans="25:25" hidden="1" x14ac:dyDescent="0.25">
      <c r="Y43259" s="501"/>
    </row>
    <row r="43260" spans="25:25" hidden="1" x14ac:dyDescent="0.25">
      <c r="Y43260" s="501"/>
    </row>
    <row r="43261" spans="25:25" hidden="1" x14ac:dyDescent="0.25">
      <c r="Y43261" s="501"/>
    </row>
    <row r="43262" spans="25:25" hidden="1" x14ac:dyDescent="0.25">
      <c r="Y43262" s="501"/>
    </row>
    <row r="43263" spans="25:25" hidden="1" x14ac:dyDescent="0.25">
      <c r="Y43263" s="501"/>
    </row>
    <row r="43264" spans="25:25" hidden="1" x14ac:dyDescent="0.25">
      <c r="Y43264" s="501"/>
    </row>
    <row r="43265" spans="25:25" hidden="1" x14ac:dyDescent="0.25">
      <c r="Y43265" s="501"/>
    </row>
    <row r="43266" spans="25:25" hidden="1" x14ac:dyDescent="0.25">
      <c r="Y43266" s="501"/>
    </row>
    <row r="43267" spans="25:25" hidden="1" x14ac:dyDescent="0.25">
      <c r="Y43267" s="501"/>
    </row>
    <row r="43268" spans="25:25" hidden="1" x14ac:dyDescent="0.25">
      <c r="Y43268" s="501"/>
    </row>
    <row r="43269" spans="25:25" hidden="1" x14ac:dyDescent="0.25">
      <c r="Y43269" s="501"/>
    </row>
    <row r="43270" spans="25:25" hidden="1" x14ac:dyDescent="0.25">
      <c r="Y43270" s="501"/>
    </row>
    <row r="43271" spans="25:25" hidden="1" x14ac:dyDescent="0.25">
      <c r="Y43271" s="501"/>
    </row>
    <row r="43272" spans="25:25" hidden="1" x14ac:dyDescent="0.25">
      <c r="Y43272" s="501"/>
    </row>
    <row r="43273" spans="25:25" hidden="1" x14ac:dyDescent="0.25">
      <c r="Y43273" s="501"/>
    </row>
    <row r="43274" spans="25:25" hidden="1" x14ac:dyDescent="0.25">
      <c r="Y43274" s="501"/>
    </row>
    <row r="43275" spans="25:25" hidden="1" x14ac:dyDescent="0.25">
      <c r="Y43275" s="501"/>
    </row>
    <row r="43276" spans="25:25" hidden="1" x14ac:dyDescent="0.25">
      <c r="Y43276" s="501"/>
    </row>
    <row r="43277" spans="25:25" hidden="1" x14ac:dyDescent="0.25">
      <c r="Y43277" s="501"/>
    </row>
    <row r="43278" spans="25:25" hidden="1" x14ac:dyDescent="0.25">
      <c r="Y43278" s="501"/>
    </row>
    <row r="43279" spans="25:25" hidden="1" x14ac:dyDescent="0.25">
      <c r="Y43279" s="501"/>
    </row>
    <row r="43280" spans="25:25" hidden="1" x14ac:dyDescent="0.25">
      <c r="Y43280" s="501"/>
    </row>
    <row r="43281" spans="25:25" hidden="1" x14ac:dyDescent="0.25">
      <c r="Y43281" s="501"/>
    </row>
    <row r="43282" spans="25:25" hidden="1" x14ac:dyDescent="0.25">
      <c r="Y43282" s="501"/>
    </row>
    <row r="43283" spans="25:25" hidden="1" x14ac:dyDescent="0.25">
      <c r="Y43283" s="501"/>
    </row>
    <row r="43284" spans="25:25" hidden="1" x14ac:dyDescent="0.25">
      <c r="Y43284" s="501"/>
    </row>
    <row r="43285" spans="25:25" hidden="1" x14ac:dyDescent="0.25">
      <c r="Y43285" s="501"/>
    </row>
    <row r="43286" spans="25:25" hidden="1" x14ac:dyDescent="0.25">
      <c r="Y43286" s="501"/>
    </row>
    <row r="43287" spans="25:25" hidden="1" x14ac:dyDescent="0.25">
      <c r="Y43287" s="501"/>
    </row>
    <row r="43288" spans="25:25" hidden="1" x14ac:dyDescent="0.25">
      <c r="Y43288" s="501"/>
    </row>
    <row r="43289" spans="25:25" hidden="1" x14ac:dyDescent="0.25">
      <c r="Y43289" s="501"/>
    </row>
    <row r="43290" spans="25:25" hidden="1" x14ac:dyDescent="0.25">
      <c r="Y43290" s="501"/>
    </row>
    <row r="43291" spans="25:25" hidden="1" x14ac:dyDescent="0.25">
      <c r="Y43291" s="501"/>
    </row>
    <row r="43292" spans="25:25" hidden="1" x14ac:dyDescent="0.25">
      <c r="Y43292" s="501"/>
    </row>
    <row r="43293" spans="25:25" hidden="1" x14ac:dyDescent="0.25">
      <c r="Y43293" s="501"/>
    </row>
    <row r="43294" spans="25:25" hidden="1" x14ac:dyDescent="0.25">
      <c r="Y43294" s="501"/>
    </row>
    <row r="43295" spans="25:25" hidden="1" x14ac:dyDescent="0.25">
      <c r="Y43295" s="501"/>
    </row>
    <row r="43296" spans="25:25" hidden="1" x14ac:dyDescent="0.25">
      <c r="Y43296" s="501"/>
    </row>
    <row r="43297" spans="25:25" hidden="1" x14ac:dyDescent="0.25">
      <c r="Y43297" s="501"/>
    </row>
    <row r="43298" spans="25:25" hidden="1" x14ac:dyDescent="0.25">
      <c r="Y43298" s="501"/>
    </row>
    <row r="43299" spans="25:25" hidden="1" x14ac:dyDescent="0.25">
      <c r="Y43299" s="501"/>
    </row>
    <row r="43300" spans="25:25" hidden="1" x14ac:dyDescent="0.25">
      <c r="Y43300" s="501"/>
    </row>
    <row r="43301" spans="25:25" hidden="1" x14ac:dyDescent="0.25">
      <c r="Y43301" s="501"/>
    </row>
    <row r="43302" spans="25:25" hidden="1" x14ac:dyDescent="0.25">
      <c r="Y43302" s="501"/>
    </row>
    <row r="43303" spans="25:25" hidden="1" x14ac:dyDescent="0.25">
      <c r="Y43303" s="501"/>
    </row>
    <row r="43304" spans="25:25" hidden="1" x14ac:dyDescent="0.25">
      <c r="Y43304" s="501"/>
    </row>
    <row r="43305" spans="25:25" hidden="1" x14ac:dyDescent="0.25">
      <c r="Y43305" s="501"/>
    </row>
    <row r="43306" spans="25:25" hidden="1" x14ac:dyDescent="0.25">
      <c r="Y43306" s="501"/>
    </row>
    <row r="43307" spans="25:25" hidden="1" x14ac:dyDescent="0.25">
      <c r="Y43307" s="501"/>
    </row>
    <row r="43308" spans="25:25" hidden="1" x14ac:dyDescent="0.25">
      <c r="Y43308" s="501"/>
    </row>
    <row r="43309" spans="25:25" hidden="1" x14ac:dyDescent="0.25">
      <c r="Y43309" s="501"/>
    </row>
    <row r="43310" spans="25:25" hidden="1" x14ac:dyDescent="0.25">
      <c r="Y43310" s="501"/>
    </row>
    <row r="43311" spans="25:25" hidden="1" x14ac:dyDescent="0.25">
      <c r="Y43311" s="501"/>
    </row>
    <row r="43312" spans="25:25" hidden="1" x14ac:dyDescent="0.25">
      <c r="Y43312" s="501"/>
    </row>
    <row r="43313" spans="25:25" hidden="1" x14ac:dyDescent="0.25">
      <c r="Y43313" s="501"/>
    </row>
    <row r="43314" spans="25:25" hidden="1" x14ac:dyDescent="0.25">
      <c r="Y43314" s="501"/>
    </row>
    <row r="43315" spans="25:25" hidden="1" x14ac:dyDescent="0.25">
      <c r="Y43315" s="501"/>
    </row>
    <row r="43316" spans="25:25" hidden="1" x14ac:dyDescent="0.25">
      <c r="Y43316" s="501"/>
    </row>
    <row r="43317" spans="25:25" hidden="1" x14ac:dyDescent="0.25">
      <c r="Y43317" s="501"/>
    </row>
    <row r="43318" spans="25:25" hidden="1" x14ac:dyDescent="0.25">
      <c r="Y43318" s="501"/>
    </row>
    <row r="43319" spans="25:25" hidden="1" x14ac:dyDescent="0.25">
      <c r="Y43319" s="501"/>
    </row>
    <row r="43320" spans="25:25" hidden="1" x14ac:dyDescent="0.25">
      <c r="Y43320" s="501"/>
    </row>
    <row r="43321" spans="25:25" hidden="1" x14ac:dyDescent="0.25">
      <c r="Y43321" s="501"/>
    </row>
    <row r="43322" spans="25:25" hidden="1" x14ac:dyDescent="0.25">
      <c r="Y43322" s="501"/>
    </row>
    <row r="43323" spans="25:25" hidden="1" x14ac:dyDescent="0.25">
      <c r="Y43323" s="501"/>
    </row>
    <row r="43324" spans="25:25" hidden="1" x14ac:dyDescent="0.25">
      <c r="Y43324" s="501"/>
    </row>
    <row r="43325" spans="25:25" hidden="1" x14ac:dyDescent="0.25">
      <c r="Y43325" s="501"/>
    </row>
    <row r="43326" spans="25:25" hidden="1" x14ac:dyDescent="0.25">
      <c r="Y43326" s="501"/>
    </row>
    <row r="43327" spans="25:25" hidden="1" x14ac:dyDescent="0.25">
      <c r="Y43327" s="501"/>
    </row>
    <row r="43328" spans="25:25" hidden="1" x14ac:dyDescent="0.25">
      <c r="Y43328" s="501"/>
    </row>
    <row r="43329" spans="25:25" hidden="1" x14ac:dyDescent="0.25">
      <c r="Y43329" s="501"/>
    </row>
    <row r="43330" spans="25:25" hidden="1" x14ac:dyDescent="0.25">
      <c r="Y43330" s="501"/>
    </row>
    <row r="43331" spans="25:25" hidden="1" x14ac:dyDescent="0.25">
      <c r="Y43331" s="501"/>
    </row>
    <row r="43332" spans="25:25" hidden="1" x14ac:dyDescent="0.25">
      <c r="Y43332" s="501"/>
    </row>
    <row r="43333" spans="25:25" hidden="1" x14ac:dyDescent="0.25">
      <c r="Y43333" s="501"/>
    </row>
    <row r="43334" spans="25:25" hidden="1" x14ac:dyDescent="0.25">
      <c r="Y43334" s="501"/>
    </row>
    <row r="43335" spans="25:25" hidden="1" x14ac:dyDescent="0.25">
      <c r="Y43335" s="501"/>
    </row>
    <row r="43336" spans="25:25" hidden="1" x14ac:dyDescent="0.25">
      <c r="Y43336" s="501"/>
    </row>
    <row r="43337" spans="25:25" hidden="1" x14ac:dyDescent="0.25">
      <c r="Y43337" s="501"/>
    </row>
    <row r="43338" spans="25:25" hidden="1" x14ac:dyDescent="0.25">
      <c r="Y43338" s="501"/>
    </row>
    <row r="43339" spans="25:25" hidden="1" x14ac:dyDescent="0.25">
      <c r="Y43339" s="501"/>
    </row>
    <row r="43340" spans="25:25" hidden="1" x14ac:dyDescent="0.25">
      <c r="Y43340" s="501"/>
    </row>
    <row r="43341" spans="25:25" hidden="1" x14ac:dyDescent="0.25">
      <c r="Y43341" s="501"/>
    </row>
    <row r="43342" spans="25:25" hidden="1" x14ac:dyDescent="0.25">
      <c r="Y43342" s="501"/>
    </row>
    <row r="43343" spans="25:25" hidden="1" x14ac:dyDescent="0.25">
      <c r="Y43343" s="501"/>
    </row>
    <row r="43344" spans="25:25" hidden="1" x14ac:dyDescent="0.25">
      <c r="Y43344" s="501"/>
    </row>
    <row r="43345" spans="25:25" hidden="1" x14ac:dyDescent="0.25">
      <c r="Y43345" s="501"/>
    </row>
    <row r="43346" spans="25:25" hidden="1" x14ac:dyDescent="0.25">
      <c r="Y43346" s="501"/>
    </row>
    <row r="43347" spans="25:25" hidden="1" x14ac:dyDescent="0.25">
      <c r="Y43347" s="501"/>
    </row>
    <row r="43348" spans="25:25" hidden="1" x14ac:dyDescent="0.25">
      <c r="Y43348" s="501"/>
    </row>
    <row r="43349" spans="25:25" hidden="1" x14ac:dyDescent="0.25">
      <c r="Y43349" s="501"/>
    </row>
    <row r="43350" spans="25:25" hidden="1" x14ac:dyDescent="0.25">
      <c r="Y43350" s="501"/>
    </row>
    <row r="43351" spans="25:25" hidden="1" x14ac:dyDescent="0.25">
      <c r="Y43351" s="501"/>
    </row>
    <row r="43352" spans="25:25" hidden="1" x14ac:dyDescent="0.25">
      <c r="Y43352" s="501"/>
    </row>
    <row r="43353" spans="25:25" hidden="1" x14ac:dyDescent="0.25">
      <c r="Y43353" s="501"/>
    </row>
    <row r="43354" spans="25:25" hidden="1" x14ac:dyDescent="0.25">
      <c r="Y43354" s="501"/>
    </row>
    <row r="43355" spans="25:25" hidden="1" x14ac:dyDescent="0.25">
      <c r="Y43355" s="501"/>
    </row>
    <row r="43356" spans="25:25" hidden="1" x14ac:dyDescent="0.25">
      <c r="Y43356" s="501"/>
    </row>
    <row r="43357" spans="25:25" hidden="1" x14ac:dyDescent="0.25">
      <c r="Y43357" s="501"/>
    </row>
    <row r="43358" spans="25:25" hidden="1" x14ac:dyDescent="0.25">
      <c r="Y43358" s="501"/>
    </row>
    <row r="43359" spans="25:25" hidden="1" x14ac:dyDescent="0.25">
      <c r="Y43359" s="501"/>
    </row>
    <row r="43360" spans="25:25" hidden="1" x14ac:dyDescent="0.25">
      <c r="Y43360" s="501"/>
    </row>
    <row r="43361" spans="25:25" hidden="1" x14ac:dyDescent="0.25">
      <c r="Y43361" s="501"/>
    </row>
    <row r="43362" spans="25:25" hidden="1" x14ac:dyDescent="0.25">
      <c r="Y43362" s="501"/>
    </row>
    <row r="43363" spans="25:25" hidden="1" x14ac:dyDescent="0.25">
      <c r="Y43363" s="501"/>
    </row>
    <row r="43364" spans="25:25" hidden="1" x14ac:dyDescent="0.25">
      <c r="Y43364" s="501"/>
    </row>
    <row r="43365" spans="25:25" hidden="1" x14ac:dyDescent="0.25">
      <c r="Y43365" s="501"/>
    </row>
    <row r="43366" spans="25:25" hidden="1" x14ac:dyDescent="0.25">
      <c r="Y43366" s="501"/>
    </row>
    <row r="43367" spans="25:25" hidden="1" x14ac:dyDescent="0.25">
      <c r="Y43367" s="501"/>
    </row>
    <row r="43368" spans="25:25" hidden="1" x14ac:dyDescent="0.25">
      <c r="Y43368" s="501"/>
    </row>
    <row r="43369" spans="25:25" hidden="1" x14ac:dyDescent="0.25">
      <c r="Y43369" s="501"/>
    </row>
    <row r="43370" spans="25:25" hidden="1" x14ac:dyDescent="0.25">
      <c r="Y43370" s="501"/>
    </row>
    <row r="43371" spans="25:25" hidden="1" x14ac:dyDescent="0.25">
      <c r="Y43371" s="501"/>
    </row>
    <row r="43372" spans="25:25" hidden="1" x14ac:dyDescent="0.25">
      <c r="Y43372" s="501"/>
    </row>
    <row r="43373" spans="25:25" hidden="1" x14ac:dyDescent="0.25">
      <c r="Y43373" s="501"/>
    </row>
    <row r="43374" spans="25:25" hidden="1" x14ac:dyDescent="0.25">
      <c r="Y43374" s="501"/>
    </row>
    <row r="43375" spans="25:25" hidden="1" x14ac:dyDescent="0.25">
      <c r="Y43375" s="501"/>
    </row>
    <row r="43376" spans="25:25" hidden="1" x14ac:dyDescent="0.25">
      <c r="Y43376" s="501"/>
    </row>
    <row r="43377" spans="25:25" hidden="1" x14ac:dyDescent="0.25">
      <c r="Y43377" s="501"/>
    </row>
    <row r="43378" spans="25:25" hidden="1" x14ac:dyDescent="0.25">
      <c r="Y43378" s="501"/>
    </row>
    <row r="43379" spans="25:25" hidden="1" x14ac:dyDescent="0.25">
      <c r="Y43379" s="501"/>
    </row>
    <row r="43380" spans="25:25" hidden="1" x14ac:dyDescent="0.25">
      <c r="Y43380" s="501"/>
    </row>
    <row r="43381" spans="25:25" hidden="1" x14ac:dyDescent="0.25">
      <c r="Y43381" s="501"/>
    </row>
    <row r="43382" spans="25:25" hidden="1" x14ac:dyDescent="0.25">
      <c r="Y43382" s="501"/>
    </row>
    <row r="43383" spans="25:25" hidden="1" x14ac:dyDescent="0.25">
      <c r="Y43383" s="501"/>
    </row>
    <row r="43384" spans="25:25" hidden="1" x14ac:dyDescent="0.25">
      <c r="Y43384" s="501"/>
    </row>
    <row r="43385" spans="25:25" hidden="1" x14ac:dyDescent="0.25">
      <c r="Y43385" s="501"/>
    </row>
    <row r="43386" spans="25:25" hidden="1" x14ac:dyDescent="0.25">
      <c r="Y43386" s="501"/>
    </row>
    <row r="43387" spans="25:25" hidden="1" x14ac:dyDescent="0.25">
      <c r="Y43387" s="501"/>
    </row>
    <row r="43388" spans="25:25" hidden="1" x14ac:dyDescent="0.25">
      <c r="Y43388" s="501"/>
    </row>
    <row r="43389" spans="25:25" hidden="1" x14ac:dyDescent="0.25">
      <c r="Y43389" s="501"/>
    </row>
    <row r="43390" spans="25:25" hidden="1" x14ac:dyDescent="0.25">
      <c r="Y43390" s="501"/>
    </row>
    <row r="43391" spans="25:25" hidden="1" x14ac:dyDescent="0.25">
      <c r="Y43391" s="501"/>
    </row>
    <row r="43392" spans="25:25" hidden="1" x14ac:dyDescent="0.25">
      <c r="Y43392" s="501"/>
    </row>
    <row r="43393" spans="25:25" hidden="1" x14ac:dyDescent="0.25">
      <c r="Y43393" s="501"/>
    </row>
    <row r="43394" spans="25:25" hidden="1" x14ac:dyDescent="0.25">
      <c r="Y43394" s="501"/>
    </row>
    <row r="43395" spans="25:25" hidden="1" x14ac:dyDescent="0.25">
      <c r="Y43395" s="501"/>
    </row>
    <row r="43396" spans="25:25" hidden="1" x14ac:dyDescent="0.25">
      <c r="Y43396" s="501"/>
    </row>
    <row r="43397" spans="25:25" hidden="1" x14ac:dyDescent="0.25">
      <c r="Y43397" s="501"/>
    </row>
    <row r="43398" spans="25:25" hidden="1" x14ac:dyDescent="0.25">
      <c r="Y43398" s="501"/>
    </row>
    <row r="43399" spans="25:25" hidden="1" x14ac:dyDescent="0.25">
      <c r="Y43399" s="501"/>
    </row>
    <row r="43400" spans="25:25" hidden="1" x14ac:dyDescent="0.25">
      <c r="Y43400" s="501"/>
    </row>
    <row r="43401" spans="25:25" hidden="1" x14ac:dyDescent="0.25">
      <c r="Y43401" s="501"/>
    </row>
    <row r="43402" spans="25:25" hidden="1" x14ac:dyDescent="0.25">
      <c r="Y43402" s="501"/>
    </row>
    <row r="43403" spans="25:25" hidden="1" x14ac:dyDescent="0.25">
      <c r="Y43403" s="501"/>
    </row>
    <row r="43404" spans="25:25" hidden="1" x14ac:dyDescent="0.25">
      <c r="Y43404" s="501"/>
    </row>
    <row r="43405" spans="25:25" hidden="1" x14ac:dyDescent="0.25">
      <c r="Y43405" s="501"/>
    </row>
    <row r="43406" spans="25:25" hidden="1" x14ac:dyDescent="0.25">
      <c r="Y43406" s="501"/>
    </row>
    <row r="43407" spans="25:25" hidden="1" x14ac:dyDescent="0.25">
      <c r="Y43407" s="501"/>
    </row>
    <row r="43408" spans="25:25" hidden="1" x14ac:dyDescent="0.25">
      <c r="Y43408" s="501"/>
    </row>
    <row r="43409" spans="25:25" hidden="1" x14ac:dyDescent="0.25">
      <c r="Y43409" s="501"/>
    </row>
    <row r="43410" spans="25:25" hidden="1" x14ac:dyDescent="0.25">
      <c r="Y43410" s="501"/>
    </row>
    <row r="43411" spans="25:25" hidden="1" x14ac:dyDescent="0.25">
      <c r="Y43411" s="501"/>
    </row>
    <row r="43412" spans="25:25" hidden="1" x14ac:dyDescent="0.25">
      <c r="Y43412" s="501"/>
    </row>
    <row r="43413" spans="25:25" hidden="1" x14ac:dyDescent="0.25">
      <c r="Y43413" s="501"/>
    </row>
    <row r="43414" spans="25:25" hidden="1" x14ac:dyDescent="0.25">
      <c r="Y43414" s="501"/>
    </row>
    <row r="43415" spans="25:25" hidden="1" x14ac:dyDescent="0.25">
      <c r="Y43415" s="501"/>
    </row>
    <row r="43416" spans="25:25" hidden="1" x14ac:dyDescent="0.25">
      <c r="Y43416" s="501"/>
    </row>
    <row r="43417" spans="25:25" hidden="1" x14ac:dyDescent="0.25">
      <c r="Y43417" s="501"/>
    </row>
    <row r="43418" spans="25:25" hidden="1" x14ac:dyDescent="0.25">
      <c r="Y43418" s="501"/>
    </row>
    <row r="43419" spans="25:25" hidden="1" x14ac:dyDescent="0.25">
      <c r="Y43419" s="501"/>
    </row>
    <row r="43420" spans="25:25" hidden="1" x14ac:dyDescent="0.25">
      <c r="Y43420" s="501"/>
    </row>
    <row r="43421" spans="25:25" hidden="1" x14ac:dyDescent="0.25">
      <c r="Y43421" s="501"/>
    </row>
    <row r="43422" spans="25:25" hidden="1" x14ac:dyDescent="0.25">
      <c r="Y43422" s="501"/>
    </row>
    <row r="43423" spans="25:25" hidden="1" x14ac:dyDescent="0.25">
      <c r="Y43423" s="501"/>
    </row>
    <row r="43424" spans="25:25" hidden="1" x14ac:dyDescent="0.25">
      <c r="Y43424" s="501"/>
    </row>
    <row r="43425" spans="25:25" hidden="1" x14ac:dyDescent="0.25">
      <c r="Y43425" s="501"/>
    </row>
    <row r="43426" spans="25:25" hidden="1" x14ac:dyDescent="0.25">
      <c r="Y43426" s="501"/>
    </row>
    <row r="43427" spans="25:25" hidden="1" x14ac:dyDescent="0.25">
      <c r="Y43427" s="501"/>
    </row>
    <row r="43428" spans="25:25" hidden="1" x14ac:dyDescent="0.25">
      <c r="Y43428" s="501"/>
    </row>
    <row r="43429" spans="25:25" hidden="1" x14ac:dyDescent="0.25">
      <c r="Y43429" s="501"/>
    </row>
    <row r="43430" spans="25:25" hidden="1" x14ac:dyDescent="0.25">
      <c r="Y43430" s="501"/>
    </row>
    <row r="43431" spans="25:25" hidden="1" x14ac:dyDescent="0.25">
      <c r="Y43431" s="501"/>
    </row>
    <row r="43432" spans="25:25" hidden="1" x14ac:dyDescent="0.25">
      <c r="Y43432" s="501"/>
    </row>
    <row r="43433" spans="25:25" hidden="1" x14ac:dyDescent="0.25">
      <c r="Y43433" s="501"/>
    </row>
    <row r="43434" spans="25:25" hidden="1" x14ac:dyDescent="0.25">
      <c r="Y43434" s="501"/>
    </row>
    <row r="43435" spans="25:25" hidden="1" x14ac:dyDescent="0.25">
      <c r="Y43435" s="501"/>
    </row>
    <row r="43436" spans="25:25" hidden="1" x14ac:dyDescent="0.25">
      <c r="Y43436" s="501"/>
    </row>
    <row r="43437" spans="25:25" hidden="1" x14ac:dyDescent="0.25">
      <c r="Y43437" s="501"/>
    </row>
    <row r="43438" spans="25:25" hidden="1" x14ac:dyDescent="0.25">
      <c r="Y43438" s="501"/>
    </row>
    <row r="43439" spans="25:25" hidden="1" x14ac:dyDescent="0.25">
      <c r="Y43439" s="501"/>
    </row>
    <row r="43440" spans="25:25" hidden="1" x14ac:dyDescent="0.25">
      <c r="Y43440" s="501"/>
    </row>
    <row r="43441" spans="25:25" hidden="1" x14ac:dyDescent="0.25">
      <c r="Y43441" s="501"/>
    </row>
    <row r="43442" spans="25:25" hidden="1" x14ac:dyDescent="0.25">
      <c r="Y43442" s="501"/>
    </row>
    <row r="43443" spans="25:25" hidden="1" x14ac:dyDescent="0.25">
      <c r="Y43443" s="501"/>
    </row>
    <row r="43444" spans="25:25" hidden="1" x14ac:dyDescent="0.25">
      <c r="Y43444" s="501"/>
    </row>
    <row r="43445" spans="25:25" hidden="1" x14ac:dyDescent="0.25">
      <c r="Y43445" s="501"/>
    </row>
    <row r="43446" spans="25:25" hidden="1" x14ac:dyDescent="0.25">
      <c r="Y43446" s="501"/>
    </row>
    <row r="43447" spans="25:25" hidden="1" x14ac:dyDescent="0.25">
      <c r="Y43447" s="501"/>
    </row>
    <row r="43448" spans="25:25" hidden="1" x14ac:dyDescent="0.25">
      <c r="Y43448" s="501"/>
    </row>
    <row r="43449" spans="25:25" hidden="1" x14ac:dyDescent="0.25">
      <c r="Y43449" s="501"/>
    </row>
    <row r="43450" spans="25:25" hidden="1" x14ac:dyDescent="0.25">
      <c r="Y43450" s="501"/>
    </row>
    <row r="43451" spans="25:25" hidden="1" x14ac:dyDescent="0.25">
      <c r="Y43451" s="501"/>
    </row>
    <row r="43452" spans="25:25" hidden="1" x14ac:dyDescent="0.25">
      <c r="Y43452" s="501"/>
    </row>
    <row r="43453" spans="25:25" hidden="1" x14ac:dyDescent="0.25">
      <c r="Y43453" s="501"/>
    </row>
    <row r="43454" spans="25:25" hidden="1" x14ac:dyDescent="0.25">
      <c r="Y43454" s="501"/>
    </row>
    <row r="43455" spans="25:25" hidden="1" x14ac:dyDescent="0.25">
      <c r="Y43455" s="501"/>
    </row>
    <row r="43456" spans="25:25" hidden="1" x14ac:dyDescent="0.25">
      <c r="Y43456" s="501"/>
    </row>
    <row r="43457" spans="25:25" hidden="1" x14ac:dyDescent="0.25">
      <c r="Y43457" s="501"/>
    </row>
    <row r="43458" spans="25:25" hidden="1" x14ac:dyDescent="0.25">
      <c r="Y43458" s="501"/>
    </row>
    <row r="43459" spans="25:25" hidden="1" x14ac:dyDescent="0.25">
      <c r="Y43459" s="501"/>
    </row>
    <row r="43460" spans="25:25" hidden="1" x14ac:dyDescent="0.25">
      <c r="Y43460" s="501"/>
    </row>
    <row r="43461" spans="25:25" hidden="1" x14ac:dyDescent="0.25">
      <c r="Y43461" s="501"/>
    </row>
    <row r="43462" spans="25:25" hidden="1" x14ac:dyDescent="0.25">
      <c r="Y43462" s="501"/>
    </row>
    <row r="43463" spans="25:25" hidden="1" x14ac:dyDescent="0.25">
      <c r="Y43463" s="501"/>
    </row>
    <row r="43464" spans="25:25" hidden="1" x14ac:dyDescent="0.25">
      <c r="Y43464" s="501"/>
    </row>
    <row r="43465" spans="25:25" hidden="1" x14ac:dyDescent="0.25">
      <c r="Y43465" s="501"/>
    </row>
    <row r="43466" spans="25:25" hidden="1" x14ac:dyDescent="0.25">
      <c r="Y43466" s="501"/>
    </row>
    <row r="43467" spans="25:25" hidden="1" x14ac:dyDescent="0.25">
      <c r="Y43467" s="501"/>
    </row>
    <row r="43468" spans="25:25" hidden="1" x14ac:dyDescent="0.25">
      <c r="Y43468" s="501"/>
    </row>
    <row r="43469" spans="25:25" hidden="1" x14ac:dyDescent="0.25">
      <c r="Y43469" s="501"/>
    </row>
    <row r="43470" spans="25:25" hidden="1" x14ac:dyDescent="0.25">
      <c r="Y43470" s="501"/>
    </row>
    <row r="43471" spans="25:25" hidden="1" x14ac:dyDescent="0.25">
      <c r="Y43471" s="501"/>
    </row>
    <row r="43472" spans="25:25" hidden="1" x14ac:dyDescent="0.25">
      <c r="Y43472" s="501"/>
    </row>
    <row r="43473" spans="25:25" hidden="1" x14ac:dyDescent="0.25">
      <c r="Y43473" s="501"/>
    </row>
    <row r="43474" spans="25:25" hidden="1" x14ac:dyDescent="0.25">
      <c r="Y43474" s="501"/>
    </row>
    <row r="43475" spans="25:25" hidden="1" x14ac:dyDescent="0.25">
      <c r="Y43475" s="501"/>
    </row>
    <row r="43476" spans="25:25" hidden="1" x14ac:dyDescent="0.25">
      <c r="Y43476" s="501"/>
    </row>
    <row r="43477" spans="25:25" hidden="1" x14ac:dyDescent="0.25">
      <c r="Y43477" s="501"/>
    </row>
    <row r="43478" spans="25:25" hidden="1" x14ac:dyDescent="0.25">
      <c r="Y43478" s="501"/>
    </row>
    <row r="43479" spans="25:25" hidden="1" x14ac:dyDescent="0.25">
      <c r="Y43479" s="501"/>
    </row>
    <row r="43480" spans="25:25" hidden="1" x14ac:dyDescent="0.25">
      <c r="Y43480" s="501"/>
    </row>
    <row r="43481" spans="25:25" hidden="1" x14ac:dyDescent="0.25">
      <c r="Y43481" s="501"/>
    </row>
    <row r="43482" spans="25:25" hidden="1" x14ac:dyDescent="0.25">
      <c r="Y43482" s="501"/>
    </row>
    <row r="43483" spans="25:25" hidden="1" x14ac:dyDescent="0.25">
      <c r="Y43483" s="501"/>
    </row>
    <row r="43484" spans="25:25" hidden="1" x14ac:dyDescent="0.25">
      <c r="Y43484" s="501"/>
    </row>
    <row r="43485" spans="25:25" hidden="1" x14ac:dyDescent="0.25">
      <c r="Y43485" s="501"/>
    </row>
    <row r="43486" spans="25:25" hidden="1" x14ac:dyDescent="0.25">
      <c r="Y43486" s="501"/>
    </row>
    <row r="43487" spans="25:25" hidden="1" x14ac:dyDescent="0.25">
      <c r="Y43487" s="501"/>
    </row>
    <row r="43488" spans="25:25" hidden="1" x14ac:dyDescent="0.25">
      <c r="Y43488" s="501"/>
    </row>
    <row r="43489" spans="25:25" hidden="1" x14ac:dyDescent="0.25">
      <c r="Y43489" s="501"/>
    </row>
    <row r="43490" spans="25:25" hidden="1" x14ac:dyDescent="0.25">
      <c r="Y43490" s="501"/>
    </row>
    <row r="43491" spans="25:25" hidden="1" x14ac:dyDescent="0.25">
      <c r="Y43491" s="501"/>
    </row>
    <row r="43492" spans="25:25" hidden="1" x14ac:dyDescent="0.25">
      <c r="Y43492" s="501"/>
    </row>
    <row r="43493" spans="25:25" hidden="1" x14ac:dyDescent="0.25">
      <c r="Y43493" s="501"/>
    </row>
    <row r="43494" spans="25:25" hidden="1" x14ac:dyDescent="0.25">
      <c r="Y43494" s="501"/>
    </row>
    <row r="43495" spans="25:25" hidden="1" x14ac:dyDescent="0.25">
      <c r="Y43495" s="501"/>
    </row>
    <row r="43496" spans="25:25" hidden="1" x14ac:dyDescent="0.25">
      <c r="Y43496" s="501"/>
    </row>
    <row r="43497" spans="25:25" hidden="1" x14ac:dyDescent="0.25">
      <c r="Y43497" s="501"/>
    </row>
    <row r="43498" spans="25:25" hidden="1" x14ac:dyDescent="0.25">
      <c r="Y43498" s="501"/>
    </row>
    <row r="43499" spans="25:25" hidden="1" x14ac:dyDescent="0.25">
      <c r="Y43499" s="501"/>
    </row>
    <row r="43500" spans="25:25" hidden="1" x14ac:dyDescent="0.25">
      <c r="Y43500" s="501"/>
    </row>
    <row r="43501" spans="25:25" hidden="1" x14ac:dyDescent="0.25">
      <c r="Y43501" s="501"/>
    </row>
    <row r="43502" spans="25:25" hidden="1" x14ac:dyDescent="0.25">
      <c r="Y43502" s="501"/>
    </row>
    <row r="43503" spans="25:25" hidden="1" x14ac:dyDescent="0.25">
      <c r="Y43503" s="501"/>
    </row>
    <row r="43504" spans="25:25" hidden="1" x14ac:dyDescent="0.25">
      <c r="Y43504" s="501"/>
    </row>
    <row r="43505" spans="25:25" hidden="1" x14ac:dyDescent="0.25">
      <c r="Y43505" s="501"/>
    </row>
    <row r="43506" spans="25:25" hidden="1" x14ac:dyDescent="0.25">
      <c r="Y43506" s="501"/>
    </row>
    <row r="43507" spans="25:25" hidden="1" x14ac:dyDescent="0.25">
      <c r="Y43507" s="501"/>
    </row>
    <row r="43508" spans="25:25" hidden="1" x14ac:dyDescent="0.25">
      <c r="Y43508" s="501"/>
    </row>
    <row r="43509" spans="25:25" hidden="1" x14ac:dyDescent="0.25">
      <c r="Y43509" s="501"/>
    </row>
    <row r="43510" spans="25:25" hidden="1" x14ac:dyDescent="0.25">
      <c r="Y43510" s="501"/>
    </row>
    <row r="43511" spans="25:25" hidden="1" x14ac:dyDescent="0.25">
      <c r="Y43511" s="501"/>
    </row>
    <row r="43512" spans="25:25" hidden="1" x14ac:dyDescent="0.25">
      <c r="Y43512" s="501"/>
    </row>
    <row r="43513" spans="25:25" hidden="1" x14ac:dyDescent="0.25">
      <c r="Y43513" s="501"/>
    </row>
    <row r="43514" spans="25:25" hidden="1" x14ac:dyDescent="0.25">
      <c r="Y43514" s="501"/>
    </row>
    <row r="43515" spans="25:25" hidden="1" x14ac:dyDescent="0.25">
      <c r="Y43515" s="501"/>
    </row>
    <row r="43516" spans="25:25" hidden="1" x14ac:dyDescent="0.25">
      <c r="Y43516" s="501"/>
    </row>
    <row r="43517" spans="25:25" hidden="1" x14ac:dyDescent="0.25">
      <c r="Y43517" s="501"/>
    </row>
    <row r="43518" spans="25:25" hidden="1" x14ac:dyDescent="0.25">
      <c r="Y43518" s="501"/>
    </row>
    <row r="43519" spans="25:25" hidden="1" x14ac:dyDescent="0.25">
      <c r="Y43519" s="501"/>
    </row>
    <row r="43520" spans="25:25" hidden="1" x14ac:dyDescent="0.25">
      <c r="Y43520" s="501"/>
    </row>
    <row r="43521" spans="25:25" hidden="1" x14ac:dyDescent="0.25">
      <c r="Y43521" s="501"/>
    </row>
    <row r="43522" spans="25:25" hidden="1" x14ac:dyDescent="0.25">
      <c r="Y43522" s="501"/>
    </row>
    <row r="43523" spans="25:25" hidden="1" x14ac:dyDescent="0.25">
      <c r="Y43523" s="501"/>
    </row>
    <row r="43524" spans="25:25" hidden="1" x14ac:dyDescent="0.25">
      <c r="Y43524" s="501"/>
    </row>
    <row r="43525" spans="25:25" hidden="1" x14ac:dyDescent="0.25">
      <c r="Y43525" s="501"/>
    </row>
    <row r="43526" spans="25:25" hidden="1" x14ac:dyDescent="0.25">
      <c r="Y43526" s="501"/>
    </row>
    <row r="43527" spans="25:25" hidden="1" x14ac:dyDescent="0.25">
      <c r="Y43527" s="501"/>
    </row>
    <row r="43528" spans="25:25" hidden="1" x14ac:dyDescent="0.25">
      <c r="Y43528" s="501"/>
    </row>
    <row r="43529" spans="25:25" hidden="1" x14ac:dyDescent="0.25">
      <c r="Y43529" s="501"/>
    </row>
    <row r="43530" spans="25:25" hidden="1" x14ac:dyDescent="0.25">
      <c r="Y43530" s="501"/>
    </row>
    <row r="43531" spans="25:25" hidden="1" x14ac:dyDescent="0.25">
      <c r="Y43531" s="501"/>
    </row>
    <row r="43532" spans="25:25" hidden="1" x14ac:dyDescent="0.25">
      <c r="Y43532" s="501"/>
    </row>
    <row r="43533" spans="25:25" hidden="1" x14ac:dyDescent="0.25">
      <c r="Y43533" s="501"/>
    </row>
    <row r="43534" spans="25:25" hidden="1" x14ac:dyDescent="0.25">
      <c r="Y43534" s="501"/>
    </row>
    <row r="43535" spans="25:25" hidden="1" x14ac:dyDescent="0.25">
      <c r="Y43535" s="501"/>
    </row>
    <row r="43536" spans="25:25" hidden="1" x14ac:dyDescent="0.25">
      <c r="Y43536" s="501"/>
    </row>
    <row r="43537" spans="25:25" hidden="1" x14ac:dyDescent="0.25">
      <c r="Y43537" s="501"/>
    </row>
    <row r="43538" spans="25:25" hidden="1" x14ac:dyDescent="0.25">
      <c r="Y43538" s="501"/>
    </row>
    <row r="43539" spans="25:25" hidden="1" x14ac:dyDescent="0.25">
      <c r="Y43539" s="501"/>
    </row>
    <row r="43540" spans="25:25" hidden="1" x14ac:dyDescent="0.25">
      <c r="Y43540" s="501"/>
    </row>
    <row r="43541" spans="25:25" hidden="1" x14ac:dyDescent="0.25">
      <c r="Y43541" s="501"/>
    </row>
    <row r="43542" spans="25:25" hidden="1" x14ac:dyDescent="0.25">
      <c r="Y43542" s="501"/>
    </row>
    <row r="43543" spans="25:25" hidden="1" x14ac:dyDescent="0.25">
      <c r="Y43543" s="501"/>
    </row>
    <row r="43544" spans="25:25" hidden="1" x14ac:dyDescent="0.25">
      <c r="Y43544" s="501"/>
    </row>
    <row r="43545" spans="25:25" hidden="1" x14ac:dyDescent="0.25">
      <c r="Y43545" s="501"/>
    </row>
    <row r="43546" spans="25:25" hidden="1" x14ac:dyDescent="0.25">
      <c r="Y43546" s="501"/>
    </row>
    <row r="43547" spans="25:25" hidden="1" x14ac:dyDescent="0.25">
      <c r="Y43547" s="501"/>
    </row>
    <row r="43548" spans="25:25" hidden="1" x14ac:dyDescent="0.25">
      <c r="Y43548" s="501"/>
    </row>
    <row r="43549" spans="25:25" hidden="1" x14ac:dyDescent="0.25">
      <c r="Y43549" s="501"/>
    </row>
    <row r="43550" spans="25:25" hidden="1" x14ac:dyDescent="0.25">
      <c r="Y43550" s="501"/>
    </row>
    <row r="43551" spans="25:25" hidden="1" x14ac:dyDescent="0.25">
      <c r="Y43551" s="501"/>
    </row>
    <row r="43552" spans="25:25" hidden="1" x14ac:dyDescent="0.25">
      <c r="Y43552" s="501"/>
    </row>
    <row r="43553" spans="25:25" hidden="1" x14ac:dyDescent="0.25">
      <c r="Y43553" s="501"/>
    </row>
    <row r="43554" spans="25:25" hidden="1" x14ac:dyDescent="0.25">
      <c r="Y43554" s="501"/>
    </row>
    <row r="43555" spans="25:25" hidden="1" x14ac:dyDescent="0.25">
      <c r="Y43555" s="501"/>
    </row>
    <row r="43556" spans="25:25" hidden="1" x14ac:dyDescent="0.25">
      <c r="Y43556" s="501"/>
    </row>
    <row r="43557" spans="25:25" hidden="1" x14ac:dyDescent="0.25">
      <c r="Y43557" s="501"/>
    </row>
    <row r="43558" spans="25:25" hidden="1" x14ac:dyDescent="0.25">
      <c r="Y43558" s="501"/>
    </row>
    <row r="43559" spans="25:25" hidden="1" x14ac:dyDescent="0.25">
      <c r="Y43559" s="501"/>
    </row>
    <row r="43560" spans="25:25" hidden="1" x14ac:dyDescent="0.25">
      <c r="Y43560" s="501"/>
    </row>
    <row r="43561" spans="25:25" hidden="1" x14ac:dyDescent="0.25">
      <c r="Y43561" s="501"/>
    </row>
    <row r="43562" spans="25:25" hidden="1" x14ac:dyDescent="0.25">
      <c r="Y43562" s="501"/>
    </row>
    <row r="43563" spans="25:25" hidden="1" x14ac:dyDescent="0.25">
      <c r="Y43563" s="501"/>
    </row>
    <row r="43564" spans="25:25" hidden="1" x14ac:dyDescent="0.25">
      <c r="Y43564" s="501"/>
    </row>
    <row r="43565" spans="25:25" hidden="1" x14ac:dyDescent="0.25">
      <c r="Y43565" s="501"/>
    </row>
    <row r="43566" spans="25:25" hidden="1" x14ac:dyDescent="0.25">
      <c r="Y43566" s="501"/>
    </row>
    <row r="43567" spans="25:25" hidden="1" x14ac:dyDescent="0.25">
      <c r="Y43567" s="501"/>
    </row>
    <row r="43568" spans="25:25" hidden="1" x14ac:dyDescent="0.25">
      <c r="Y43568" s="501"/>
    </row>
    <row r="43569" spans="25:25" hidden="1" x14ac:dyDescent="0.25">
      <c r="Y43569" s="501"/>
    </row>
    <row r="43570" spans="25:25" hidden="1" x14ac:dyDescent="0.25">
      <c r="Y43570" s="501"/>
    </row>
    <row r="43571" spans="25:25" hidden="1" x14ac:dyDescent="0.25">
      <c r="Y43571" s="501"/>
    </row>
    <row r="43572" spans="25:25" hidden="1" x14ac:dyDescent="0.25">
      <c r="Y43572" s="501"/>
    </row>
    <row r="43573" spans="25:25" hidden="1" x14ac:dyDescent="0.25">
      <c r="Y43573" s="501"/>
    </row>
    <row r="43574" spans="25:25" hidden="1" x14ac:dyDescent="0.25">
      <c r="Y43574" s="501"/>
    </row>
    <row r="43575" spans="25:25" hidden="1" x14ac:dyDescent="0.25">
      <c r="Y43575" s="501"/>
    </row>
    <row r="43576" spans="25:25" hidden="1" x14ac:dyDescent="0.25">
      <c r="Y43576" s="501"/>
    </row>
    <row r="43577" spans="25:25" hidden="1" x14ac:dyDescent="0.25">
      <c r="Y43577" s="501"/>
    </row>
    <row r="43578" spans="25:25" hidden="1" x14ac:dyDescent="0.25">
      <c r="Y43578" s="501"/>
    </row>
    <row r="43579" spans="25:25" hidden="1" x14ac:dyDescent="0.25">
      <c r="Y43579" s="501"/>
    </row>
    <row r="43580" spans="25:25" hidden="1" x14ac:dyDescent="0.25">
      <c r="Y43580" s="501"/>
    </row>
    <row r="43581" spans="25:25" hidden="1" x14ac:dyDescent="0.25">
      <c r="Y43581" s="501"/>
    </row>
    <row r="43582" spans="25:25" hidden="1" x14ac:dyDescent="0.25">
      <c r="Y43582" s="501"/>
    </row>
    <row r="43583" spans="25:25" hidden="1" x14ac:dyDescent="0.25">
      <c r="Y43583" s="501"/>
    </row>
    <row r="43584" spans="25:25" hidden="1" x14ac:dyDescent="0.25">
      <c r="Y43584" s="501"/>
    </row>
    <row r="43585" spans="25:25" hidden="1" x14ac:dyDescent="0.25">
      <c r="Y43585" s="501"/>
    </row>
    <row r="43586" spans="25:25" hidden="1" x14ac:dyDescent="0.25">
      <c r="Y43586" s="501"/>
    </row>
    <row r="43587" spans="25:25" hidden="1" x14ac:dyDescent="0.25">
      <c r="Y43587" s="501"/>
    </row>
    <row r="43588" spans="25:25" hidden="1" x14ac:dyDescent="0.25">
      <c r="Y43588" s="501"/>
    </row>
    <row r="43589" spans="25:25" hidden="1" x14ac:dyDescent="0.25">
      <c r="Y43589" s="501"/>
    </row>
    <row r="43590" spans="25:25" hidden="1" x14ac:dyDescent="0.25">
      <c r="Y43590" s="501"/>
    </row>
    <row r="43591" spans="25:25" hidden="1" x14ac:dyDescent="0.25">
      <c r="Y43591" s="501"/>
    </row>
    <row r="43592" spans="25:25" hidden="1" x14ac:dyDescent="0.25">
      <c r="Y43592" s="501"/>
    </row>
    <row r="43593" spans="25:25" hidden="1" x14ac:dyDescent="0.25">
      <c r="Y43593" s="501"/>
    </row>
    <row r="43594" spans="25:25" hidden="1" x14ac:dyDescent="0.25">
      <c r="Y43594" s="501"/>
    </row>
    <row r="43595" spans="25:25" hidden="1" x14ac:dyDescent="0.25">
      <c r="Y43595" s="501"/>
    </row>
    <row r="43596" spans="25:25" hidden="1" x14ac:dyDescent="0.25">
      <c r="Y43596" s="501"/>
    </row>
    <row r="43597" spans="25:25" hidden="1" x14ac:dyDescent="0.25">
      <c r="Y43597" s="501"/>
    </row>
    <row r="43598" spans="25:25" hidden="1" x14ac:dyDescent="0.25">
      <c r="Y43598" s="501"/>
    </row>
    <row r="43599" spans="25:25" hidden="1" x14ac:dyDescent="0.25">
      <c r="Y43599" s="501"/>
    </row>
    <row r="43600" spans="25:25" hidden="1" x14ac:dyDescent="0.25">
      <c r="Y43600" s="501"/>
    </row>
    <row r="43601" spans="25:25" hidden="1" x14ac:dyDescent="0.25">
      <c r="Y43601" s="501"/>
    </row>
    <row r="43602" spans="25:25" hidden="1" x14ac:dyDescent="0.25">
      <c r="Y43602" s="501"/>
    </row>
    <row r="43603" spans="25:25" hidden="1" x14ac:dyDescent="0.25">
      <c r="Y43603" s="501"/>
    </row>
    <row r="43604" spans="25:25" hidden="1" x14ac:dyDescent="0.25">
      <c r="Y43604" s="501"/>
    </row>
    <row r="43605" spans="25:25" hidden="1" x14ac:dyDescent="0.25">
      <c r="Y43605" s="501"/>
    </row>
    <row r="43606" spans="25:25" hidden="1" x14ac:dyDescent="0.25">
      <c r="Y43606" s="501"/>
    </row>
    <row r="43607" spans="25:25" hidden="1" x14ac:dyDescent="0.25">
      <c r="Y43607" s="501"/>
    </row>
    <row r="43608" spans="25:25" hidden="1" x14ac:dyDescent="0.25">
      <c r="Y43608" s="501"/>
    </row>
    <row r="43609" spans="25:25" hidden="1" x14ac:dyDescent="0.25">
      <c r="Y43609" s="501"/>
    </row>
    <row r="43610" spans="25:25" hidden="1" x14ac:dyDescent="0.25">
      <c r="Y43610" s="501"/>
    </row>
    <row r="43611" spans="25:25" hidden="1" x14ac:dyDescent="0.25">
      <c r="Y43611" s="501"/>
    </row>
    <row r="43612" spans="25:25" hidden="1" x14ac:dyDescent="0.25">
      <c r="Y43612" s="501"/>
    </row>
    <row r="43613" spans="25:25" hidden="1" x14ac:dyDescent="0.25">
      <c r="Y43613" s="501"/>
    </row>
    <row r="43614" spans="25:25" hidden="1" x14ac:dyDescent="0.25">
      <c r="Y43614" s="501"/>
    </row>
    <row r="43615" spans="25:25" hidden="1" x14ac:dyDescent="0.25">
      <c r="Y43615" s="501"/>
    </row>
    <row r="43616" spans="25:25" hidden="1" x14ac:dyDescent="0.25">
      <c r="Y43616" s="501"/>
    </row>
    <row r="43617" spans="25:25" hidden="1" x14ac:dyDescent="0.25">
      <c r="Y43617" s="501"/>
    </row>
    <row r="43618" spans="25:25" hidden="1" x14ac:dyDescent="0.25">
      <c r="Y43618" s="501"/>
    </row>
    <row r="43619" spans="25:25" hidden="1" x14ac:dyDescent="0.25">
      <c r="Y43619" s="501"/>
    </row>
    <row r="43620" spans="25:25" hidden="1" x14ac:dyDescent="0.25">
      <c r="Y43620" s="501"/>
    </row>
    <row r="43621" spans="25:25" hidden="1" x14ac:dyDescent="0.25">
      <c r="Y43621" s="501"/>
    </row>
    <row r="43622" spans="25:25" hidden="1" x14ac:dyDescent="0.25">
      <c r="Y43622" s="501"/>
    </row>
    <row r="43623" spans="25:25" hidden="1" x14ac:dyDescent="0.25">
      <c r="Y43623" s="501"/>
    </row>
    <row r="43624" spans="25:25" hidden="1" x14ac:dyDescent="0.25">
      <c r="Y43624" s="501"/>
    </row>
    <row r="43625" spans="25:25" hidden="1" x14ac:dyDescent="0.25">
      <c r="Y43625" s="501"/>
    </row>
    <row r="43626" spans="25:25" hidden="1" x14ac:dyDescent="0.25">
      <c r="Y43626" s="501"/>
    </row>
    <row r="43627" spans="25:25" hidden="1" x14ac:dyDescent="0.25">
      <c r="Y43627" s="501"/>
    </row>
    <row r="43628" spans="25:25" hidden="1" x14ac:dyDescent="0.25">
      <c r="Y43628" s="501"/>
    </row>
    <row r="43629" spans="25:25" hidden="1" x14ac:dyDescent="0.25">
      <c r="Y43629" s="501"/>
    </row>
    <row r="43630" spans="25:25" hidden="1" x14ac:dyDescent="0.25">
      <c r="Y43630" s="501"/>
    </row>
    <row r="43631" spans="25:25" hidden="1" x14ac:dyDescent="0.25">
      <c r="Y43631" s="501"/>
    </row>
    <row r="43632" spans="25:25" hidden="1" x14ac:dyDescent="0.25">
      <c r="Y43632" s="501"/>
    </row>
    <row r="43633" spans="25:25" hidden="1" x14ac:dyDescent="0.25">
      <c r="Y43633" s="501"/>
    </row>
    <row r="43634" spans="25:25" hidden="1" x14ac:dyDescent="0.25">
      <c r="Y43634" s="501"/>
    </row>
    <row r="43635" spans="25:25" hidden="1" x14ac:dyDescent="0.25">
      <c r="Y43635" s="501"/>
    </row>
    <row r="43636" spans="25:25" hidden="1" x14ac:dyDescent="0.25">
      <c r="Y43636" s="501"/>
    </row>
    <row r="43637" spans="25:25" hidden="1" x14ac:dyDescent="0.25">
      <c r="Y43637" s="501"/>
    </row>
    <row r="43638" spans="25:25" hidden="1" x14ac:dyDescent="0.25">
      <c r="Y43638" s="501"/>
    </row>
    <row r="43639" spans="25:25" hidden="1" x14ac:dyDescent="0.25">
      <c r="Y43639" s="501"/>
    </row>
    <row r="43640" spans="25:25" hidden="1" x14ac:dyDescent="0.25">
      <c r="Y43640" s="501"/>
    </row>
    <row r="43641" spans="25:25" hidden="1" x14ac:dyDescent="0.25">
      <c r="Y43641" s="501"/>
    </row>
    <row r="43642" spans="25:25" hidden="1" x14ac:dyDescent="0.25">
      <c r="Y43642" s="501"/>
    </row>
    <row r="43643" spans="25:25" hidden="1" x14ac:dyDescent="0.25">
      <c r="Y43643" s="501"/>
    </row>
    <row r="43644" spans="25:25" hidden="1" x14ac:dyDescent="0.25">
      <c r="Y43644" s="501"/>
    </row>
    <row r="43645" spans="25:25" hidden="1" x14ac:dyDescent="0.25">
      <c r="Y43645" s="501"/>
    </row>
    <row r="43646" spans="25:25" hidden="1" x14ac:dyDescent="0.25">
      <c r="Y43646" s="501"/>
    </row>
    <row r="43647" spans="25:25" hidden="1" x14ac:dyDescent="0.25">
      <c r="Y43647" s="501"/>
    </row>
    <row r="43648" spans="25:25" hidden="1" x14ac:dyDescent="0.25">
      <c r="Y43648" s="501"/>
    </row>
    <row r="43649" spans="25:25" hidden="1" x14ac:dyDescent="0.25">
      <c r="Y43649" s="501"/>
    </row>
    <row r="43650" spans="25:25" hidden="1" x14ac:dyDescent="0.25">
      <c r="Y43650" s="501"/>
    </row>
    <row r="43651" spans="25:25" hidden="1" x14ac:dyDescent="0.25">
      <c r="Y43651" s="501"/>
    </row>
    <row r="43652" spans="25:25" hidden="1" x14ac:dyDescent="0.25">
      <c r="Y43652" s="501"/>
    </row>
    <row r="43653" spans="25:25" hidden="1" x14ac:dyDescent="0.25">
      <c r="Y43653" s="501"/>
    </row>
    <row r="43654" spans="25:25" hidden="1" x14ac:dyDescent="0.25">
      <c r="Y43654" s="501"/>
    </row>
    <row r="43655" spans="25:25" hidden="1" x14ac:dyDescent="0.25">
      <c r="Y43655" s="501"/>
    </row>
    <row r="43656" spans="25:25" hidden="1" x14ac:dyDescent="0.25">
      <c r="Y43656" s="501"/>
    </row>
    <row r="43657" spans="25:25" hidden="1" x14ac:dyDescent="0.25">
      <c r="Y43657" s="501"/>
    </row>
    <row r="43658" spans="25:25" hidden="1" x14ac:dyDescent="0.25">
      <c r="Y43658" s="501"/>
    </row>
    <row r="43659" spans="25:25" hidden="1" x14ac:dyDescent="0.25">
      <c r="Y43659" s="501"/>
    </row>
    <row r="43660" spans="25:25" hidden="1" x14ac:dyDescent="0.25">
      <c r="Y43660" s="501"/>
    </row>
    <row r="43661" spans="25:25" hidden="1" x14ac:dyDescent="0.25">
      <c r="Y43661" s="501"/>
    </row>
    <row r="43662" spans="25:25" hidden="1" x14ac:dyDescent="0.25">
      <c r="Y43662" s="501"/>
    </row>
    <row r="43663" spans="25:25" hidden="1" x14ac:dyDescent="0.25">
      <c r="Y43663" s="501"/>
    </row>
    <row r="43664" spans="25:25" hidden="1" x14ac:dyDescent="0.25">
      <c r="Y43664" s="501"/>
    </row>
    <row r="43665" spans="25:25" hidden="1" x14ac:dyDescent="0.25">
      <c r="Y43665" s="501"/>
    </row>
    <row r="43666" spans="25:25" hidden="1" x14ac:dyDescent="0.25">
      <c r="Y43666" s="501"/>
    </row>
    <row r="43667" spans="25:25" hidden="1" x14ac:dyDescent="0.25">
      <c r="Y43667" s="501"/>
    </row>
    <row r="43668" spans="25:25" hidden="1" x14ac:dyDescent="0.25">
      <c r="Y43668" s="501"/>
    </row>
    <row r="43669" spans="25:25" hidden="1" x14ac:dyDescent="0.25">
      <c r="Y43669" s="501"/>
    </row>
    <row r="43670" spans="25:25" hidden="1" x14ac:dyDescent="0.25">
      <c r="Y43670" s="501"/>
    </row>
    <row r="43671" spans="25:25" hidden="1" x14ac:dyDescent="0.25">
      <c r="Y43671" s="501"/>
    </row>
    <row r="43672" spans="25:25" hidden="1" x14ac:dyDescent="0.25">
      <c r="Y43672" s="501"/>
    </row>
    <row r="43673" spans="25:25" hidden="1" x14ac:dyDescent="0.25">
      <c r="Y43673" s="501"/>
    </row>
    <row r="43674" spans="25:25" hidden="1" x14ac:dyDescent="0.25">
      <c r="Y43674" s="501"/>
    </row>
    <row r="43675" spans="25:25" hidden="1" x14ac:dyDescent="0.25">
      <c r="Y43675" s="501"/>
    </row>
    <row r="43676" spans="25:25" hidden="1" x14ac:dyDescent="0.25">
      <c r="Y43676" s="501"/>
    </row>
    <row r="43677" spans="25:25" hidden="1" x14ac:dyDescent="0.25">
      <c r="Y43677" s="501"/>
    </row>
    <row r="43678" spans="25:25" hidden="1" x14ac:dyDescent="0.25">
      <c r="Y43678" s="501"/>
    </row>
    <row r="43679" spans="25:25" hidden="1" x14ac:dyDescent="0.25">
      <c r="Y43679" s="501"/>
    </row>
    <row r="43680" spans="25:25" hidden="1" x14ac:dyDescent="0.25">
      <c r="Y43680" s="501"/>
    </row>
    <row r="43681" spans="25:25" hidden="1" x14ac:dyDescent="0.25">
      <c r="Y43681" s="501"/>
    </row>
    <row r="43682" spans="25:25" hidden="1" x14ac:dyDescent="0.25">
      <c r="Y43682" s="501"/>
    </row>
    <row r="43683" spans="25:25" hidden="1" x14ac:dyDescent="0.25">
      <c r="Y43683" s="501"/>
    </row>
    <row r="43684" spans="25:25" hidden="1" x14ac:dyDescent="0.25">
      <c r="Y43684" s="501"/>
    </row>
    <row r="43685" spans="25:25" hidden="1" x14ac:dyDescent="0.25">
      <c r="Y43685" s="501"/>
    </row>
    <row r="43686" spans="25:25" hidden="1" x14ac:dyDescent="0.25">
      <c r="Y43686" s="501"/>
    </row>
    <row r="43687" spans="25:25" hidden="1" x14ac:dyDescent="0.25">
      <c r="Y43687" s="501"/>
    </row>
    <row r="43688" spans="25:25" hidden="1" x14ac:dyDescent="0.25">
      <c r="Y43688" s="501"/>
    </row>
    <row r="43689" spans="25:25" hidden="1" x14ac:dyDescent="0.25">
      <c r="Y43689" s="501"/>
    </row>
    <row r="43690" spans="25:25" hidden="1" x14ac:dyDescent="0.25">
      <c r="Y43690" s="501"/>
    </row>
    <row r="43691" spans="25:25" hidden="1" x14ac:dyDescent="0.25">
      <c r="Y43691" s="501"/>
    </row>
    <row r="43692" spans="25:25" hidden="1" x14ac:dyDescent="0.25">
      <c r="Y43692" s="501"/>
    </row>
    <row r="43693" spans="25:25" hidden="1" x14ac:dyDescent="0.25">
      <c r="Y43693" s="501"/>
    </row>
    <row r="43694" spans="25:25" hidden="1" x14ac:dyDescent="0.25">
      <c r="Y43694" s="501"/>
    </row>
    <row r="43695" spans="25:25" hidden="1" x14ac:dyDescent="0.25">
      <c r="Y43695" s="501"/>
    </row>
    <row r="43696" spans="25:25" hidden="1" x14ac:dyDescent="0.25">
      <c r="Y43696" s="501"/>
    </row>
    <row r="43697" spans="25:25" hidden="1" x14ac:dyDescent="0.25">
      <c r="Y43697" s="501"/>
    </row>
    <row r="43698" spans="25:25" hidden="1" x14ac:dyDescent="0.25">
      <c r="Y43698" s="501"/>
    </row>
    <row r="43699" spans="25:25" hidden="1" x14ac:dyDescent="0.25">
      <c r="Y43699" s="501"/>
    </row>
    <row r="43700" spans="25:25" hidden="1" x14ac:dyDescent="0.25">
      <c r="Y43700" s="501"/>
    </row>
    <row r="43701" spans="25:25" hidden="1" x14ac:dyDescent="0.25">
      <c r="Y43701" s="501"/>
    </row>
    <row r="43702" spans="25:25" hidden="1" x14ac:dyDescent="0.25">
      <c r="Y43702" s="501"/>
    </row>
    <row r="43703" spans="25:25" hidden="1" x14ac:dyDescent="0.25">
      <c r="Y43703" s="501"/>
    </row>
    <row r="43704" spans="25:25" hidden="1" x14ac:dyDescent="0.25">
      <c r="Y43704" s="501"/>
    </row>
    <row r="43705" spans="25:25" hidden="1" x14ac:dyDescent="0.25">
      <c r="Y43705" s="501"/>
    </row>
    <row r="43706" spans="25:25" hidden="1" x14ac:dyDescent="0.25">
      <c r="Y43706" s="501"/>
    </row>
    <row r="43707" spans="25:25" hidden="1" x14ac:dyDescent="0.25">
      <c r="Y43707" s="501"/>
    </row>
    <row r="43708" spans="25:25" hidden="1" x14ac:dyDescent="0.25">
      <c r="Y43708" s="501"/>
    </row>
    <row r="43709" spans="25:25" hidden="1" x14ac:dyDescent="0.25">
      <c r="Y43709" s="501"/>
    </row>
    <row r="43710" spans="25:25" hidden="1" x14ac:dyDescent="0.25">
      <c r="Y43710" s="501"/>
    </row>
    <row r="43711" spans="25:25" hidden="1" x14ac:dyDescent="0.25">
      <c r="Y43711" s="501"/>
    </row>
    <row r="43712" spans="25:25" hidden="1" x14ac:dyDescent="0.25">
      <c r="Y43712" s="501"/>
    </row>
    <row r="43713" spans="25:25" hidden="1" x14ac:dyDescent="0.25">
      <c r="Y43713" s="501"/>
    </row>
    <row r="43714" spans="25:25" hidden="1" x14ac:dyDescent="0.25">
      <c r="Y43714" s="501"/>
    </row>
    <row r="43715" spans="25:25" hidden="1" x14ac:dyDescent="0.25">
      <c r="Y43715" s="501"/>
    </row>
    <row r="43716" spans="25:25" hidden="1" x14ac:dyDescent="0.25">
      <c r="Y43716" s="501"/>
    </row>
    <row r="43717" spans="25:25" hidden="1" x14ac:dyDescent="0.25">
      <c r="Y43717" s="501"/>
    </row>
    <row r="43718" spans="25:25" hidden="1" x14ac:dyDescent="0.25">
      <c r="Y43718" s="501"/>
    </row>
    <row r="43719" spans="25:25" hidden="1" x14ac:dyDescent="0.25">
      <c r="Y43719" s="501"/>
    </row>
    <row r="43720" spans="25:25" hidden="1" x14ac:dyDescent="0.25">
      <c r="Y43720" s="501"/>
    </row>
    <row r="43721" spans="25:25" hidden="1" x14ac:dyDescent="0.25">
      <c r="Y43721" s="501"/>
    </row>
    <row r="43722" spans="25:25" hidden="1" x14ac:dyDescent="0.25">
      <c r="Y43722" s="501"/>
    </row>
    <row r="43723" spans="25:25" hidden="1" x14ac:dyDescent="0.25">
      <c r="Y43723" s="501"/>
    </row>
    <row r="43724" spans="25:25" hidden="1" x14ac:dyDescent="0.25">
      <c r="Y43724" s="501"/>
    </row>
    <row r="43725" spans="25:25" hidden="1" x14ac:dyDescent="0.25">
      <c r="Y43725" s="501"/>
    </row>
    <row r="43726" spans="25:25" hidden="1" x14ac:dyDescent="0.25">
      <c r="Y43726" s="501"/>
    </row>
    <row r="43727" spans="25:25" hidden="1" x14ac:dyDescent="0.25">
      <c r="Y43727" s="501"/>
    </row>
    <row r="43728" spans="25:25" hidden="1" x14ac:dyDescent="0.25">
      <c r="Y43728" s="501"/>
    </row>
    <row r="43729" spans="25:25" hidden="1" x14ac:dyDescent="0.25">
      <c r="Y43729" s="501"/>
    </row>
    <row r="43730" spans="25:25" hidden="1" x14ac:dyDescent="0.25">
      <c r="Y43730" s="501"/>
    </row>
    <row r="43731" spans="25:25" hidden="1" x14ac:dyDescent="0.25">
      <c r="Y43731" s="501"/>
    </row>
    <row r="43732" spans="25:25" hidden="1" x14ac:dyDescent="0.25">
      <c r="Y43732" s="501"/>
    </row>
    <row r="43733" spans="25:25" hidden="1" x14ac:dyDescent="0.25">
      <c r="Y43733" s="501"/>
    </row>
    <row r="43734" spans="25:25" hidden="1" x14ac:dyDescent="0.25">
      <c r="Y43734" s="501"/>
    </row>
    <row r="43735" spans="25:25" hidden="1" x14ac:dyDescent="0.25">
      <c r="Y43735" s="501"/>
    </row>
    <row r="43736" spans="25:25" hidden="1" x14ac:dyDescent="0.25">
      <c r="Y43736" s="501"/>
    </row>
    <row r="43737" spans="25:25" hidden="1" x14ac:dyDescent="0.25">
      <c r="Y43737" s="501"/>
    </row>
    <row r="43738" spans="25:25" hidden="1" x14ac:dyDescent="0.25">
      <c r="Y43738" s="501"/>
    </row>
    <row r="43739" spans="25:25" hidden="1" x14ac:dyDescent="0.25">
      <c r="Y43739" s="501"/>
    </row>
    <row r="43740" spans="25:25" hidden="1" x14ac:dyDescent="0.25">
      <c r="Y43740" s="501"/>
    </row>
    <row r="43741" spans="25:25" hidden="1" x14ac:dyDescent="0.25">
      <c r="Y43741" s="501"/>
    </row>
    <row r="43742" spans="25:25" hidden="1" x14ac:dyDescent="0.25">
      <c r="Y43742" s="501"/>
    </row>
    <row r="43743" spans="25:25" hidden="1" x14ac:dyDescent="0.25">
      <c r="Y43743" s="501"/>
    </row>
    <row r="43744" spans="25:25" hidden="1" x14ac:dyDescent="0.25">
      <c r="Y43744" s="501"/>
    </row>
    <row r="43745" spans="25:25" hidden="1" x14ac:dyDescent="0.25">
      <c r="Y43745" s="501"/>
    </row>
    <row r="43746" spans="25:25" hidden="1" x14ac:dyDescent="0.25">
      <c r="Y43746" s="501"/>
    </row>
    <row r="43747" spans="25:25" hidden="1" x14ac:dyDescent="0.25">
      <c r="Y43747" s="501"/>
    </row>
    <row r="43748" spans="25:25" hidden="1" x14ac:dyDescent="0.25">
      <c r="Y43748" s="501"/>
    </row>
    <row r="43749" spans="25:25" hidden="1" x14ac:dyDescent="0.25">
      <c r="Y43749" s="501"/>
    </row>
    <row r="43750" spans="25:25" hidden="1" x14ac:dyDescent="0.25">
      <c r="Y43750" s="501"/>
    </row>
    <row r="43751" spans="25:25" hidden="1" x14ac:dyDescent="0.25">
      <c r="Y43751" s="501"/>
    </row>
    <row r="43752" spans="25:25" hidden="1" x14ac:dyDescent="0.25">
      <c r="Y43752" s="501"/>
    </row>
    <row r="43753" spans="25:25" hidden="1" x14ac:dyDescent="0.25">
      <c r="Y43753" s="501"/>
    </row>
    <row r="43754" spans="25:25" hidden="1" x14ac:dyDescent="0.25">
      <c r="Y43754" s="501"/>
    </row>
    <row r="43755" spans="25:25" hidden="1" x14ac:dyDescent="0.25">
      <c r="Y43755" s="501"/>
    </row>
    <row r="43756" spans="25:25" hidden="1" x14ac:dyDescent="0.25">
      <c r="Y43756" s="501"/>
    </row>
    <row r="43757" spans="25:25" hidden="1" x14ac:dyDescent="0.25">
      <c r="Y43757" s="501"/>
    </row>
    <row r="43758" spans="25:25" hidden="1" x14ac:dyDescent="0.25">
      <c r="Y43758" s="501"/>
    </row>
    <row r="43759" spans="25:25" hidden="1" x14ac:dyDescent="0.25">
      <c r="Y43759" s="501"/>
    </row>
    <row r="43760" spans="25:25" hidden="1" x14ac:dyDescent="0.25">
      <c r="Y43760" s="501"/>
    </row>
    <row r="43761" spans="25:25" hidden="1" x14ac:dyDescent="0.25">
      <c r="Y43761" s="501"/>
    </row>
    <row r="43762" spans="25:25" hidden="1" x14ac:dyDescent="0.25">
      <c r="Y43762" s="501"/>
    </row>
    <row r="43763" spans="25:25" hidden="1" x14ac:dyDescent="0.25">
      <c r="Y43763" s="501"/>
    </row>
    <row r="43764" spans="25:25" hidden="1" x14ac:dyDescent="0.25">
      <c r="Y43764" s="501"/>
    </row>
    <row r="43765" spans="25:25" hidden="1" x14ac:dyDescent="0.25">
      <c r="Y43765" s="501"/>
    </row>
    <row r="43766" spans="25:25" hidden="1" x14ac:dyDescent="0.25">
      <c r="Y43766" s="501"/>
    </row>
    <row r="43767" spans="25:25" hidden="1" x14ac:dyDescent="0.25">
      <c r="Y43767" s="501"/>
    </row>
    <row r="43768" spans="25:25" hidden="1" x14ac:dyDescent="0.25">
      <c r="Y43768" s="501"/>
    </row>
    <row r="43769" spans="25:25" hidden="1" x14ac:dyDescent="0.25">
      <c r="Y43769" s="501"/>
    </row>
    <row r="43770" spans="25:25" hidden="1" x14ac:dyDescent="0.25">
      <c r="Y43770" s="501"/>
    </row>
    <row r="43771" spans="25:25" hidden="1" x14ac:dyDescent="0.25">
      <c r="Y43771" s="501"/>
    </row>
    <row r="43772" spans="25:25" hidden="1" x14ac:dyDescent="0.25">
      <c r="Y43772" s="501"/>
    </row>
    <row r="43773" spans="25:25" hidden="1" x14ac:dyDescent="0.25">
      <c r="Y43773" s="501"/>
    </row>
    <row r="43774" spans="25:25" hidden="1" x14ac:dyDescent="0.25">
      <c r="Y43774" s="501"/>
    </row>
    <row r="43775" spans="25:25" hidden="1" x14ac:dyDescent="0.25">
      <c r="Y43775" s="501"/>
    </row>
    <row r="43776" spans="25:25" hidden="1" x14ac:dyDescent="0.25">
      <c r="Y43776" s="501"/>
    </row>
    <row r="43777" spans="25:25" hidden="1" x14ac:dyDescent="0.25">
      <c r="Y43777" s="501"/>
    </row>
    <row r="43778" spans="25:25" hidden="1" x14ac:dyDescent="0.25">
      <c r="Y43778" s="501"/>
    </row>
    <row r="43779" spans="25:25" hidden="1" x14ac:dyDescent="0.25">
      <c r="Y43779" s="501"/>
    </row>
    <row r="43780" spans="25:25" hidden="1" x14ac:dyDescent="0.25">
      <c r="Y43780" s="501"/>
    </row>
    <row r="43781" spans="25:25" hidden="1" x14ac:dyDescent="0.25">
      <c r="Y43781" s="501"/>
    </row>
    <row r="43782" spans="25:25" hidden="1" x14ac:dyDescent="0.25">
      <c r="Y43782" s="501"/>
    </row>
    <row r="43783" spans="25:25" hidden="1" x14ac:dyDescent="0.25">
      <c r="Y43783" s="501"/>
    </row>
    <row r="43784" spans="25:25" hidden="1" x14ac:dyDescent="0.25">
      <c r="Y43784" s="501"/>
    </row>
    <row r="43785" spans="25:25" hidden="1" x14ac:dyDescent="0.25">
      <c r="Y43785" s="501"/>
    </row>
    <row r="43786" spans="25:25" hidden="1" x14ac:dyDescent="0.25">
      <c r="Y43786" s="501"/>
    </row>
    <row r="43787" spans="25:25" hidden="1" x14ac:dyDescent="0.25">
      <c r="Y43787" s="501"/>
    </row>
    <row r="43788" spans="25:25" hidden="1" x14ac:dyDescent="0.25">
      <c r="Y43788" s="501"/>
    </row>
    <row r="43789" spans="25:25" hidden="1" x14ac:dyDescent="0.25">
      <c r="Y43789" s="501"/>
    </row>
    <row r="43790" spans="25:25" hidden="1" x14ac:dyDescent="0.25">
      <c r="Y43790" s="501"/>
    </row>
    <row r="43791" spans="25:25" hidden="1" x14ac:dyDescent="0.25">
      <c r="Y43791" s="501"/>
    </row>
    <row r="43792" spans="25:25" hidden="1" x14ac:dyDescent="0.25">
      <c r="Y43792" s="501"/>
    </row>
    <row r="43793" spans="25:25" hidden="1" x14ac:dyDescent="0.25">
      <c r="Y43793" s="501"/>
    </row>
    <row r="43794" spans="25:25" hidden="1" x14ac:dyDescent="0.25">
      <c r="Y43794" s="501"/>
    </row>
    <row r="43795" spans="25:25" hidden="1" x14ac:dyDescent="0.25">
      <c r="Y43795" s="501"/>
    </row>
    <row r="43796" spans="25:25" hidden="1" x14ac:dyDescent="0.25">
      <c r="Y43796" s="501"/>
    </row>
    <row r="43797" spans="25:25" hidden="1" x14ac:dyDescent="0.25">
      <c r="Y43797" s="501"/>
    </row>
    <row r="43798" spans="25:25" hidden="1" x14ac:dyDescent="0.25">
      <c r="Y43798" s="501"/>
    </row>
    <row r="43799" spans="25:25" hidden="1" x14ac:dyDescent="0.25">
      <c r="Y43799" s="501"/>
    </row>
    <row r="43800" spans="25:25" hidden="1" x14ac:dyDescent="0.25">
      <c r="Y43800" s="501"/>
    </row>
    <row r="43801" spans="25:25" hidden="1" x14ac:dyDescent="0.25">
      <c r="Y43801" s="501"/>
    </row>
    <row r="43802" spans="25:25" hidden="1" x14ac:dyDescent="0.25">
      <c r="Y43802" s="501"/>
    </row>
    <row r="43803" spans="25:25" hidden="1" x14ac:dyDescent="0.25">
      <c r="Y43803" s="501"/>
    </row>
    <row r="43804" spans="25:25" hidden="1" x14ac:dyDescent="0.25">
      <c r="Y43804" s="501"/>
    </row>
    <row r="43805" spans="25:25" hidden="1" x14ac:dyDescent="0.25">
      <c r="Y43805" s="501"/>
    </row>
    <row r="43806" spans="25:25" hidden="1" x14ac:dyDescent="0.25">
      <c r="Y43806" s="501"/>
    </row>
    <row r="43807" spans="25:25" hidden="1" x14ac:dyDescent="0.25">
      <c r="Y43807" s="501"/>
    </row>
    <row r="43808" spans="25:25" hidden="1" x14ac:dyDescent="0.25">
      <c r="Y43808" s="501"/>
    </row>
    <row r="43809" spans="25:25" hidden="1" x14ac:dyDescent="0.25">
      <c r="Y43809" s="501"/>
    </row>
    <row r="43810" spans="25:25" hidden="1" x14ac:dyDescent="0.25">
      <c r="Y43810" s="501"/>
    </row>
    <row r="43811" spans="25:25" hidden="1" x14ac:dyDescent="0.25">
      <c r="Y43811" s="501"/>
    </row>
    <row r="43812" spans="25:25" hidden="1" x14ac:dyDescent="0.25">
      <c r="Y43812" s="501"/>
    </row>
    <row r="43813" spans="25:25" hidden="1" x14ac:dyDescent="0.25">
      <c r="Y43813" s="501"/>
    </row>
    <row r="43814" spans="25:25" hidden="1" x14ac:dyDescent="0.25">
      <c r="Y43814" s="501"/>
    </row>
    <row r="43815" spans="25:25" hidden="1" x14ac:dyDescent="0.25">
      <c r="Y43815" s="501"/>
    </row>
    <row r="43816" spans="25:25" hidden="1" x14ac:dyDescent="0.25">
      <c r="Y43816" s="501"/>
    </row>
    <row r="43817" spans="25:25" hidden="1" x14ac:dyDescent="0.25">
      <c r="Y43817" s="501"/>
    </row>
    <row r="43818" spans="25:25" hidden="1" x14ac:dyDescent="0.25">
      <c r="Y43818" s="501"/>
    </row>
    <row r="43819" spans="25:25" hidden="1" x14ac:dyDescent="0.25">
      <c r="Y43819" s="501"/>
    </row>
    <row r="43820" spans="25:25" hidden="1" x14ac:dyDescent="0.25">
      <c r="Y43820" s="501"/>
    </row>
    <row r="43821" spans="25:25" hidden="1" x14ac:dyDescent="0.25">
      <c r="Y43821" s="501"/>
    </row>
    <row r="43822" spans="25:25" hidden="1" x14ac:dyDescent="0.25">
      <c r="Y43822" s="501"/>
    </row>
    <row r="43823" spans="25:25" hidden="1" x14ac:dyDescent="0.25">
      <c r="Y43823" s="501"/>
    </row>
    <row r="43824" spans="25:25" hidden="1" x14ac:dyDescent="0.25">
      <c r="Y43824" s="501"/>
    </row>
    <row r="43825" spans="25:25" hidden="1" x14ac:dyDescent="0.25">
      <c r="Y43825" s="501"/>
    </row>
    <row r="43826" spans="25:25" hidden="1" x14ac:dyDescent="0.25">
      <c r="Y43826" s="501"/>
    </row>
    <row r="43827" spans="25:25" hidden="1" x14ac:dyDescent="0.25">
      <c r="Y43827" s="501"/>
    </row>
    <row r="43828" spans="25:25" hidden="1" x14ac:dyDescent="0.25">
      <c r="Y43828" s="501"/>
    </row>
    <row r="43829" spans="25:25" hidden="1" x14ac:dyDescent="0.25">
      <c r="Y43829" s="501"/>
    </row>
    <row r="43830" spans="25:25" hidden="1" x14ac:dyDescent="0.25">
      <c r="Y43830" s="501"/>
    </row>
    <row r="43831" spans="25:25" hidden="1" x14ac:dyDescent="0.25">
      <c r="Y43831" s="501"/>
    </row>
    <row r="43832" spans="25:25" hidden="1" x14ac:dyDescent="0.25">
      <c r="Y43832" s="501"/>
    </row>
    <row r="43833" spans="25:25" hidden="1" x14ac:dyDescent="0.25">
      <c r="Y43833" s="501"/>
    </row>
    <row r="43834" spans="25:25" hidden="1" x14ac:dyDescent="0.25">
      <c r="Y43834" s="501"/>
    </row>
    <row r="43835" spans="25:25" hidden="1" x14ac:dyDescent="0.25">
      <c r="Y43835" s="501"/>
    </row>
    <row r="43836" spans="25:25" hidden="1" x14ac:dyDescent="0.25">
      <c r="Y43836" s="501"/>
    </row>
    <row r="43837" spans="25:25" hidden="1" x14ac:dyDescent="0.25">
      <c r="Y43837" s="501"/>
    </row>
    <row r="43838" spans="25:25" hidden="1" x14ac:dyDescent="0.25">
      <c r="Y43838" s="501"/>
    </row>
    <row r="43839" spans="25:25" hidden="1" x14ac:dyDescent="0.25">
      <c r="Y43839" s="501"/>
    </row>
    <row r="43840" spans="25:25" hidden="1" x14ac:dyDescent="0.25">
      <c r="Y43840" s="501"/>
    </row>
    <row r="43841" spans="25:25" hidden="1" x14ac:dyDescent="0.25">
      <c r="Y43841" s="501"/>
    </row>
    <row r="43842" spans="25:25" hidden="1" x14ac:dyDescent="0.25">
      <c r="Y43842" s="501"/>
    </row>
    <row r="43843" spans="25:25" hidden="1" x14ac:dyDescent="0.25">
      <c r="Y43843" s="501"/>
    </row>
    <row r="43844" spans="25:25" hidden="1" x14ac:dyDescent="0.25">
      <c r="Y43844" s="501"/>
    </row>
    <row r="43845" spans="25:25" hidden="1" x14ac:dyDescent="0.25">
      <c r="Y43845" s="501"/>
    </row>
    <row r="43846" spans="25:25" hidden="1" x14ac:dyDescent="0.25">
      <c r="Y43846" s="501"/>
    </row>
    <row r="43847" spans="25:25" hidden="1" x14ac:dyDescent="0.25">
      <c r="Y43847" s="501"/>
    </row>
    <row r="43848" spans="25:25" hidden="1" x14ac:dyDescent="0.25">
      <c r="Y43848" s="501"/>
    </row>
    <row r="43849" spans="25:25" hidden="1" x14ac:dyDescent="0.25">
      <c r="Y43849" s="501"/>
    </row>
    <row r="43850" spans="25:25" hidden="1" x14ac:dyDescent="0.25">
      <c r="Y43850" s="501"/>
    </row>
    <row r="43851" spans="25:25" hidden="1" x14ac:dyDescent="0.25">
      <c r="Y43851" s="501"/>
    </row>
    <row r="43852" spans="25:25" hidden="1" x14ac:dyDescent="0.25">
      <c r="Y43852" s="501"/>
    </row>
    <row r="43853" spans="25:25" hidden="1" x14ac:dyDescent="0.25">
      <c r="Y43853" s="501"/>
    </row>
    <row r="43854" spans="25:25" hidden="1" x14ac:dyDescent="0.25">
      <c r="Y43854" s="501"/>
    </row>
    <row r="43855" spans="25:25" hidden="1" x14ac:dyDescent="0.25">
      <c r="Y43855" s="501"/>
    </row>
    <row r="43856" spans="25:25" hidden="1" x14ac:dyDescent="0.25">
      <c r="Y43856" s="501"/>
    </row>
    <row r="43857" spans="25:25" hidden="1" x14ac:dyDescent="0.25">
      <c r="Y43857" s="501"/>
    </row>
    <row r="43858" spans="25:25" hidden="1" x14ac:dyDescent="0.25">
      <c r="Y43858" s="501"/>
    </row>
    <row r="43859" spans="25:25" hidden="1" x14ac:dyDescent="0.25">
      <c r="Y43859" s="501"/>
    </row>
    <row r="43860" spans="25:25" hidden="1" x14ac:dyDescent="0.25">
      <c r="Y43860" s="501"/>
    </row>
    <row r="43861" spans="25:25" hidden="1" x14ac:dyDescent="0.25">
      <c r="Y43861" s="501"/>
    </row>
    <row r="43862" spans="25:25" hidden="1" x14ac:dyDescent="0.25">
      <c r="Y43862" s="501"/>
    </row>
    <row r="43863" spans="25:25" hidden="1" x14ac:dyDescent="0.25">
      <c r="Y43863" s="501"/>
    </row>
    <row r="43864" spans="25:25" hidden="1" x14ac:dyDescent="0.25">
      <c r="Y43864" s="501"/>
    </row>
    <row r="43865" spans="25:25" hidden="1" x14ac:dyDescent="0.25">
      <c r="Y43865" s="501"/>
    </row>
    <row r="43866" spans="25:25" hidden="1" x14ac:dyDescent="0.25">
      <c r="Y43866" s="501"/>
    </row>
    <row r="43867" spans="25:25" hidden="1" x14ac:dyDescent="0.25">
      <c r="Y43867" s="501"/>
    </row>
    <row r="43868" spans="25:25" hidden="1" x14ac:dyDescent="0.25">
      <c r="Y43868" s="501"/>
    </row>
    <row r="43869" spans="25:25" hidden="1" x14ac:dyDescent="0.25">
      <c r="Y43869" s="501"/>
    </row>
    <row r="43870" spans="25:25" hidden="1" x14ac:dyDescent="0.25">
      <c r="Y43870" s="501"/>
    </row>
    <row r="43871" spans="25:25" hidden="1" x14ac:dyDescent="0.25">
      <c r="Y43871" s="501"/>
    </row>
    <row r="43872" spans="25:25" hidden="1" x14ac:dyDescent="0.25">
      <c r="Y43872" s="501"/>
    </row>
    <row r="43873" spans="25:25" hidden="1" x14ac:dyDescent="0.25">
      <c r="Y43873" s="501"/>
    </row>
    <row r="43874" spans="25:25" hidden="1" x14ac:dyDescent="0.25">
      <c r="Y43874" s="501"/>
    </row>
    <row r="43875" spans="25:25" hidden="1" x14ac:dyDescent="0.25">
      <c r="Y43875" s="501"/>
    </row>
    <row r="43876" spans="25:25" hidden="1" x14ac:dyDescent="0.25">
      <c r="Y43876" s="501"/>
    </row>
    <row r="43877" spans="25:25" hidden="1" x14ac:dyDescent="0.25">
      <c r="Y43877" s="501"/>
    </row>
    <row r="43878" spans="25:25" hidden="1" x14ac:dyDescent="0.25">
      <c r="Y43878" s="501"/>
    </row>
    <row r="43879" spans="25:25" hidden="1" x14ac:dyDescent="0.25">
      <c r="Y43879" s="501"/>
    </row>
    <row r="43880" spans="25:25" hidden="1" x14ac:dyDescent="0.25">
      <c r="Y43880" s="501"/>
    </row>
    <row r="43881" spans="25:25" hidden="1" x14ac:dyDescent="0.25">
      <c r="Y43881" s="501"/>
    </row>
    <row r="43882" spans="25:25" hidden="1" x14ac:dyDescent="0.25">
      <c r="Y43882" s="501"/>
    </row>
    <row r="43883" spans="25:25" hidden="1" x14ac:dyDescent="0.25">
      <c r="Y43883" s="501"/>
    </row>
    <row r="43884" spans="25:25" hidden="1" x14ac:dyDescent="0.25">
      <c r="Y43884" s="501"/>
    </row>
    <row r="43885" spans="25:25" hidden="1" x14ac:dyDescent="0.25">
      <c r="Y43885" s="501"/>
    </row>
    <row r="43886" spans="25:25" hidden="1" x14ac:dyDescent="0.25">
      <c r="Y43886" s="501"/>
    </row>
    <row r="43887" spans="25:25" hidden="1" x14ac:dyDescent="0.25">
      <c r="Y43887" s="501"/>
    </row>
    <row r="43888" spans="25:25" hidden="1" x14ac:dyDescent="0.25">
      <c r="Y43888" s="501"/>
    </row>
    <row r="43889" spans="25:25" hidden="1" x14ac:dyDescent="0.25">
      <c r="Y43889" s="501"/>
    </row>
    <row r="43890" spans="25:25" hidden="1" x14ac:dyDescent="0.25">
      <c r="Y43890" s="501"/>
    </row>
    <row r="43891" spans="25:25" hidden="1" x14ac:dyDescent="0.25">
      <c r="Y43891" s="501"/>
    </row>
    <row r="43892" spans="25:25" hidden="1" x14ac:dyDescent="0.25">
      <c r="Y43892" s="501"/>
    </row>
    <row r="43893" spans="25:25" hidden="1" x14ac:dyDescent="0.25">
      <c r="Y43893" s="501"/>
    </row>
    <row r="43894" spans="25:25" hidden="1" x14ac:dyDescent="0.25">
      <c r="Y43894" s="501"/>
    </row>
    <row r="43895" spans="25:25" hidden="1" x14ac:dyDescent="0.25">
      <c r="Y43895" s="501"/>
    </row>
    <row r="43896" spans="25:25" hidden="1" x14ac:dyDescent="0.25">
      <c r="Y43896" s="501"/>
    </row>
    <row r="43897" spans="25:25" hidden="1" x14ac:dyDescent="0.25">
      <c r="Y43897" s="501"/>
    </row>
    <row r="43898" spans="25:25" hidden="1" x14ac:dyDescent="0.25">
      <c r="Y43898" s="501"/>
    </row>
    <row r="43899" spans="25:25" hidden="1" x14ac:dyDescent="0.25">
      <c r="Y43899" s="501"/>
    </row>
    <row r="43900" spans="25:25" hidden="1" x14ac:dyDescent="0.25">
      <c r="Y43900" s="501"/>
    </row>
    <row r="43901" spans="25:25" hidden="1" x14ac:dyDescent="0.25">
      <c r="Y43901" s="501"/>
    </row>
    <row r="43902" spans="25:25" hidden="1" x14ac:dyDescent="0.25">
      <c r="Y43902" s="501"/>
    </row>
    <row r="43903" spans="25:25" hidden="1" x14ac:dyDescent="0.25">
      <c r="Y43903" s="501"/>
    </row>
    <row r="43904" spans="25:25" hidden="1" x14ac:dyDescent="0.25">
      <c r="Y43904" s="501"/>
    </row>
    <row r="43905" spans="25:25" hidden="1" x14ac:dyDescent="0.25">
      <c r="Y43905" s="501"/>
    </row>
    <row r="43906" spans="25:25" hidden="1" x14ac:dyDescent="0.25">
      <c r="Y43906" s="501"/>
    </row>
    <row r="43907" spans="25:25" hidden="1" x14ac:dyDescent="0.25">
      <c r="Y43907" s="501"/>
    </row>
    <row r="43908" spans="25:25" hidden="1" x14ac:dyDescent="0.25">
      <c r="Y43908" s="501"/>
    </row>
    <row r="43909" spans="25:25" hidden="1" x14ac:dyDescent="0.25">
      <c r="Y43909" s="501"/>
    </row>
    <row r="43910" spans="25:25" hidden="1" x14ac:dyDescent="0.25">
      <c r="Y43910" s="501"/>
    </row>
    <row r="43911" spans="25:25" hidden="1" x14ac:dyDescent="0.25">
      <c r="Y43911" s="501"/>
    </row>
    <row r="43912" spans="25:25" hidden="1" x14ac:dyDescent="0.25">
      <c r="Y43912" s="501"/>
    </row>
    <row r="43913" spans="25:25" hidden="1" x14ac:dyDescent="0.25">
      <c r="Y43913" s="501"/>
    </row>
    <row r="43914" spans="25:25" hidden="1" x14ac:dyDescent="0.25">
      <c r="Y43914" s="501"/>
    </row>
    <row r="43915" spans="25:25" hidden="1" x14ac:dyDescent="0.25">
      <c r="Y43915" s="501"/>
    </row>
    <row r="43916" spans="25:25" hidden="1" x14ac:dyDescent="0.25">
      <c r="Y43916" s="501"/>
    </row>
    <row r="43917" spans="25:25" hidden="1" x14ac:dyDescent="0.25">
      <c r="Y43917" s="501"/>
    </row>
    <row r="43918" spans="25:25" hidden="1" x14ac:dyDescent="0.25">
      <c r="Y43918" s="501"/>
    </row>
    <row r="43919" spans="25:25" hidden="1" x14ac:dyDescent="0.25">
      <c r="Y43919" s="501"/>
    </row>
    <row r="43920" spans="25:25" hidden="1" x14ac:dyDescent="0.25">
      <c r="Y43920" s="501"/>
    </row>
    <row r="43921" spans="25:25" hidden="1" x14ac:dyDescent="0.25">
      <c r="Y43921" s="501"/>
    </row>
    <row r="43922" spans="25:25" hidden="1" x14ac:dyDescent="0.25">
      <c r="Y43922" s="501"/>
    </row>
    <row r="43923" spans="25:25" hidden="1" x14ac:dyDescent="0.25">
      <c r="Y43923" s="501"/>
    </row>
    <row r="43924" spans="25:25" hidden="1" x14ac:dyDescent="0.25">
      <c r="Y43924" s="501"/>
    </row>
    <row r="43925" spans="25:25" hidden="1" x14ac:dyDescent="0.25">
      <c r="Y43925" s="501"/>
    </row>
    <row r="43926" spans="25:25" hidden="1" x14ac:dyDescent="0.25">
      <c r="Y43926" s="501"/>
    </row>
    <row r="43927" spans="25:25" hidden="1" x14ac:dyDescent="0.25">
      <c r="Y43927" s="501"/>
    </row>
    <row r="43928" spans="25:25" hidden="1" x14ac:dyDescent="0.25">
      <c r="Y43928" s="501"/>
    </row>
    <row r="43929" spans="25:25" hidden="1" x14ac:dyDescent="0.25">
      <c r="Y43929" s="501"/>
    </row>
    <row r="43930" spans="25:25" hidden="1" x14ac:dyDescent="0.25">
      <c r="Y43930" s="501"/>
    </row>
    <row r="43931" spans="25:25" hidden="1" x14ac:dyDescent="0.25">
      <c r="Y43931" s="501"/>
    </row>
    <row r="43932" spans="25:25" hidden="1" x14ac:dyDescent="0.25">
      <c r="Y43932" s="501"/>
    </row>
    <row r="43933" spans="25:25" hidden="1" x14ac:dyDescent="0.25">
      <c r="Y43933" s="501"/>
    </row>
    <row r="43934" spans="25:25" hidden="1" x14ac:dyDescent="0.25">
      <c r="Y43934" s="501"/>
    </row>
    <row r="43935" spans="25:25" hidden="1" x14ac:dyDescent="0.25">
      <c r="Y43935" s="501"/>
    </row>
    <row r="43936" spans="25:25" hidden="1" x14ac:dyDescent="0.25">
      <c r="Y43936" s="501"/>
    </row>
    <row r="43937" spans="25:25" hidden="1" x14ac:dyDescent="0.25">
      <c r="Y43937" s="501"/>
    </row>
    <row r="43938" spans="25:25" hidden="1" x14ac:dyDescent="0.25">
      <c r="Y43938" s="501"/>
    </row>
    <row r="43939" spans="25:25" hidden="1" x14ac:dyDescent="0.25">
      <c r="Y43939" s="501"/>
    </row>
    <row r="43940" spans="25:25" hidden="1" x14ac:dyDescent="0.25">
      <c r="Y43940" s="501"/>
    </row>
    <row r="43941" spans="25:25" hidden="1" x14ac:dyDescent="0.25">
      <c r="Y43941" s="501"/>
    </row>
    <row r="43942" spans="25:25" hidden="1" x14ac:dyDescent="0.25">
      <c r="Y43942" s="501"/>
    </row>
    <row r="43943" spans="25:25" hidden="1" x14ac:dyDescent="0.25">
      <c r="Y43943" s="501"/>
    </row>
    <row r="43944" spans="25:25" hidden="1" x14ac:dyDescent="0.25">
      <c r="Y43944" s="501"/>
    </row>
    <row r="43945" spans="25:25" hidden="1" x14ac:dyDescent="0.25">
      <c r="Y43945" s="501"/>
    </row>
    <row r="43946" spans="25:25" hidden="1" x14ac:dyDescent="0.25">
      <c r="Y43946" s="501"/>
    </row>
    <row r="43947" spans="25:25" hidden="1" x14ac:dyDescent="0.25">
      <c r="Y43947" s="501"/>
    </row>
    <row r="43948" spans="25:25" hidden="1" x14ac:dyDescent="0.25">
      <c r="Y43948" s="501"/>
    </row>
    <row r="43949" spans="25:25" hidden="1" x14ac:dyDescent="0.25">
      <c r="Y43949" s="501"/>
    </row>
    <row r="43950" spans="25:25" hidden="1" x14ac:dyDescent="0.25">
      <c r="Y43950" s="501"/>
    </row>
    <row r="43951" spans="25:25" hidden="1" x14ac:dyDescent="0.25">
      <c r="Y43951" s="501"/>
    </row>
    <row r="43952" spans="25:25" hidden="1" x14ac:dyDescent="0.25">
      <c r="Y43952" s="501"/>
    </row>
    <row r="43953" spans="25:25" hidden="1" x14ac:dyDescent="0.25">
      <c r="Y43953" s="501"/>
    </row>
    <row r="43954" spans="25:25" hidden="1" x14ac:dyDescent="0.25">
      <c r="Y43954" s="501"/>
    </row>
    <row r="43955" spans="25:25" hidden="1" x14ac:dyDescent="0.25">
      <c r="Y43955" s="501"/>
    </row>
    <row r="43956" spans="25:25" hidden="1" x14ac:dyDescent="0.25">
      <c r="Y43956" s="501"/>
    </row>
    <row r="43957" spans="25:25" hidden="1" x14ac:dyDescent="0.25">
      <c r="Y43957" s="501"/>
    </row>
    <row r="43958" spans="25:25" hidden="1" x14ac:dyDescent="0.25">
      <c r="Y43958" s="501"/>
    </row>
    <row r="43959" spans="25:25" hidden="1" x14ac:dyDescent="0.25">
      <c r="Y43959" s="501"/>
    </row>
    <row r="43960" spans="25:25" hidden="1" x14ac:dyDescent="0.25">
      <c r="Y43960" s="501"/>
    </row>
    <row r="43961" spans="25:25" hidden="1" x14ac:dyDescent="0.25">
      <c r="Y43961" s="501"/>
    </row>
    <row r="43962" spans="25:25" hidden="1" x14ac:dyDescent="0.25">
      <c r="Y43962" s="501"/>
    </row>
    <row r="43963" spans="25:25" hidden="1" x14ac:dyDescent="0.25">
      <c r="Y43963" s="501"/>
    </row>
    <row r="43964" spans="25:25" hidden="1" x14ac:dyDescent="0.25">
      <c r="Y43964" s="501"/>
    </row>
    <row r="43965" spans="25:25" hidden="1" x14ac:dyDescent="0.25">
      <c r="Y43965" s="501"/>
    </row>
    <row r="43966" spans="25:25" hidden="1" x14ac:dyDescent="0.25">
      <c r="Y43966" s="501"/>
    </row>
    <row r="43967" spans="25:25" hidden="1" x14ac:dyDescent="0.25">
      <c r="Y43967" s="501"/>
    </row>
    <row r="43968" spans="25:25" hidden="1" x14ac:dyDescent="0.25">
      <c r="Y43968" s="501"/>
    </row>
    <row r="43969" spans="25:25" hidden="1" x14ac:dyDescent="0.25">
      <c r="Y43969" s="501"/>
    </row>
    <row r="43970" spans="25:25" hidden="1" x14ac:dyDescent="0.25">
      <c r="Y43970" s="501"/>
    </row>
    <row r="43971" spans="25:25" hidden="1" x14ac:dyDescent="0.25">
      <c r="Y43971" s="501"/>
    </row>
    <row r="43972" spans="25:25" hidden="1" x14ac:dyDescent="0.25">
      <c r="Y43972" s="501"/>
    </row>
    <row r="43973" spans="25:25" hidden="1" x14ac:dyDescent="0.25">
      <c r="Y43973" s="501"/>
    </row>
    <row r="43974" spans="25:25" hidden="1" x14ac:dyDescent="0.25">
      <c r="Y43974" s="501"/>
    </row>
    <row r="43975" spans="25:25" hidden="1" x14ac:dyDescent="0.25">
      <c r="Y43975" s="501"/>
    </row>
    <row r="43976" spans="25:25" hidden="1" x14ac:dyDescent="0.25">
      <c r="Y43976" s="501"/>
    </row>
    <row r="43977" spans="25:25" hidden="1" x14ac:dyDescent="0.25">
      <c r="Y43977" s="501"/>
    </row>
    <row r="43978" spans="25:25" hidden="1" x14ac:dyDescent="0.25">
      <c r="Y43978" s="501"/>
    </row>
    <row r="43979" spans="25:25" hidden="1" x14ac:dyDescent="0.25">
      <c r="Y43979" s="501"/>
    </row>
    <row r="43980" spans="25:25" hidden="1" x14ac:dyDescent="0.25">
      <c r="Y43980" s="501"/>
    </row>
    <row r="43981" spans="25:25" hidden="1" x14ac:dyDescent="0.25">
      <c r="Y43981" s="501"/>
    </row>
    <row r="43982" spans="25:25" hidden="1" x14ac:dyDescent="0.25">
      <c r="Y43982" s="501"/>
    </row>
    <row r="43983" spans="25:25" hidden="1" x14ac:dyDescent="0.25">
      <c r="Y43983" s="501"/>
    </row>
    <row r="43984" spans="25:25" hidden="1" x14ac:dyDescent="0.25">
      <c r="Y43984" s="501"/>
    </row>
    <row r="43985" spans="25:25" hidden="1" x14ac:dyDescent="0.25">
      <c r="Y43985" s="501"/>
    </row>
    <row r="43986" spans="25:25" hidden="1" x14ac:dyDescent="0.25">
      <c r="Y43986" s="501"/>
    </row>
    <row r="43987" spans="25:25" hidden="1" x14ac:dyDescent="0.25">
      <c r="Y43987" s="501"/>
    </row>
    <row r="43988" spans="25:25" hidden="1" x14ac:dyDescent="0.25">
      <c r="Y43988" s="501"/>
    </row>
    <row r="43989" spans="25:25" hidden="1" x14ac:dyDescent="0.25">
      <c r="Y43989" s="501"/>
    </row>
    <row r="43990" spans="25:25" hidden="1" x14ac:dyDescent="0.25">
      <c r="Y43990" s="501"/>
    </row>
    <row r="43991" spans="25:25" hidden="1" x14ac:dyDescent="0.25">
      <c r="Y43991" s="501"/>
    </row>
    <row r="43992" spans="25:25" hidden="1" x14ac:dyDescent="0.25">
      <c r="Y43992" s="501"/>
    </row>
    <row r="43993" spans="25:25" hidden="1" x14ac:dyDescent="0.25">
      <c r="Y43993" s="501"/>
    </row>
    <row r="43994" spans="25:25" hidden="1" x14ac:dyDescent="0.25">
      <c r="Y43994" s="501"/>
    </row>
    <row r="43995" spans="25:25" hidden="1" x14ac:dyDescent="0.25">
      <c r="Y43995" s="501"/>
    </row>
    <row r="43996" spans="25:25" hidden="1" x14ac:dyDescent="0.25">
      <c r="Y43996" s="501"/>
    </row>
    <row r="43997" spans="25:25" hidden="1" x14ac:dyDescent="0.25">
      <c r="Y43997" s="501"/>
    </row>
    <row r="43998" spans="25:25" hidden="1" x14ac:dyDescent="0.25">
      <c r="Y43998" s="501"/>
    </row>
    <row r="43999" spans="25:25" hidden="1" x14ac:dyDescent="0.25">
      <c r="Y43999" s="501"/>
    </row>
    <row r="44000" spans="25:25" hidden="1" x14ac:dyDescent="0.25">
      <c r="Y44000" s="501"/>
    </row>
    <row r="44001" spans="25:25" hidden="1" x14ac:dyDescent="0.25">
      <c r="Y44001" s="501"/>
    </row>
    <row r="44002" spans="25:25" hidden="1" x14ac:dyDescent="0.25">
      <c r="Y44002" s="501"/>
    </row>
    <row r="44003" spans="25:25" hidden="1" x14ac:dyDescent="0.25">
      <c r="Y44003" s="501"/>
    </row>
    <row r="44004" spans="25:25" hidden="1" x14ac:dyDescent="0.25">
      <c r="Y44004" s="501"/>
    </row>
    <row r="44005" spans="25:25" hidden="1" x14ac:dyDescent="0.25">
      <c r="Y44005" s="501"/>
    </row>
    <row r="44006" spans="25:25" hidden="1" x14ac:dyDescent="0.25">
      <c r="Y44006" s="501"/>
    </row>
    <row r="44007" spans="25:25" hidden="1" x14ac:dyDescent="0.25">
      <c r="Y44007" s="501"/>
    </row>
    <row r="44008" spans="25:25" hidden="1" x14ac:dyDescent="0.25">
      <c r="Y44008" s="501"/>
    </row>
    <row r="44009" spans="25:25" hidden="1" x14ac:dyDescent="0.25">
      <c r="Y44009" s="501"/>
    </row>
    <row r="44010" spans="25:25" hidden="1" x14ac:dyDescent="0.25">
      <c r="Y44010" s="501"/>
    </row>
    <row r="44011" spans="25:25" hidden="1" x14ac:dyDescent="0.25">
      <c r="Y44011" s="501"/>
    </row>
    <row r="44012" spans="25:25" hidden="1" x14ac:dyDescent="0.25">
      <c r="Y44012" s="501"/>
    </row>
    <row r="44013" spans="25:25" hidden="1" x14ac:dyDescent="0.25">
      <c r="Y44013" s="501"/>
    </row>
    <row r="44014" spans="25:25" hidden="1" x14ac:dyDescent="0.25">
      <c r="Y44014" s="501"/>
    </row>
    <row r="44015" spans="25:25" hidden="1" x14ac:dyDescent="0.25">
      <c r="Y44015" s="501"/>
    </row>
    <row r="44016" spans="25:25" hidden="1" x14ac:dyDescent="0.25">
      <c r="Y44016" s="501"/>
    </row>
    <row r="44017" spans="25:25" hidden="1" x14ac:dyDescent="0.25">
      <c r="Y44017" s="501"/>
    </row>
    <row r="44018" spans="25:25" hidden="1" x14ac:dyDescent="0.25">
      <c r="Y44018" s="501"/>
    </row>
    <row r="44019" spans="25:25" hidden="1" x14ac:dyDescent="0.25">
      <c r="Y44019" s="501"/>
    </row>
    <row r="44020" spans="25:25" hidden="1" x14ac:dyDescent="0.25">
      <c r="Y44020" s="501"/>
    </row>
    <row r="44021" spans="25:25" hidden="1" x14ac:dyDescent="0.25">
      <c r="Y44021" s="501"/>
    </row>
    <row r="44022" spans="25:25" hidden="1" x14ac:dyDescent="0.25">
      <c r="Y44022" s="501"/>
    </row>
    <row r="44023" spans="25:25" hidden="1" x14ac:dyDescent="0.25">
      <c r="Y44023" s="501"/>
    </row>
    <row r="44024" spans="25:25" hidden="1" x14ac:dyDescent="0.25">
      <c r="Y44024" s="501"/>
    </row>
    <row r="44025" spans="25:25" hidden="1" x14ac:dyDescent="0.25">
      <c r="Y44025" s="501"/>
    </row>
    <row r="44026" spans="25:25" hidden="1" x14ac:dyDescent="0.25">
      <c r="Y44026" s="501"/>
    </row>
    <row r="44027" spans="25:25" hidden="1" x14ac:dyDescent="0.25">
      <c r="Y44027" s="501"/>
    </row>
    <row r="44028" spans="25:25" hidden="1" x14ac:dyDescent="0.25">
      <c r="Y44028" s="501"/>
    </row>
    <row r="44029" spans="25:25" hidden="1" x14ac:dyDescent="0.25">
      <c r="Y44029" s="501"/>
    </row>
    <row r="44030" spans="25:25" hidden="1" x14ac:dyDescent="0.25">
      <c r="Y44030" s="501"/>
    </row>
    <row r="44031" spans="25:25" hidden="1" x14ac:dyDescent="0.25">
      <c r="Y44031" s="501"/>
    </row>
    <row r="44032" spans="25:25" hidden="1" x14ac:dyDescent="0.25">
      <c r="Y44032" s="501"/>
    </row>
    <row r="44033" spans="25:25" hidden="1" x14ac:dyDescent="0.25">
      <c r="Y44033" s="501"/>
    </row>
    <row r="44034" spans="25:25" hidden="1" x14ac:dyDescent="0.25">
      <c r="Y44034" s="501"/>
    </row>
    <row r="44035" spans="25:25" hidden="1" x14ac:dyDescent="0.25">
      <c r="Y44035" s="501"/>
    </row>
    <row r="44036" spans="25:25" hidden="1" x14ac:dyDescent="0.25">
      <c r="Y44036" s="501"/>
    </row>
    <row r="44037" spans="25:25" hidden="1" x14ac:dyDescent="0.25">
      <c r="Y44037" s="501"/>
    </row>
    <row r="44038" spans="25:25" hidden="1" x14ac:dyDescent="0.25">
      <c r="Y44038" s="501"/>
    </row>
    <row r="44039" spans="25:25" hidden="1" x14ac:dyDescent="0.25">
      <c r="Y44039" s="501"/>
    </row>
    <row r="44040" spans="25:25" hidden="1" x14ac:dyDescent="0.25">
      <c r="Y44040" s="501"/>
    </row>
    <row r="44041" spans="25:25" hidden="1" x14ac:dyDescent="0.25">
      <c r="Y44041" s="501"/>
    </row>
    <row r="44042" spans="25:25" hidden="1" x14ac:dyDescent="0.25">
      <c r="Y44042" s="501"/>
    </row>
    <row r="44043" spans="25:25" hidden="1" x14ac:dyDescent="0.25">
      <c r="Y44043" s="501"/>
    </row>
    <row r="44044" spans="25:25" hidden="1" x14ac:dyDescent="0.25">
      <c r="Y44044" s="501"/>
    </row>
    <row r="44045" spans="25:25" hidden="1" x14ac:dyDescent="0.25">
      <c r="Y44045" s="501"/>
    </row>
    <row r="44046" spans="25:25" hidden="1" x14ac:dyDescent="0.25">
      <c r="Y44046" s="501"/>
    </row>
    <row r="44047" spans="25:25" hidden="1" x14ac:dyDescent="0.25">
      <c r="Y44047" s="501"/>
    </row>
    <row r="44048" spans="25:25" hidden="1" x14ac:dyDescent="0.25">
      <c r="Y44048" s="501"/>
    </row>
    <row r="44049" spans="25:25" hidden="1" x14ac:dyDescent="0.25">
      <c r="Y44049" s="501"/>
    </row>
    <row r="44050" spans="25:25" hidden="1" x14ac:dyDescent="0.25">
      <c r="Y44050" s="501"/>
    </row>
    <row r="44051" spans="25:25" hidden="1" x14ac:dyDescent="0.25">
      <c r="Y44051" s="501"/>
    </row>
    <row r="44052" spans="25:25" hidden="1" x14ac:dyDescent="0.25">
      <c r="Y44052" s="501"/>
    </row>
    <row r="44053" spans="25:25" hidden="1" x14ac:dyDescent="0.25">
      <c r="Y44053" s="501"/>
    </row>
    <row r="44054" spans="25:25" hidden="1" x14ac:dyDescent="0.25">
      <c r="Y44054" s="501"/>
    </row>
    <row r="44055" spans="25:25" hidden="1" x14ac:dyDescent="0.25">
      <c r="Y44055" s="501"/>
    </row>
    <row r="44056" spans="25:25" hidden="1" x14ac:dyDescent="0.25">
      <c r="Y44056" s="501"/>
    </row>
    <row r="44057" spans="25:25" hidden="1" x14ac:dyDescent="0.25">
      <c r="Y44057" s="501"/>
    </row>
    <row r="44058" spans="25:25" hidden="1" x14ac:dyDescent="0.25">
      <c r="Y44058" s="501"/>
    </row>
    <row r="44059" spans="25:25" hidden="1" x14ac:dyDescent="0.25">
      <c r="Y44059" s="501"/>
    </row>
    <row r="44060" spans="25:25" hidden="1" x14ac:dyDescent="0.25">
      <c r="Y44060" s="501"/>
    </row>
    <row r="44061" spans="25:25" hidden="1" x14ac:dyDescent="0.25">
      <c r="Y44061" s="501"/>
    </row>
    <row r="44062" spans="25:25" hidden="1" x14ac:dyDescent="0.25">
      <c r="Y44062" s="501"/>
    </row>
    <row r="44063" spans="25:25" hidden="1" x14ac:dyDescent="0.25">
      <c r="Y44063" s="501"/>
    </row>
    <row r="44064" spans="25:25" hidden="1" x14ac:dyDescent="0.25">
      <c r="Y44064" s="501"/>
    </row>
    <row r="44065" spans="25:25" hidden="1" x14ac:dyDescent="0.25">
      <c r="Y44065" s="501"/>
    </row>
    <row r="44066" spans="25:25" hidden="1" x14ac:dyDescent="0.25">
      <c r="Y44066" s="501"/>
    </row>
    <row r="44067" spans="25:25" hidden="1" x14ac:dyDescent="0.25">
      <c r="Y44067" s="501"/>
    </row>
    <row r="44068" spans="25:25" hidden="1" x14ac:dyDescent="0.25">
      <c r="Y44068" s="501"/>
    </row>
    <row r="44069" spans="25:25" hidden="1" x14ac:dyDescent="0.25">
      <c r="Y44069" s="501"/>
    </row>
    <row r="44070" spans="25:25" hidden="1" x14ac:dyDescent="0.25">
      <c r="Y44070" s="501"/>
    </row>
    <row r="44071" spans="25:25" hidden="1" x14ac:dyDescent="0.25">
      <c r="Y44071" s="501"/>
    </row>
    <row r="44072" spans="25:25" hidden="1" x14ac:dyDescent="0.25">
      <c r="Y44072" s="501"/>
    </row>
    <row r="44073" spans="25:25" hidden="1" x14ac:dyDescent="0.25">
      <c r="Y44073" s="501"/>
    </row>
    <row r="44074" spans="25:25" hidden="1" x14ac:dyDescent="0.25">
      <c r="Y44074" s="501"/>
    </row>
    <row r="44075" spans="25:25" hidden="1" x14ac:dyDescent="0.25">
      <c r="Y44075" s="501"/>
    </row>
    <row r="44076" spans="25:25" hidden="1" x14ac:dyDescent="0.25">
      <c r="Y44076" s="501"/>
    </row>
    <row r="44077" spans="25:25" hidden="1" x14ac:dyDescent="0.25">
      <c r="Y44077" s="501"/>
    </row>
    <row r="44078" spans="25:25" hidden="1" x14ac:dyDescent="0.25">
      <c r="Y44078" s="501"/>
    </row>
    <row r="44079" spans="25:25" hidden="1" x14ac:dyDescent="0.25">
      <c r="Y44079" s="501"/>
    </row>
    <row r="44080" spans="25:25" hidden="1" x14ac:dyDescent="0.25">
      <c r="Y44080" s="501"/>
    </row>
    <row r="44081" spans="25:25" hidden="1" x14ac:dyDescent="0.25">
      <c r="Y44081" s="501"/>
    </row>
    <row r="44082" spans="25:25" hidden="1" x14ac:dyDescent="0.25">
      <c r="Y44082" s="501"/>
    </row>
    <row r="44083" spans="25:25" hidden="1" x14ac:dyDescent="0.25">
      <c r="Y44083" s="501"/>
    </row>
    <row r="44084" spans="25:25" hidden="1" x14ac:dyDescent="0.25">
      <c r="Y44084" s="501"/>
    </row>
    <row r="44085" spans="25:25" hidden="1" x14ac:dyDescent="0.25">
      <c r="Y44085" s="501"/>
    </row>
    <row r="44086" spans="25:25" hidden="1" x14ac:dyDescent="0.25">
      <c r="Y44086" s="501"/>
    </row>
    <row r="44087" spans="25:25" hidden="1" x14ac:dyDescent="0.25">
      <c r="Y44087" s="501"/>
    </row>
    <row r="44088" spans="25:25" hidden="1" x14ac:dyDescent="0.25">
      <c r="Y44088" s="501"/>
    </row>
    <row r="44089" spans="25:25" hidden="1" x14ac:dyDescent="0.25">
      <c r="Y44089" s="501"/>
    </row>
    <row r="44090" spans="25:25" hidden="1" x14ac:dyDescent="0.25">
      <c r="Y44090" s="501"/>
    </row>
    <row r="44091" spans="25:25" hidden="1" x14ac:dyDescent="0.25">
      <c r="Y44091" s="501"/>
    </row>
    <row r="44092" spans="25:25" hidden="1" x14ac:dyDescent="0.25">
      <c r="Y44092" s="501"/>
    </row>
    <row r="44093" spans="25:25" hidden="1" x14ac:dyDescent="0.25">
      <c r="Y44093" s="501"/>
    </row>
    <row r="44094" spans="25:25" hidden="1" x14ac:dyDescent="0.25">
      <c r="Y44094" s="501"/>
    </row>
    <row r="44095" spans="25:25" hidden="1" x14ac:dyDescent="0.25">
      <c r="Y44095" s="501"/>
    </row>
    <row r="44096" spans="25:25" hidden="1" x14ac:dyDescent="0.25">
      <c r="Y44096" s="501"/>
    </row>
    <row r="44097" spans="25:25" hidden="1" x14ac:dyDescent="0.25">
      <c r="Y44097" s="501"/>
    </row>
    <row r="44098" spans="25:25" hidden="1" x14ac:dyDescent="0.25">
      <c r="Y44098" s="501"/>
    </row>
    <row r="44099" spans="25:25" hidden="1" x14ac:dyDescent="0.25">
      <c r="Y44099" s="501"/>
    </row>
    <row r="44100" spans="25:25" hidden="1" x14ac:dyDescent="0.25">
      <c r="Y44100" s="501"/>
    </row>
    <row r="44101" spans="25:25" hidden="1" x14ac:dyDescent="0.25">
      <c r="Y44101" s="501"/>
    </row>
    <row r="44102" spans="25:25" hidden="1" x14ac:dyDescent="0.25">
      <c r="Y44102" s="501"/>
    </row>
    <row r="44103" spans="25:25" hidden="1" x14ac:dyDescent="0.25">
      <c r="Y44103" s="501"/>
    </row>
    <row r="44104" spans="25:25" hidden="1" x14ac:dyDescent="0.25">
      <c r="Y44104" s="501"/>
    </row>
    <row r="44105" spans="25:25" hidden="1" x14ac:dyDescent="0.25">
      <c r="Y44105" s="501"/>
    </row>
    <row r="44106" spans="25:25" hidden="1" x14ac:dyDescent="0.25">
      <c r="Y44106" s="501"/>
    </row>
    <row r="44107" spans="25:25" hidden="1" x14ac:dyDescent="0.25">
      <c r="Y44107" s="501"/>
    </row>
    <row r="44108" spans="25:25" hidden="1" x14ac:dyDescent="0.25">
      <c r="Y44108" s="501"/>
    </row>
    <row r="44109" spans="25:25" hidden="1" x14ac:dyDescent="0.25">
      <c r="Y44109" s="501"/>
    </row>
    <row r="44110" spans="25:25" hidden="1" x14ac:dyDescent="0.25">
      <c r="Y44110" s="501"/>
    </row>
    <row r="44111" spans="25:25" hidden="1" x14ac:dyDescent="0.25">
      <c r="Y44111" s="501"/>
    </row>
    <row r="44112" spans="25:25" hidden="1" x14ac:dyDescent="0.25">
      <c r="Y44112" s="501"/>
    </row>
    <row r="44113" spans="25:25" hidden="1" x14ac:dyDescent="0.25">
      <c r="Y44113" s="501"/>
    </row>
    <row r="44114" spans="25:25" hidden="1" x14ac:dyDescent="0.25">
      <c r="Y44114" s="501"/>
    </row>
    <row r="44115" spans="25:25" hidden="1" x14ac:dyDescent="0.25">
      <c r="Y44115" s="501"/>
    </row>
    <row r="44116" spans="25:25" hidden="1" x14ac:dyDescent="0.25">
      <c r="Y44116" s="501"/>
    </row>
    <row r="44117" spans="25:25" hidden="1" x14ac:dyDescent="0.25">
      <c r="Y44117" s="501"/>
    </row>
    <row r="44118" spans="25:25" hidden="1" x14ac:dyDescent="0.25">
      <c r="Y44118" s="501"/>
    </row>
    <row r="44119" spans="25:25" hidden="1" x14ac:dyDescent="0.25">
      <c r="Y44119" s="501"/>
    </row>
    <row r="44120" spans="25:25" hidden="1" x14ac:dyDescent="0.25">
      <c r="Y44120" s="501"/>
    </row>
    <row r="44121" spans="25:25" hidden="1" x14ac:dyDescent="0.25">
      <c r="Y44121" s="501"/>
    </row>
    <row r="44122" spans="25:25" hidden="1" x14ac:dyDescent="0.25">
      <c r="Y44122" s="501"/>
    </row>
    <row r="44123" spans="25:25" hidden="1" x14ac:dyDescent="0.25">
      <c r="Y44123" s="501"/>
    </row>
    <row r="44124" spans="25:25" hidden="1" x14ac:dyDescent="0.25">
      <c r="Y44124" s="501"/>
    </row>
    <row r="44125" spans="25:25" hidden="1" x14ac:dyDescent="0.25">
      <c r="Y44125" s="501"/>
    </row>
    <row r="44126" spans="25:25" hidden="1" x14ac:dyDescent="0.25">
      <c r="Y44126" s="501"/>
    </row>
    <row r="44127" spans="25:25" hidden="1" x14ac:dyDescent="0.25">
      <c r="Y44127" s="501"/>
    </row>
    <row r="44128" spans="25:25" hidden="1" x14ac:dyDescent="0.25">
      <c r="Y44128" s="501"/>
    </row>
    <row r="44129" spans="25:25" hidden="1" x14ac:dyDescent="0.25">
      <c r="Y44129" s="501"/>
    </row>
    <row r="44130" spans="25:25" hidden="1" x14ac:dyDescent="0.25">
      <c r="Y44130" s="501"/>
    </row>
    <row r="44131" spans="25:25" hidden="1" x14ac:dyDescent="0.25">
      <c r="Y44131" s="501"/>
    </row>
    <row r="44132" spans="25:25" hidden="1" x14ac:dyDescent="0.25">
      <c r="Y44132" s="501"/>
    </row>
    <row r="44133" spans="25:25" hidden="1" x14ac:dyDescent="0.25">
      <c r="Y44133" s="501"/>
    </row>
    <row r="44134" spans="25:25" hidden="1" x14ac:dyDescent="0.25">
      <c r="Y44134" s="501"/>
    </row>
    <row r="44135" spans="25:25" hidden="1" x14ac:dyDescent="0.25">
      <c r="Y44135" s="501"/>
    </row>
    <row r="44136" spans="25:25" hidden="1" x14ac:dyDescent="0.25">
      <c r="Y44136" s="501"/>
    </row>
    <row r="44137" spans="25:25" hidden="1" x14ac:dyDescent="0.25">
      <c r="Y44137" s="501"/>
    </row>
    <row r="44138" spans="25:25" hidden="1" x14ac:dyDescent="0.25">
      <c r="Y44138" s="501"/>
    </row>
    <row r="44139" spans="25:25" hidden="1" x14ac:dyDescent="0.25">
      <c r="Y44139" s="501"/>
    </row>
    <row r="44140" spans="25:25" hidden="1" x14ac:dyDescent="0.25">
      <c r="Y44140" s="501"/>
    </row>
    <row r="44141" spans="25:25" hidden="1" x14ac:dyDescent="0.25">
      <c r="Y44141" s="501"/>
    </row>
    <row r="44142" spans="25:25" hidden="1" x14ac:dyDescent="0.25">
      <c r="Y44142" s="501"/>
    </row>
    <row r="44143" spans="25:25" hidden="1" x14ac:dyDescent="0.25">
      <c r="Y44143" s="501"/>
    </row>
    <row r="44144" spans="25:25" hidden="1" x14ac:dyDescent="0.25">
      <c r="Y44144" s="501"/>
    </row>
    <row r="44145" spans="25:25" hidden="1" x14ac:dyDescent="0.25">
      <c r="Y44145" s="501"/>
    </row>
    <row r="44146" spans="25:25" hidden="1" x14ac:dyDescent="0.25">
      <c r="Y44146" s="501"/>
    </row>
    <row r="44147" spans="25:25" hidden="1" x14ac:dyDescent="0.25">
      <c r="Y44147" s="501"/>
    </row>
    <row r="44148" spans="25:25" hidden="1" x14ac:dyDescent="0.25">
      <c r="Y44148" s="501"/>
    </row>
    <row r="44149" spans="25:25" hidden="1" x14ac:dyDescent="0.25">
      <c r="Y44149" s="501"/>
    </row>
    <row r="44150" spans="25:25" hidden="1" x14ac:dyDescent="0.25">
      <c r="Y44150" s="501"/>
    </row>
    <row r="44151" spans="25:25" hidden="1" x14ac:dyDescent="0.25">
      <c r="Y44151" s="501"/>
    </row>
    <row r="44152" spans="25:25" hidden="1" x14ac:dyDescent="0.25">
      <c r="Y44152" s="501"/>
    </row>
    <row r="44153" spans="25:25" hidden="1" x14ac:dyDescent="0.25">
      <c r="Y44153" s="501"/>
    </row>
    <row r="44154" spans="25:25" hidden="1" x14ac:dyDescent="0.25">
      <c r="Y44154" s="501"/>
    </row>
    <row r="44155" spans="25:25" hidden="1" x14ac:dyDescent="0.25">
      <c r="Y44155" s="501"/>
    </row>
    <row r="44156" spans="25:25" hidden="1" x14ac:dyDescent="0.25">
      <c r="Y44156" s="501"/>
    </row>
    <row r="44157" spans="25:25" hidden="1" x14ac:dyDescent="0.25">
      <c r="Y44157" s="501"/>
    </row>
    <row r="44158" spans="25:25" hidden="1" x14ac:dyDescent="0.25">
      <c r="Y44158" s="501"/>
    </row>
    <row r="44159" spans="25:25" hidden="1" x14ac:dyDescent="0.25">
      <c r="Y44159" s="501"/>
    </row>
    <row r="44160" spans="25:25" hidden="1" x14ac:dyDescent="0.25">
      <c r="Y44160" s="501"/>
    </row>
    <row r="44161" spans="25:25" hidden="1" x14ac:dyDescent="0.25">
      <c r="Y44161" s="501"/>
    </row>
    <row r="44162" spans="25:25" hidden="1" x14ac:dyDescent="0.25">
      <c r="Y44162" s="501"/>
    </row>
    <row r="44163" spans="25:25" hidden="1" x14ac:dyDescent="0.25">
      <c r="Y44163" s="501"/>
    </row>
    <row r="44164" spans="25:25" hidden="1" x14ac:dyDescent="0.25">
      <c r="Y44164" s="501"/>
    </row>
    <row r="44165" spans="25:25" hidden="1" x14ac:dyDescent="0.25">
      <c r="Y44165" s="501"/>
    </row>
    <row r="44166" spans="25:25" hidden="1" x14ac:dyDescent="0.25">
      <c r="Y44166" s="501"/>
    </row>
    <row r="44167" spans="25:25" hidden="1" x14ac:dyDescent="0.25">
      <c r="Y44167" s="501"/>
    </row>
    <row r="44168" spans="25:25" hidden="1" x14ac:dyDescent="0.25">
      <c r="Y44168" s="501"/>
    </row>
    <row r="44169" spans="25:25" hidden="1" x14ac:dyDescent="0.25">
      <c r="Y44169" s="501"/>
    </row>
    <row r="44170" spans="25:25" hidden="1" x14ac:dyDescent="0.25">
      <c r="Y44170" s="501"/>
    </row>
    <row r="44171" spans="25:25" hidden="1" x14ac:dyDescent="0.25">
      <c r="Y44171" s="501"/>
    </row>
    <row r="44172" spans="25:25" hidden="1" x14ac:dyDescent="0.25">
      <c r="Y44172" s="501"/>
    </row>
    <row r="44173" spans="25:25" hidden="1" x14ac:dyDescent="0.25">
      <c r="Y44173" s="501"/>
    </row>
    <row r="44174" spans="25:25" hidden="1" x14ac:dyDescent="0.25">
      <c r="Y44174" s="501"/>
    </row>
    <row r="44175" spans="25:25" hidden="1" x14ac:dyDescent="0.25">
      <c r="Y44175" s="501"/>
    </row>
    <row r="44176" spans="25:25" hidden="1" x14ac:dyDescent="0.25">
      <c r="Y44176" s="501"/>
    </row>
    <row r="44177" spans="25:25" hidden="1" x14ac:dyDescent="0.25">
      <c r="Y44177" s="501"/>
    </row>
    <row r="44178" spans="25:25" hidden="1" x14ac:dyDescent="0.25">
      <c r="Y44178" s="501"/>
    </row>
    <row r="44179" spans="25:25" hidden="1" x14ac:dyDescent="0.25">
      <c r="Y44179" s="501"/>
    </row>
    <row r="44180" spans="25:25" hidden="1" x14ac:dyDescent="0.25">
      <c r="Y44180" s="501"/>
    </row>
    <row r="44181" spans="25:25" hidden="1" x14ac:dyDescent="0.25">
      <c r="Y44181" s="501"/>
    </row>
    <row r="44182" spans="25:25" hidden="1" x14ac:dyDescent="0.25">
      <c r="Y44182" s="501"/>
    </row>
    <row r="44183" spans="25:25" hidden="1" x14ac:dyDescent="0.25">
      <c r="Y44183" s="501"/>
    </row>
    <row r="44184" spans="25:25" hidden="1" x14ac:dyDescent="0.25">
      <c r="Y44184" s="501"/>
    </row>
    <row r="44185" spans="25:25" hidden="1" x14ac:dyDescent="0.25">
      <c r="Y44185" s="501"/>
    </row>
    <row r="44186" spans="25:25" hidden="1" x14ac:dyDescent="0.25">
      <c r="Y44186" s="501"/>
    </row>
    <row r="44187" spans="25:25" hidden="1" x14ac:dyDescent="0.25">
      <c r="Y44187" s="501"/>
    </row>
    <row r="44188" spans="25:25" hidden="1" x14ac:dyDescent="0.25">
      <c r="Y44188" s="501"/>
    </row>
    <row r="44189" spans="25:25" hidden="1" x14ac:dyDescent="0.25">
      <c r="Y44189" s="501"/>
    </row>
    <row r="44190" spans="25:25" hidden="1" x14ac:dyDescent="0.25">
      <c r="Y44190" s="501"/>
    </row>
    <row r="44191" spans="25:25" hidden="1" x14ac:dyDescent="0.25">
      <c r="Y44191" s="501"/>
    </row>
    <row r="44192" spans="25:25" hidden="1" x14ac:dyDescent="0.25">
      <c r="Y44192" s="501"/>
    </row>
    <row r="44193" spans="25:25" hidden="1" x14ac:dyDescent="0.25">
      <c r="Y44193" s="501"/>
    </row>
    <row r="44194" spans="25:25" hidden="1" x14ac:dyDescent="0.25">
      <c r="Y44194" s="501"/>
    </row>
    <row r="44195" spans="25:25" hidden="1" x14ac:dyDescent="0.25">
      <c r="Y44195" s="501"/>
    </row>
    <row r="44196" spans="25:25" hidden="1" x14ac:dyDescent="0.25">
      <c r="Y44196" s="501"/>
    </row>
    <row r="44197" spans="25:25" hidden="1" x14ac:dyDescent="0.25">
      <c r="Y44197" s="501"/>
    </row>
    <row r="44198" spans="25:25" hidden="1" x14ac:dyDescent="0.25">
      <c r="Y44198" s="501"/>
    </row>
    <row r="44199" spans="25:25" hidden="1" x14ac:dyDescent="0.25">
      <c r="Y44199" s="501"/>
    </row>
    <row r="44200" spans="25:25" hidden="1" x14ac:dyDescent="0.25">
      <c r="Y44200" s="501"/>
    </row>
    <row r="44201" spans="25:25" hidden="1" x14ac:dyDescent="0.25">
      <c r="Y44201" s="501"/>
    </row>
    <row r="44202" spans="25:25" hidden="1" x14ac:dyDescent="0.25">
      <c r="Y44202" s="501"/>
    </row>
    <row r="44203" spans="25:25" hidden="1" x14ac:dyDescent="0.25">
      <c r="Y44203" s="501"/>
    </row>
    <row r="44204" spans="25:25" hidden="1" x14ac:dyDescent="0.25">
      <c r="Y44204" s="501"/>
    </row>
    <row r="44205" spans="25:25" hidden="1" x14ac:dyDescent="0.25">
      <c r="Y44205" s="501"/>
    </row>
    <row r="44206" spans="25:25" hidden="1" x14ac:dyDescent="0.25">
      <c r="Y44206" s="501"/>
    </row>
    <row r="44207" spans="25:25" hidden="1" x14ac:dyDescent="0.25">
      <c r="Y44207" s="501"/>
    </row>
    <row r="44208" spans="25:25" hidden="1" x14ac:dyDescent="0.25">
      <c r="Y44208" s="501"/>
    </row>
    <row r="44209" spans="25:25" hidden="1" x14ac:dyDescent="0.25">
      <c r="Y44209" s="501"/>
    </row>
    <row r="44210" spans="25:25" hidden="1" x14ac:dyDescent="0.25">
      <c r="Y44210" s="501"/>
    </row>
    <row r="44211" spans="25:25" hidden="1" x14ac:dyDescent="0.25">
      <c r="Y44211" s="501"/>
    </row>
    <row r="44212" spans="25:25" hidden="1" x14ac:dyDescent="0.25">
      <c r="Y44212" s="501"/>
    </row>
    <row r="44213" spans="25:25" hidden="1" x14ac:dyDescent="0.25">
      <c r="Y44213" s="501"/>
    </row>
    <row r="44214" spans="25:25" hidden="1" x14ac:dyDescent="0.25">
      <c r="Y44214" s="501"/>
    </row>
    <row r="44215" spans="25:25" hidden="1" x14ac:dyDescent="0.25">
      <c r="Y44215" s="501"/>
    </row>
    <row r="44216" spans="25:25" hidden="1" x14ac:dyDescent="0.25">
      <c r="Y44216" s="501"/>
    </row>
    <row r="44217" spans="25:25" hidden="1" x14ac:dyDescent="0.25">
      <c r="Y44217" s="501"/>
    </row>
    <row r="44218" spans="25:25" hidden="1" x14ac:dyDescent="0.25">
      <c r="Y44218" s="501"/>
    </row>
    <row r="44219" spans="25:25" hidden="1" x14ac:dyDescent="0.25">
      <c r="Y44219" s="501"/>
    </row>
    <row r="44220" spans="25:25" hidden="1" x14ac:dyDescent="0.25">
      <c r="Y44220" s="501"/>
    </row>
    <row r="44221" spans="25:25" hidden="1" x14ac:dyDescent="0.25">
      <c r="Y44221" s="501"/>
    </row>
    <row r="44222" spans="25:25" hidden="1" x14ac:dyDescent="0.25">
      <c r="Y44222" s="501"/>
    </row>
    <row r="44223" spans="25:25" hidden="1" x14ac:dyDescent="0.25">
      <c r="Y44223" s="501"/>
    </row>
    <row r="44224" spans="25:25" hidden="1" x14ac:dyDescent="0.25">
      <c r="Y44224" s="501"/>
    </row>
    <row r="44225" spans="25:25" hidden="1" x14ac:dyDescent="0.25">
      <c r="Y44225" s="501"/>
    </row>
    <row r="44226" spans="25:25" hidden="1" x14ac:dyDescent="0.25">
      <c r="Y44226" s="501"/>
    </row>
    <row r="44227" spans="25:25" hidden="1" x14ac:dyDescent="0.25">
      <c r="Y44227" s="501"/>
    </row>
    <row r="44228" spans="25:25" hidden="1" x14ac:dyDescent="0.25">
      <c r="Y44228" s="501"/>
    </row>
    <row r="44229" spans="25:25" hidden="1" x14ac:dyDescent="0.25">
      <c r="Y44229" s="501"/>
    </row>
    <row r="44230" spans="25:25" hidden="1" x14ac:dyDescent="0.25">
      <c r="Y44230" s="501"/>
    </row>
    <row r="44231" spans="25:25" hidden="1" x14ac:dyDescent="0.25">
      <c r="Y44231" s="501"/>
    </row>
    <row r="44232" spans="25:25" hidden="1" x14ac:dyDescent="0.25">
      <c r="Y44232" s="501"/>
    </row>
    <row r="44233" spans="25:25" hidden="1" x14ac:dyDescent="0.25">
      <c r="Y44233" s="501"/>
    </row>
    <row r="44234" spans="25:25" hidden="1" x14ac:dyDescent="0.25">
      <c r="Y44234" s="501"/>
    </row>
    <row r="44235" spans="25:25" hidden="1" x14ac:dyDescent="0.25">
      <c r="Y44235" s="501"/>
    </row>
    <row r="44236" spans="25:25" hidden="1" x14ac:dyDescent="0.25">
      <c r="Y44236" s="501"/>
    </row>
    <row r="44237" spans="25:25" hidden="1" x14ac:dyDescent="0.25">
      <c r="Y44237" s="501"/>
    </row>
    <row r="44238" spans="25:25" hidden="1" x14ac:dyDescent="0.25">
      <c r="Y44238" s="501"/>
    </row>
    <row r="44239" spans="25:25" hidden="1" x14ac:dyDescent="0.25">
      <c r="Y44239" s="501"/>
    </row>
    <row r="44240" spans="25:25" hidden="1" x14ac:dyDescent="0.25">
      <c r="Y44240" s="501"/>
    </row>
    <row r="44241" spans="25:25" hidden="1" x14ac:dyDescent="0.25">
      <c r="Y44241" s="501"/>
    </row>
    <row r="44242" spans="25:25" hidden="1" x14ac:dyDescent="0.25">
      <c r="Y44242" s="501"/>
    </row>
    <row r="44243" spans="25:25" hidden="1" x14ac:dyDescent="0.25">
      <c r="Y44243" s="501"/>
    </row>
    <row r="44244" spans="25:25" hidden="1" x14ac:dyDescent="0.25">
      <c r="Y44244" s="501"/>
    </row>
    <row r="44245" spans="25:25" hidden="1" x14ac:dyDescent="0.25">
      <c r="Y44245" s="501"/>
    </row>
    <row r="44246" spans="25:25" hidden="1" x14ac:dyDescent="0.25">
      <c r="Y44246" s="501"/>
    </row>
    <row r="44247" spans="25:25" hidden="1" x14ac:dyDescent="0.25">
      <c r="Y44247" s="501"/>
    </row>
    <row r="44248" spans="25:25" hidden="1" x14ac:dyDescent="0.25">
      <c r="Y44248" s="501"/>
    </row>
    <row r="44249" spans="25:25" hidden="1" x14ac:dyDescent="0.25">
      <c r="Y44249" s="501"/>
    </row>
    <row r="44250" spans="25:25" hidden="1" x14ac:dyDescent="0.25">
      <c r="Y44250" s="501"/>
    </row>
    <row r="44251" spans="25:25" hidden="1" x14ac:dyDescent="0.25">
      <c r="Y44251" s="501"/>
    </row>
    <row r="44252" spans="25:25" hidden="1" x14ac:dyDescent="0.25">
      <c r="Y44252" s="501"/>
    </row>
    <row r="44253" spans="25:25" hidden="1" x14ac:dyDescent="0.25">
      <c r="Y44253" s="501"/>
    </row>
    <row r="44254" spans="25:25" hidden="1" x14ac:dyDescent="0.25">
      <c r="Y44254" s="501"/>
    </row>
    <row r="44255" spans="25:25" hidden="1" x14ac:dyDescent="0.25">
      <c r="Y44255" s="501"/>
    </row>
    <row r="44256" spans="25:25" hidden="1" x14ac:dyDescent="0.25">
      <c r="Y44256" s="501"/>
    </row>
    <row r="44257" spans="25:25" hidden="1" x14ac:dyDescent="0.25">
      <c r="Y44257" s="501"/>
    </row>
    <row r="44258" spans="25:25" hidden="1" x14ac:dyDescent="0.25">
      <c r="Y44258" s="501"/>
    </row>
    <row r="44259" spans="25:25" hidden="1" x14ac:dyDescent="0.25">
      <c r="Y44259" s="501"/>
    </row>
    <row r="44260" spans="25:25" hidden="1" x14ac:dyDescent="0.25">
      <c r="Y44260" s="501"/>
    </row>
    <row r="44261" spans="25:25" hidden="1" x14ac:dyDescent="0.25">
      <c r="Y44261" s="501"/>
    </row>
    <row r="44262" spans="25:25" hidden="1" x14ac:dyDescent="0.25">
      <c r="Y44262" s="501"/>
    </row>
    <row r="44263" spans="25:25" hidden="1" x14ac:dyDescent="0.25">
      <c r="Y44263" s="501"/>
    </row>
    <row r="44264" spans="25:25" hidden="1" x14ac:dyDescent="0.25">
      <c r="Y44264" s="501"/>
    </row>
    <row r="44265" spans="25:25" hidden="1" x14ac:dyDescent="0.25">
      <c r="Y44265" s="501"/>
    </row>
    <row r="44266" spans="25:25" hidden="1" x14ac:dyDescent="0.25">
      <c r="Y44266" s="501"/>
    </row>
    <row r="44267" spans="25:25" hidden="1" x14ac:dyDescent="0.25">
      <c r="Y44267" s="501"/>
    </row>
    <row r="44268" spans="25:25" hidden="1" x14ac:dyDescent="0.25">
      <c r="Y44268" s="501"/>
    </row>
    <row r="44269" spans="25:25" hidden="1" x14ac:dyDescent="0.25">
      <c r="Y44269" s="501"/>
    </row>
    <row r="44270" spans="25:25" hidden="1" x14ac:dyDescent="0.25">
      <c r="Y44270" s="501"/>
    </row>
    <row r="44271" spans="25:25" hidden="1" x14ac:dyDescent="0.25">
      <c r="Y44271" s="501"/>
    </row>
    <row r="44272" spans="25:25" hidden="1" x14ac:dyDescent="0.25">
      <c r="Y44272" s="501"/>
    </row>
    <row r="44273" spans="25:25" hidden="1" x14ac:dyDescent="0.25">
      <c r="Y44273" s="501"/>
    </row>
    <row r="44274" spans="25:25" hidden="1" x14ac:dyDescent="0.25">
      <c r="Y44274" s="501"/>
    </row>
    <row r="44275" spans="25:25" hidden="1" x14ac:dyDescent="0.25">
      <c r="Y44275" s="501"/>
    </row>
    <row r="44276" spans="25:25" hidden="1" x14ac:dyDescent="0.25">
      <c r="Y44276" s="501"/>
    </row>
    <row r="44277" spans="25:25" hidden="1" x14ac:dyDescent="0.25">
      <c r="Y44277" s="501"/>
    </row>
    <row r="44278" spans="25:25" hidden="1" x14ac:dyDescent="0.25">
      <c r="Y44278" s="501"/>
    </row>
    <row r="44279" spans="25:25" hidden="1" x14ac:dyDescent="0.25">
      <c r="Y44279" s="501"/>
    </row>
    <row r="44280" spans="25:25" hidden="1" x14ac:dyDescent="0.25">
      <c r="Y44280" s="501"/>
    </row>
    <row r="44281" spans="25:25" hidden="1" x14ac:dyDescent="0.25">
      <c r="Y44281" s="501"/>
    </row>
    <row r="44282" spans="25:25" hidden="1" x14ac:dyDescent="0.25">
      <c r="Y44282" s="501"/>
    </row>
    <row r="44283" spans="25:25" hidden="1" x14ac:dyDescent="0.25">
      <c r="Y44283" s="501"/>
    </row>
    <row r="44284" spans="25:25" hidden="1" x14ac:dyDescent="0.25">
      <c r="Y44284" s="501"/>
    </row>
    <row r="44285" spans="25:25" hidden="1" x14ac:dyDescent="0.25">
      <c r="Y44285" s="501"/>
    </row>
    <row r="44286" spans="25:25" hidden="1" x14ac:dyDescent="0.25">
      <c r="Y44286" s="501"/>
    </row>
    <row r="44287" spans="25:25" hidden="1" x14ac:dyDescent="0.25">
      <c r="Y44287" s="501"/>
    </row>
    <row r="44288" spans="25:25" hidden="1" x14ac:dyDescent="0.25">
      <c r="Y44288" s="501"/>
    </row>
    <row r="44289" spans="25:25" hidden="1" x14ac:dyDescent="0.25">
      <c r="Y44289" s="501"/>
    </row>
    <row r="44290" spans="25:25" hidden="1" x14ac:dyDescent="0.25">
      <c r="Y44290" s="501"/>
    </row>
    <row r="44291" spans="25:25" hidden="1" x14ac:dyDescent="0.25">
      <c r="Y44291" s="501"/>
    </row>
    <row r="44292" spans="25:25" hidden="1" x14ac:dyDescent="0.25">
      <c r="Y44292" s="501"/>
    </row>
    <row r="44293" spans="25:25" hidden="1" x14ac:dyDescent="0.25">
      <c r="Y44293" s="501"/>
    </row>
    <row r="44294" spans="25:25" hidden="1" x14ac:dyDescent="0.25">
      <c r="Y44294" s="501"/>
    </row>
    <row r="44295" spans="25:25" hidden="1" x14ac:dyDescent="0.25">
      <c r="Y44295" s="501"/>
    </row>
    <row r="44296" spans="25:25" hidden="1" x14ac:dyDescent="0.25">
      <c r="Y44296" s="501"/>
    </row>
    <row r="44297" spans="25:25" hidden="1" x14ac:dyDescent="0.25">
      <c r="Y44297" s="501"/>
    </row>
    <row r="44298" spans="25:25" hidden="1" x14ac:dyDescent="0.25">
      <c r="Y44298" s="501"/>
    </row>
    <row r="44299" spans="25:25" hidden="1" x14ac:dyDescent="0.25">
      <c r="Y44299" s="501"/>
    </row>
    <row r="44300" spans="25:25" hidden="1" x14ac:dyDescent="0.25">
      <c r="Y44300" s="501"/>
    </row>
    <row r="44301" spans="25:25" hidden="1" x14ac:dyDescent="0.25">
      <c r="Y44301" s="501"/>
    </row>
    <row r="44302" spans="25:25" hidden="1" x14ac:dyDescent="0.25">
      <c r="Y44302" s="501"/>
    </row>
    <row r="44303" spans="25:25" hidden="1" x14ac:dyDescent="0.25">
      <c r="Y44303" s="501"/>
    </row>
    <row r="44304" spans="25:25" hidden="1" x14ac:dyDescent="0.25">
      <c r="Y44304" s="501"/>
    </row>
    <row r="44305" spans="25:25" hidden="1" x14ac:dyDescent="0.25">
      <c r="Y44305" s="501"/>
    </row>
    <row r="44306" spans="25:25" hidden="1" x14ac:dyDescent="0.25">
      <c r="Y44306" s="501"/>
    </row>
    <row r="44307" spans="25:25" hidden="1" x14ac:dyDescent="0.25">
      <c r="Y44307" s="501"/>
    </row>
    <row r="44308" spans="25:25" hidden="1" x14ac:dyDescent="0.25">
      <c r="Y44308" s="501"/>
    </row>
    <row r="44309" spans="25:25" hidden="1" x14ac:dyDescent="0.25">
      <c r="Y44309" s="501"/>
    </row>
    <row r="44310" spans="25:25" hidden="1" x14ac:dyDescent="0.25">
      <c r="Y44310" s="501"/>
    </row>
    <row r="44311" spans="25:25" hidden="1" x14ac:dyDescent="0.25">
      <c r="Y44311" s="501"/>
    </row>
    <row r="44312" spans="25:25" hidden="1" x14ac:dyDescent="0.25">
      <c r="Y44312" s="501"/>
    </row>
    <row r="44313" spans="25:25" hidden="1" x14ac:dyDescent="0.25">
      <c r="Y44313" s="501"/>
    </row>
    <row r="44314" spans="25:25" hidden="1" x14ac:dyDescent="0.25">
      <c r="Y44314" s="501"/>
    </row>
    <row r="44315" spans="25:25" hidden="1" x14ac:dyDescent="0.25">
      <c r="Y44315" s="501"/>
    </row>
    <row r="44316" spans="25:25" hidden="1" x14ac:dyDescent="0.25">
      <c r="Y44316" s="501"/>
    </row>
    <row r="44317" spans="25:25" hidden="1" x14ac:dyDescent="0.25">
      <c r="Y44317" s="501"/>
    </row>
    <row r="44318" spans="25:25" hidden="1" x14ac:dyDescent="0.25">
      <c r="Y44318" s="501"/>
    </row>
    <row r="44319" spans="25:25" hidden="1" x14ac:dyDescent="0.25">
      <c r="Y44319" s="501"/>
    </row>
    <row r="44320" spans="25:25" hidden="1" x14ac:dyDescent="0.25">
      <c r="Y44320" s="501"/>
    </row>
    <row r="44321" spans="25:25" hidden="1" x14ac:dyDescent="0.25">
      <c r="Y44321" s="501"/>
    </row>
    <row r="44322" spans="25:25" hidden="1" x14ac:dyDescent="0.25">
      <c r="Y44322" s="501"/>
    </row>
    <row r="44323" spans="25:25" hidden="1" x14ac:dyDescent="0.25">
      <c r="Y44323" s="501"/>
    </row>
    <row r="44324" spans="25:25" hidden="1" x14ac:dyDescent="0.25">
      <c r="Y44324" s="501"/>
    </row>
    <row r="44325" spans="25:25" hidden="1" x14ac:dyDescent="0.25">
      <c r="Y44325" s="501"/>
    </row>
    <row r="44326" spans="25:25" hidden="1" x14ac:dyDescent="0.25">
      <c r="Y44326" s="501"/>
    </row>
    <row r="44327" spans="25:25" hidden="1" x14ac:dyDescent="0.25">
      <c r="Y44327" s="501"/>
    </row>
    <row r="44328" spans="25:25" hidden="1" x14ac:dyDescent="0.25">
      <c r="Y44328" s="501"/>
    </row>
    <row r="44329" spans="25:25" hidden="1" x14ac:dyDescent="0.25">
      <c r="Y44329" s="501"/>
    </row>
    <row r="44330" spans="25:25" hidden="1" x14ac:dyDescent="0.25">
      <c r="Y44330" s="501"/>
    </row>
    <row r="44331" spans="25:25" hidden="1" x14ac:dyDescent="0.25">
      <c r="Y44331" s="501"/>
    </row>
    <row r="44332" spans="25:25" hidden="1" x14ac:dyDescent="0.25">
      <c r="Y44332" s="501"/>
    </row>
    <row r="44333" spans="25:25" hidden="1" x14ac:dyDescent="0.25">
      <c r="Y44333" s="501"/>
    </row>
    <row r="44334" spans="25:25" hidden="1" x14ac:dyDescent="0.25">
      <c r="Y44334" s="501"/>
    </row>
    <row r="44335" spans="25:25" hidden="1" x14ac:dyDescent="0.25">
      <c r="Y44335" s="501"/>
    </row>
    <row r="44336" spans="25:25" hidden="1" x14ac:dyDescent="0.25">
      <c r="Y44336" s="501"/>
    </row>
    <row r="44337" spans="25:25" hidden="1" x14ac:dyDescent="0.25">
      <c r="Y44337" s="501"/>
    </row>
    <row r="44338" spans="25:25" hidden="1" x14ac:dyDescent="0.25">
      <c r="Y44338" s="501"/>
    </row>
    <row r="44339" spans="25:25" hidden="1" x14ac:dyDescent="0.25">
      <c r="Y44339" s="501"/>
    </row>
    <row r="44340" spans="25:25" hidden="1" x14ac:dyDescent="0.25">
      <c r="Y44340" s="501"/>
    </row>
    <row r="44341" spans="25:25" hidden="1" x14ac:dyDescent="0.25">
      <c r="Y44341" s="501"/>
    </row>
    <row r="44342" spans="25:25" hidden="1" x14ac:dyDescent="0.25">
      <c r="Y44342" s="501"/>
    </row>
    <row r="44343" spans="25:25" hidden="1" x14ac:dyDescent="0.25">
      <c r="Y44343" s="501"/>
    </row>
    <row r="44344" spans="25:25" hidden="1" x14ac:dyDescent="0.25">
      <c r="Y44344" s="501"/>
    </row>
    <row r="44345" spans="25:25" hidden="1" x14ac:dyDescent="0.25">
      <c r="Y44345" s="501"/>
    </row>
    <row r="44346" spans="25:25" hidden="1" x14ac:dyDescent="0.25">
      <c r="Y44346" s="501"/>
    </row>
    <row r="44347" spans="25:25" hidden="1" x14ac:dyDescent="0.25">
      <c r="Y44347" s="501"/>
    </row>
    <row r="44348" spans="25:25" hidden="1" x14ac:dyDescent="0.25">
      <c r="Y44348" s="501"/>
    </row>
    <row r="44349" spans="25:25" hidden="1" x14ac:dyDescent="0.25">
      <c r="Y44349" s="501"/>
    </row>
    <row r="44350" spans="25:25" hidden="1" x14ac:dyDescent="0.25">
      <c r="Y44350" s="501"/>
    </row>
    <row r="44351" spans="25:25" hidden="1" x14ac:dyDescent="0.25">
      <c r="Y44351" s="501"/>
    </row>
    <row r="44352" spans="25:25" hidden="1" x14ac:dyDescent="0.25">
      <c r="Y44352" s="501"/>
    </row>
    <row r="44353" spans="25:25" hidden="1" x14ac:dyDescent="0.25">
      <c r="Y44353" s="501"/>
    </row>
    <row r="44354" spans="25:25" hidden="1" x14ac:dyDescent="0.25">
      <c r="Y44354" s="501"/>
    </row>
    <row r="44355" spans="25:25" hidden="1" x14ac:dyDescent="0.25">
      <c r="Y44355" s="501"/>
    </row>
    <row r="44356" spans="25:25" hidden="1" x14ac:dyDescent="0.25">
      <c r="Y44356" s="501"/>
    </row>
    <row r="44357" spans="25:25" hidden="1" x14ac:dyDescent="0.25">
      <c r="Y44357" s="501"/>
    </row>
    <row r="44358" spans="25:25" hidden="1" x14ac:dyDescent="0.25">
      <c r="Y44358" s="501"/>
    </row>
    <row r="44359" spans="25:25" hidden="1" x14ac:dyDescent="0.25">
      <c r="Y44359" s="501"/>
    </row>
    <row r="44360" spans="25:25" hidden="1" x14ac:dyDescent="0.25">
      <c r="Y44360" s="501"/>
    </row>
    <row r="44361" spans="25:25" hidden="1" x14ac:dyDescent="0.25">
      <c r="Y44361" s="501"/>
    </row>
    <row r="44362" spans="25:25" hidden="1" x14ac:dyDescent="0.25">
      <c r="Y44362" s="501"/>
    </row>
    <row r="44363" spans="25:25" hidden="1" x14ac:dyDescent="0.25">
      <c r="Y44363" s="501"/>
    </row>
    <row r="44364" spans="25:25" hidden="1" x14ac:dyDescent="0.25">
      <c r="Y44364" s="501"/>
    </row>
    <row r="44365" spans="25:25" hidden="1" x14ac:dyDescent="0.25">
      <c r="Y44365" s="501"/>
    </row>
    <row r="44366" spans="25:25" hidden="1" x14ac:dyDescent="0.25">
      <c r="Y44366" s="501"/>
    </row>
    <row r="44367" spans="25:25" hidden="1" x14ac:dyDescent="0.25">
      <c r="Y44367" s="501"/>
    </row>
    <row r="44368" spans="25:25" hidden="1" x14ac:dyDescent="0.25">
      <c r="Y44368" s="501"/>
    </row>
    <row r="44369" spans="25:25" hidden="1" x14ac:dyDescent="0.25">
      <c r="Y44369" s="501"/>
    </row>
    <row r="44370" spans="25:25" hidden="1" x14ac:dyDescent="0.25">
      <c r="Y44370" s="501"/>
    </row>
    <row r="44371" spans="25:25" hidden="1" x14ac:dyDescent="0.25">
      <c r="Y44371" s="501"/>
    </row>
    <row r="44372" spans="25:25" hidden="1" x14ac:dyDescent="0.25">
      <c r="Y44372" s="501"/>
    </row>
    <row r="44373" spans="25:25" hidden="1" x14ac:dyDescent="0.25">
      <c r="Y44373" s="501"/>
    </row>
    <row r="44374" spans="25:25" hidden="1" x14ac:dyDescent="0.25">
      <c r="Y44374" s="501"/>
    </row>
    <row r="44375" spans="25:25" hidden="1" x14ac:dyDescent="0.25">
      <c r="Y44375" s="501"/>
    </row>
    <row r="44376" spans="25:25" hidden="1" x14ac:dyDescent="0.25">
      <c r="Y44376" s="501"/>
    </row>
    <row r="44377" spans="25:25" hidden="1" x14ac:dyDescent="0.25">
      <c r="Y44377" s="501"/>
    </row>
    <row r="44378" spans="25:25" hidden="1" x14ac:dyDescent="0.25">
      <c r="Y44378" s="501"/>
    </row>
    <row r="44379" spans="25:25" hidden="1" x14ac:dyDescent="0.25">
      <c r="Y44379" s="501"/>
    </row>
    <row r="44380" spans="25:25" hidden="1" x14ac:dyDescent="0.25">
      <c r="Y44380" s="501"/>
    </row>
    <row r="44381" spans="25:25" hidden="1" x14ac:dyDescent="0.25">
      <c r="Y44381" s="501"/>
    </row>
    <row r="44382" spans="25:25" hidden="1" x14ac:dyDescent="0.25">
      <c r="Y44382" s="501"/>
    </row>
    <row r="44383" spans="25:25" hidden="1" x14ac:dyDescent="0.25">
      <c r="Y44383" s="501"/>
    </row>
    <row r="44384" spans="25:25" hidden="1" x14ac:dyDescent="0.25">
      <c r="Y44384" s="501"/>
    </row>
    <row r="44385" spans="25:25" hidden="1" x14ac:dyDescent="0.25">
      <c r="Y44385" s="501"/>
    </row>
    <row r="44386" spans="25:25" hidden="1" x14ac:dyDescent="0.25">
      <c r="Y44386" s="501"/>
    </row>
    <row r="44387" spans="25:25" hidden="1" x14ac:dyDescent="0.25">
      <c r="Y44387" s="501"/>
    </row>
    <row r="44388" spans="25:25" hidden="1" x14ac:dyDescent="0.25">
      <c r="Y44388" s="501"/>
    </row>
    <row r="44389" spans="25:25" hidden="1" x14ac:dyDescent="0.25">
      <c r="Y44389" s="501"/>
    </row>
    <row r="44390" spans="25:25" hidden="1" x14ac:dyDescent="0.25">
      <c r="Y44390" s="501"/>
    </row>
    <row r="44391" spans="25:25" hidden="1" x14ac:dyDescent="0.25">
      <c r="Y44391" s="501"/>
    </row>
    <row r="44392" spans="25:25" hidden="1" x14ac:dyDescent="0.25">
      <c r="Y44392" s="501"/>
    </row>
    <row r="44393" spans="25:25" hidden="1" x14ac:dyDescent="0.25">
      <c r="Y44393" s="501"/>
    </row>
    <row r="44394" spans="25:25" hidden="1" x14ac:dyDescent="0.25">
      <c r="Y44394" s="501"/>
    </row>
    <row r="44395" spans="25:25" hidden="1" x14ac:dyDescent="0.25">
      <c r="Y44395" s="501"/>
    </row>
    <row r="44396" spans="25:25" hidden="1" x14ac:dyDescent="0.25">
      <c r="Y44396" s="501"/>
    </row>
    <row r="44397" spans="25:25" hidden="1" x14ac:dyDescent="0.25">
      <c r="Y44397" s="501"/>
    </row>
    <row r="44398" spans="25:25" hidden="1" x14ac:dyDescent="0.25">
      <c r="Y44398" s="501"/>
    </row>
    <row r="44399" spans="25:25" hidden="1" x14ac:dyDescent="0.25">
      <c r="Y44399" s="501"/>
    </row>
    <row r="44400" spans="25:25" hidden="1" x14ac:dyDescent="0.25">
      <c r="Y44400" s="501"/>
    </row>
    <row r="44401" spans="25:25" hidden="1" x14ac:dyDescent="0.25">
      <c r="Y44401" s="501"/>
    </row>
    <row r="44402" spans="25:25" hidden="1" x14ac:dyDescent="0.25">
      <c r="Y44402" s="501"/>
    </row>
    <row r="44403" spans="25:25" hidden="1" x14ac:dyDescent="0.25">
      <c r="Y44403" s="501"/>
    </row>
    <row r="44404" spans="25:25" hidden="1" x14ac:dyDescent="0.25">
      <c r="Y44404" s="501"/>
    </row>
    <row r="44405" spans="25:25" hidden="1" x14ac:dyDescent="0.25">
      <c r="Y44405" s="501"/>
    </row>
    <row r="44406" spans="25:25" hidden="1" x14ac:dyDescent="0.25">
      <c r="Y44406" s="501"/>
    </row>
    <row r="44407" spans="25:25" hidden="1" x14ac:dyDescent="0.25">
      <c r="Y44407" s="501"/>
    </row>
    <row r="44408" spans="25:25" hidden="1" x14ac:dyDescent="0.25">
      <c r="Y44408" s="501"/>
    </row>
    <row r="44409" spans="25:25" hidden="1" x14ac:dyDescent="0.25">
      <c r="Y44409" s="501"/>
    </row>
    <row r="44410" spans="25:25" hidden="1" x14ac:dyDescent="0.25">
      <c r="Y44410" s="501"/>
    </row>
    <row r="44411" spans="25:25" hidden="1" x14ac:dyDescent="0.25">
      <c r="Y44411" s="501"/>
    </row>
    <row r="44412" spans="25:25" hidden="1" x14ac:dyDescent="0.25">
      <c r="Y44412" s="501"/>
    </row>
    <row r="44413" spans="25:25" hidden="1" x14ac:dyDescent="0.25">
      <c r="Y44413" s="501"/>
    </row>
    <row r="44414" spans="25:25" hidden="1" x14ac:dyDescent="0.25">
      <c r="Y44414" s="501"/>
    </row>
    <row r="44415" spans="25:25" hidden="1" x14ac:dyDescent="0.25">
      <c r="Y44415" s="501"/>
    </row>
    <row r="44416" spans="25:25" hidden="1" x14ac:dyDescent="0.25">
      <c r="Y44416" s="501"/>
    </row>
    <row r="44417" spans="25:25" hidden="1" x14ac:dyDescent="0.25">
      <c r="Y44417" s="501"/>
    </row>
    <row r="44418" spans="25:25" hidden="1" x14ac:dyDescent="0.25">
      <c r="Y44418" s="501"/>
    </row>
    <row r="44419" spans="25:25" hidden="1" x14ac:dyDescent="0.25">
      <c r="Y44419" s="501"/>
    </row>
    <row r="44420" spans="25:25" hidden="1" x14ac:dyDescent="0.25">
      <c r="Y44420" s="501"/>
    </row>
    <row r="44421" spans="25:25" hidden="1" x14ac:dyDescent="0.25">
      <c r="Y44421" s="501"/>
    </row>
    <row r="44422" spans="25:25" hidden="1" x14ac:dyDescent="0.25">
      <c r="Y44422" s="501"/>
    </row>
    <row r="44423" spans="25:25" hidden="1" x14ac:dyDescent="0.25">
      <c r="Y44423" s="501"/>
    </row>
    <row r="44424" spans="25:25" hidden="1" x14ac:dyDescent="0.25">
      <c r="Y44424" s="501"/>
    </row>
    <row r="44425" spans="25:25" hidden="1" x14ac:dyDescent="0.25">
      <c r="Y44425" s="501"/>
    </row>
    <row r="44426" spans="25:25" hidden="1" x14ac:dyDescent="0.25">
      <c r="Y44426" s="501"/>
    </row>
    <row r="44427" spans="25:25" hidden="1" x14ac:dyDescent="0.25">
      <c r="Y44427" s="501"/>
    </row>
    <row r="44428" spans="25:25" hidden="1" x14ac:dyDescent="0.25">
      <c r="Y44428" s="501"/>
    </row>
    <row r="44429" spans="25:25" hidden="1" x14ac:dyDescent="0.25">
      <c r="Y44429" s="501"/>
    </row>
    <row r="44430" spans="25:25" hidden="1" x14ac:dyDescent="0.25">
      <c r="Y44430" s="501"/>
    </row>
    <row r="44431" spans="25:25" hidden="1" x14ac:dyDescent="0.25">
      <c r="Y44431" s="501"/>
    </row>
    <row r="44432" spans="25:25" hidden="1" x14ac:dyDescent="0.25">
      <c r="Y44432" s="501"/>
    </row>
    <row r="44433" spans="25:25" hidden="1" x14ac:dyDescent="0.25">
      <c r="Y44433" s="501"/>
    </row>
    <row r="44434" spans="25:25" hidden="1" x14ac:dyDescent="0.25">
      <c r="Y44434" s="501"/>
    </row>
    <row r="44435" spans="25:25" hidden="1" x14ac:dyDescent="0.25">
      <c r="Y44435" s="501"/>
    </row>
    <row r="44436" spans="25:25" hidden="1" x14ac:dyDescent="0.25">
      <c r="Y44436" s="501"/>
    </row>
    <row r="44437" spans="25:25" hidden="1" x14ac:dyDescent="0.25">
      <c r="Y44437" s="501"/>
    </row>
    <row r="44438" spans="25:25" hidden="1" x14ac:dyDescent="0.25">
      <c r="Y44438" s="501"/>
    </row>
    <row r="44439" spans="25:25" hidden="1" x14ac:dyDescent="0.25">
      <c r="Y44439" s="501"/>
    </row>
    <row r="44440" spans="25:25" hidden="1" x14ac:dyDescent="0.25">
      <c r="Y44440" s="501"/>
    </row>
    <row r="44441" spans="25:25" hidden="1" x14ac:dyDescent="0.25">
      <c r="Y44441" s="501"/>
    </row>
    <row r="44442" spans="25:25" hidden="1" x14ac:dyDescent="0.25">
      <c r="Y44442" s="501"/>
    </row>
    <row r="44443" spans="25:25" hidden="1" x14ac:dyDescent="0.25">
      <c r="Y44443" s="501"/>
    </row>
    <row r="44444" spans="25:25" hidden="1" x14ac:dyDescent="0.25">
      <c r="Y44444" s="501"/>
    </row>
    <row r="44445" spans="25:25" hidden="1" x14ac:dyDescent="0.25">
      <c r="Y44445" s="501"/>
    </row>
    <row r="44446" spans="25:25" hidden="1" x14ac:dyDescent="0.25">
      <c r="Y44446" s="501"/>
    </row>
    <row r="44447" spans="25:25" hidden="1" x14ac:dyDescent="0.25">
      <c r="Y44447" s="501"/>
    </row>
    <row r="44448" spans="25:25" hidden="1" x14ac:dyDescent="0.25">
      <c r="Y44448" s="501"/>
    </row>
    <row r="44449" spans="25:25" hidden="1" x14ac:dyDescent="0.25">
      <c r="Y44449" s="501"/>
    </row>
    <row r="44450" spans="25:25" hidden="1" x14ac:dyDescent="0.25">
      <c r="Y44450" s="501"/>
    </row>
    <row r="44451" spans="25:25" hidden="1" x14ac:dyDescent="0.25">
      <c r="Y44451" s="501"/>
    </row>
    <row r="44452" spans="25:25" hidden="1" x14ac:dyDescent="0.25">
      <c r="Y44452" s="501"/>
    </row>
    <row r="44453" spans="25:25" hidden="1" x14ac:dyDescent="0.25">
      <c r="Y44453" s="501"/>
    </row>
    <row r="44454" spans="25:25" hidden="1" x14ac:dyDescent="0.25">
      <c r="Y44454" s="501"/>
    </row>
    <row r="44455" spans="25:25" hidden="1" x14ac:dyDescent="0.25">
      <c r="Y44455" s="501"/>
    </row>
    <row r="44456" spans="25:25" hidden="1" x14ac:dyDescent="0.25">
      <c r="Y44456" s="501"/>
    </row>
    <row r="44457" spans="25:25" hidden="1" x14ac:dyDescent="0.25">
      <c r="Y44457" s="501"/>
    </row>
    <row r="44458" spans="25:25" hidden="1" x14ac:dyDescent="0.25">
      <c r="Y44458" s="501"/>
    </row>
    <row r="44459" spans="25:25" hidden="1" x14ac:dyDescent="0.25">
      <c r="Y44459" s="501"/>
    </row>
    <row r="44460" spans="25:25" hidden="1" x14ac:dyDescent="0.25">
      <c r="Y44460" s="501"/>
    </row>
    <row r="44461" spans="25:25" hidden="1" x14ac:dyDescent="0.25">
      <c r="Y44461" s="501"/>
    </row>
    <row r="44462" spans="25:25" hidden="1" x14ac:dyDescent="0.25">
      <c r="Y44462" s="501"/>
    </row>
    <row r="44463" spans="25:25" hidden="1" x14ac:dyDescent="0.25">
      <c r="Y44463" s="501"/>
    </row>
    <row r="44464" spans="25:25" hidden="1" x14ac:dyDescent="0.25">
      <c r="Y44464" s="501"/>
    </row>
    <row r="44465" spans="25:25" hidden="1" x14ac:dyDescent="0.25">
      <c r="Y44465" s="501"/>
    </row>
    <row r="44466" spans="25:25" hidden="1" x14ac:dyDescent="0.25">
      <c r="Y44466" s="501"/>
    </row>
    <row r="44467" spans="25:25" hidden="1" x14ac:dyDescent="0.25">
      <c r="Y44467" s="501"/>
    </row>
    <row r="44468" spans="25:25" hidden="1" x14ac:dyDescent="0.25">
      <c r="Y44468" s="501"/>
    </row>
    <row r="44469" spans="25:25" hidden="1" x14ac:dyDescent="0.25">
      <c r="Y44469" s="501"/>
    </row>
    <row r="44470" spans="25:25" hidden="1" x14ac:dyDescent="0.25">
      <c r="Y44470" s="501"/>
    </row>
    <row r="44471" spans="25:25" hidden="1" x14ac:dyDescent="0.25">
      <c r="Y44471" s="501"/>
    </row>
    <row r="44472" spans="25:25" hidden="1" x14ac:dyDescent="0.25">
      <c r="Y44472" s="501"/>
    </row>
    <row r="44473" spans="25:25" hidden="1" x14ac:dyDescent="0.25">
      <c r="Y44473" s="501"/>
    </row>
    <row r="44474" spans="25:25" hidden="1" x14ac:dyDescent="0.25">
      <c r="Y44474" s="501"/>
    </row>
    <row r="44475" spans="25:25" hidden="1" x14ac:dyDescent="0.25">
      <c r="Y44475" s="501"/>
    </row>
    <row r="44476" spans="25:25" hidden="1" x14ac:dyDescent="0.25">
      <c r="Y44476" s="501"/>
    </row>
    <row r="44477" spans="25:25" hidden="1" x14ac:dyDescent="0.25">
      <c r="Y44477" s="501"/>
    </row>
    <row r="44478" spans="25:25" hidden="1" x14ac:dyDescent="0.25">
      <c r="Y44478" s="501"/>
    </row>
    <row r="44479" spans="25:25" hidden="1" x14ac:dyDescent="0.25">
      <c r="Y44479" s="501"/>
    </row>
    <row r="44480" spans="25:25" hidden="1" x14ac:dyDescent="0.25">
      <c r="Y44480" s="501"/>
    </row>
    <row r="44481" spans="25:25" hidden="1" x14ac:dyDescent="0.25">
      <c r="Y44481" s="501"/>
    </row>
    <row r="44482" spans="25:25" hidden="1" x14ac:dyDescent="0.25">
      <c r="Y44482" s="501"/>
    </row>
    <row r="44483" spans="25:25" hidden="1" x14ac:dyDescent="0.25">
      <c r="Y44483" s="501"/>
    </row>
    <row r="44484" spans="25:25" hidden="1" x14ac:dyDescent="0.25">
      <c r="Y44484" s="501"/>
    </row>
    <row r="44485" spans="25:25" hidden="1" x14ac:dyDescent="0.25">
      <c r="Y44485" s="501"/>
    </row>
    <row r="44486" spans="25:25" hidden="1" x14ac:dyDescent="0.25">
      <c r="Y44486" s="501"/>
    </row>
    <row r="44487" spans="25:25" hidden="1" x14ac:dyDescent="0.25">
      <c r="Y44487" s="501"/>
    </row>
    <row r="44488" spans="25:25" hidden="1" x14ac:dyDescent="0.25">
      <c r="Y44488" s="501"/>
    </row>
    <row r="44489" spans="25:25" hidden="1" x14ac:dyDescent="0.25">
      <c r="Y44489" s="501"/>
    </row>
    <row r="44490" spans="25:25" hidden="1" x14ac:dyDescent="0.25">
      <c r="Y44490" s="501"/>
    </row>
    <row r="44491" spans="25:25" hidden="1" x14ac:dyDescent="0.25">
      <c r="Y44491" s="501"/>
    </row>
    <row r="44492" spans="25:25" hidden="1" x14ac:dyDescent="0.25">
      <c r="Y44492" s="501"/>
    </row>
    <row r="44493" spans="25:25" hidden="1" x14ac:dyDescent="0.25">
      <c r="Y44493" s="501"/>
    </row>
    <row r="44494" spans="25:25" hidden="1" x14ac:dyDescent="0.25">
      <c r="Y44494" s="501"/>
    </row>
    <row r="44495" spans="25:25" hidden="1" x14ac:dyDescent="0.25">
      <c r="Y44495" s="501"/>
    </row>
    <row r="44496" spans="25:25" hidden="1" x14ac:dyDescent="0.25">
      <c r="Y44496" s="501"/>
    </row>
    <row r="44497" spans="25:25" hidden="1" x14ac:dyDescent="0.25">
      <c r="Y44497" s="501"/>
    </row>
    <row r="44498" spans="25:25" hidden="1" x14ac:dyDescent="0.25">
      <c r="Y44498" s="501"/>
    </row>
    <row r="44499" spans="25:25" hidden="1" x14ac:dyDescent="0.25">
      <c r="Y44499" s="501"/>
    </row>
    <row r="44500" spans="25:25" hidden="1" x14ac:dyDescent="0.25">
      <c r="Y44500" s="501"/>
    </row>
    <row r="44501" spans="25:25" hidden="1" x14ac:dyDescent="0.25">
      <c r="Y44501" s="501"/>
    </row>
    <row r="44502" spans="25:25" hidden="1" x14ac:dyDescent="0.25">
      <c r="Y44502" s="501"/>
    </row>
    <row r="44503" spans="25:25" hidden="1" x14ac:dyDescent="0.25">
      <c r="Y44503" s="501"/>
    </row>
    <row r="44504" spans="25:25" hidden="1" x14ac:dyDescent="0.25">
      <c r="Y44504" s="501"/>
    </row>
    <row r="44505" spans="25:25" hidden="1" x14ac:dyDescent="0.25">
      <c r="Y44505" s="501"/>
    </row>
    <row r="44506" spans="25:25" hidden="1" x14ac:dyDescent="0.25">
      <c r="Y44506" s="501"/>
    </row>
    <row r="44507" spans="25:25" hidden="1" x14ac:dyDescent="0.25">
      <c r="Y44507" s="501"/>
    </row>
    <row r="44508" spans="25:25" hidden="1" x14ac:dyDescent="0.25">
      <c r="Y44508" s="501"/>
    </row>
    <row r="44509" spans="25:25" hidden="1" x14ac:dyDescent="0.25">
      <c r="Y44509" s="501"/>
    </row>
    <row r="44510" spans="25:25" hidden="1" x14ac:dyDescent="0.25">
      <c r="Y44510" s="501"/>
    </row>
    <row r="44511" spans="25:25" hidden="1" x14ac:dyDescent="0.25">
      <c r="Y44511" s="501"/>
    </row>
    <row r="44512" spans="25:25" hidden="1" x14ac:dyDescent="0.25">
      <c r="Y44512" s="501"/>
    </row>
    <row r="44513" spans="25:25" hidden="1" x14ac:dyDescent="0.25">
      <c r="Y44513" s="501"/>
    </row>
    <row r="44514" spans="25:25" hidden="1" x14ac:dyDescent="0.25">
      <c r="Y44514" s="501"/>
    </row>
    <row r="44515" spans="25:25" hidden="1" x14ac:dyDescent="0.25">
      <c r="Y44515" s="501"/>
    </row>
    <row r="44516" spans="25:25" hidden="1" x14ac:dyDescent="0.25">
      <c r="Y44516" s="501"/>
    </row>
    <row r="44517" spans="25:25" hidden="1" x14ac:dyDescent="0.25">
      <c r="Y44517" s="501"/>
    </row>
    <row r="44518" spans="25:25" hidden="1" x14ac:dyDescent="0.25">
      <c r="Y44518" s="501"/>
    </row>
    <row r="44519" spans="25:25" hidden="1" x14ac:dyDescent="0.25">
      <c r="Y44519" s="501"/>
    </row>
    <row r="44520" spans="25:25" hidden="1" x14ac:dyDescent="0.25">
      <c r="Y44520" s="501"/>
    </row>
    <row r="44521" spans="25:25" hidden="1" x14ac:dyDescent="0.25">
      <c r="Y44521" s="501"/>
    </row>
    <row r="44522" spans="25:25" hidden="1" x14ac:dyDescent="0.25">
      <c r="Y44522" s="501"/>
    </row>
    <row r="44523" spans="25:25" hidden="1" x14ac:dyDescent="0.25">
      <c r="Y44523" s="501"/>
    </row>
    <row r="44524" spans="25:25" hidden="1" x14ac:dyDescent="0.25">
      <c r="Y44524" s="501"/>
    </row>
    <row r="44525" spans="25:25" hidden="1" x14ac:dyDescent="0.25">
      <c r="Y44525" s="501"/>
    </row>
    <row r="44526" spans="25:25" hidden="1" x14ac:dyDescent="0.25">
      <c r="Y44526" s="501"/>
    </row>
    <row r="44527" spans="25:25" hidden="1" x14ac:dyDescent="0.25">
      <c r="Y44527" s="501"/>
    </row>
    <row r="44528" spans="25:25" hidden="1" x14ac:dyDescent="0.25">
      <c r="Y44528" s="501"/>
    </row>
    <row r="44529" spans="25:25" hidden="1" x14ac:dyDescent="0.25">
      <c r="Y44529" s="501"/>
    </row>
    <row r="44530" spans="25:25" hidden="1" x14ac:dyDescent="0.25">
      <c r="Y44530" s="501"/>
    </row>
    <row r="44531" spans="25:25" hidden="1" x14ac:dyDescent="0.25">
      <c r="Y44531" s="501"/>
    </row>
    <row r="44532" spans="25:25" hidden="1" x14ac:dyDescent="0.25">
      <c r="Y44532" s="501"/>
    </row>
    <row r="44533" spans="25:25" hidden="1" x14ac:dyDescent="0.25">
      <c r="Y44533" s="501"/>
    </row>
    <row r="44534" spans="25:25" hidden="1" x14ac:dyDescent="0.25">
      <c r="Y44534" s="501"/>
    </row>
    <row r="44535" spans="25:25" hidden="1" x14ac:dyDescent="0.25">
      <c r="Y44535" s="501"/>
    </row>
    <row r="44536" spans="25:25" hidden="1" x14ac:dyDescent="0.25">
      <c r="Y44536" s="501"/>
    </row>
    <row r="44537" spans="25:25" hidden="1" x14ac:dyDescent="0.25">
      <c r="Y44537" s="501"/>
    </row>
    <row r="44538" spans="25:25" hidden="1" x14ac:dyDescent="0.25">
      <c r="Y44538" s="501"/>
    </row>
    <row r="44539" spans="25:25" hidden="1" x14ac:dyDescent="0.25">
      <c r="Y44539" s="501"/>
    </row>
    <row r="44540" spans="25:25" hidden="1" x14ac:dyDescent="0.25">
      <c r="Y44540" s="501"/>
    </row>
    <row r="44541" spans="25:25" hidden="1" x14ac:dyDescent="0.25">
      <c r="Y44541" s="501"/>
    </row>
    <row r="44542" spans="25:25" hidden="1" x14ac:dyDescent="0.25">
      <c r="Y44542" s="501"/>
    </row>
    <row r="44543" spans="25:25" hidden="1" x14ac:dyDescent="0.25">
      <c r="Y44543" s="501"/>
    </row>
    <row r="44544" spans="25:25" hidden="1" x14ac:dyDescent="0.25">
      <c r="Y44544" s="501"/>
    </row>
    <row r="44545" spans="25:25" hidden="1" x14ac:dyDescent="0.25">
      <c r="Y44545" s="501"/>
    </row>
    <row r="44546" spans="25:25" hidden="1" x14ac:dyDescent="0.25">
      <c r="Y44546" s="501"/>
    </row>
    <row r="44547" spans="25:25" hidden="1" x14ac:dyDescent="0.25">
      <c r="Y44547" s="501"/>
    </row>
    <row r="44548" spans="25:25" hidden="1" x14ac:dyDescent="0.25">
      <c r="Y44548" s="501"/>
    </row>
    <row r="44549" spans="25:25" hidden="1" x14ac:dyDescent="0.25">
      <c r="Y44549" s="501"/>
    </row>
    <row r="44550" spans="25:25" hidden="1" x14ac:dyDescent="0.25">
      <c r="Y44550" s="501"/>
    </row>
    <row r="44551" spans="25:25" hidden="1" x14ac:dyDescent="0.25">
      <c r="Y44551" s="501"/>
    </row>
    <row r="44552" spans="25:25" hidden="1" x14ac:dyDescent="0.25">
      <c r="Y44552" s="501"/>
    </row>
    <row r="44553" spans="25:25" hidden="1" x14ac:dyDescent="0.25">
      <c r="Y44553" s="501"/>
    </row>
    <row r="44554" spans="25:25" hidden="1" x14ac:dyDescent="0.25">
      <c r="Y44554" s="501"/>
    </row>
    <row r="44555" spans="25:25" hidden="1" x14ac:dyDescent="0.25">
      <c r="Y44555" s="501"/>
    </row>
    <row r="44556" spans="25:25" hidden="1" x14ac:dyDescent="0.25">
      <c r="Y44556" s="501"/>
    </row>
    <row r="44557" spans="25:25" hidden="1" x14ac:dyDescent="0.25">
      <c r="Y44557" s="501"/>
    </row>
    <row r="44558" spans="25:25" hidden="1" x14ac:dyDescent="0.25">
      <c r="Y44558" s="501"/>
    </row>
    <row r="44559" spans="25:25" hidden="1" x14ac:dyDescent="0.25">
      <c r="Y44559" s="501"/>
    </row>
    <row r="44560" spans="25:25" hidden="1" x14ac:dyDescent="0.25">
      <c r="Y44560" s="501"/>
    </row>
    <row r="44561" spans="25:25" hidden="1" x14ac:dyDescent="0.25">
      <c r="Y44561" s="501"/>
    </row>
    <row r="44562" spans="25:25" hidden="1" x14ac:dyDescent="0.25">
      <c r="Y44562" s="501"/>
    </row>
    <row r="44563" spans="25:25" hidden="1" x14ac:dyDescent="0.25">
      <c r="Y44563" s="501"/>
    </row>
    <row r="44564" spans="25:25" hidden="1" x14ac:dyDescent="0.25">
      <c r="Y44564" s="501"/>
    </row>
    <row r="44565" spans="25:25" hidden="1" x14ac:dyDescent="0.25">
      <c r="Y44565" s="501"/>
    </row>
    <row r="44566" spans="25:25" hidden="1" x14ac:dyDescent="0.25">
      <c r="Y44566" s="501"/>
    </row>
    <row r="44567" spans="25:25" hidden="1" x14ac:dyDescent="0.25">
      <c r="Y44567" s="501"/>
    </row>
    <row r="44568" spans="25:25" hidden="1" x14ac:dyDescent="0.25">
      <c r="Y44568" s="501"/>
    </row>
    <row r="44569" spans="25:25" hidden="1" x14ac:dyDescent="0.25">
      <c r="Y44569" s="501"/>
    </row>
    <row r="44570" spans="25:25" hidden="1" x14ac:dyDescent="0.25">
      <c r="Y44570" s="501"/>
    </row>
    <row r="44571" spans="25:25" hidden="1" x14ac:dyDescent="0.25">
      <c r="Y44571" s="501"/>
    </row>
    <row r="44572" spans="25:25" hidden="1" x14ac:dyDescent="0.25">
      <c r="Y44572" s="501"/>
    </row>
    <row r="44573" spans="25:25" hidden="1" x14ac:dyDescent="0.25">
      <c r="Y44573" s="501"/>
    </row>
    <row r="44574" spans="25:25" hidden="1" x14ac:dyDescent="0.25">
      <c r="Y44574" s="501"/>
    </row>
    <row r="44575" spans="25:25" hidden="1" x14ac:dyDescent="0.25">
      <c r="Y44575" s="501"/>
    </row>
    <row r="44576" spans="25:25" hidden="1" x14ac:dyDescent="0.25">
      <c r="Y44576" s="501"/>
    </row>
    <row r="44577" spans="25:25" hidden="1" x14ac:dyDescent="0.25">
      <c r="Y44577" s="501"/>
    </row>
    <row r="44578" spans="25:25" hidden="1" x14ac:dyDescent="0.25">
      <c r="Y44578" s="501"/>
    </row>
    <row r="44579" spans="25:25" hidden="1" x14ac:dyDescent="0.25">
      <c r="Y44579" s="501"/>
    </row>
    <row r="44580" spans="25:25" hidden="1" x14ac:dyDescent="0.25">
      <c r="Y44580" s="501"/>
    </row>
    <row r="44581" spans="25:25" hidden="1" x14ac:dyDescent="0.25">
      <c r="Y44581" s="501"/>
    </row>
    <row r="44582" spans="25:25" hidden="1" x14ac:dyDescent="0.25">
      <c r="Y44582" s="501"/>
    </row>
    <row r="44583" spans="25:25" hidden="1" x14ac:dyDescent="0.25">
      <c r="Y44583" s="501"/>
    </row>
    <row r="44584" spans="25:25" hidden="1" x14ac:dyDescent="0.25">
      <c r="Y44584" s="501"/>
    </row>
    <row r="44585" spans="25:25" hidden="1" x14ac:dyDescent="0.25">
      <c r="Y44585" s="501"/>
    </row>
    <row r="44586" spans="25:25" hidden="1" x14ac:dyDescent="0.25">
      <c r="Y44586" s="501"/>
    </row>
    <row r="44587" spans="25:25" hidden="1" x14ac:dyDescent="0.25">
      <c r="Y44587" s="501"/>
    </row>
    <row r="44588" spans="25:25" hidden="1" x14ac:dyDescent="0.25">
      <c r="Y44588" s="501"/>
    </row>
    <row r="44589" spans="25:25" hidden="1" x14ac:dyDescent="0.25">
      <c r="Y44589" s="501"/>
    </row>
    <row r="44590" spans="25:25" hidden="1" x14ac:dyDescent="0.25">
      <c r="Y44590" s="501"/>
    </row>
    <row r="44591" spans="25:25" hidden="1" x14ac:dyDescent="0.25">
      <c r="Y44591" s="501"/>
    </row>
    <row r="44592" spans="25:25" hidden="1" x14ac:dyDescent="0.25">
      <c r="Y44592" s="501"/>
    </row>
    <row r="44593" spans="25:25" hidden="1" x14ac:dyDescent="0.25">
      <c r="Y44593" s="501"/>
    </row>
    <row r="44594" spans="25:25" hidden="1" x14ac:dyDescent="0.25">
      <c r="Y44594" s="501"/>
    </row>
    <row r="44595" spans="25:25" hidden="1" x14ac:dyDescent="0.25">
      <c r="Y44595" s="501"/>
    </row>
    <row r="44596" spans="25:25" hidden="1" x14ac:dyDescent="0.25">
      <c r="Y44596" s="501"/>
    </row>
    <row r="44597" spans="25:25" hidden="1" x14ac:dyDescent="0.25">
      <c r="Y44597" s="501"/>
    </row>
    <row r="44598" spans="25:25" hidden="1" x14ac:dyDescent="0.25">
      <c r="Y44598" s="501"/>
    </row>
    <row r="44599" spans="25:25" hidden="1" x14ac:dyDescent="0.25">
      <c r="Y44599" s="501"/>
    </row>
    <row r="44600" spans="25:25" hidden="1" x14ac:dyDescent="0.25">
      <c r="Y44600" s="501"/>
    </row>
    <row r="44601" spans="25:25" hidden="1" x14ac:dyDescent="0.25">
      <c r="Y44601" s="501"/>
    </row>
    <row r="44602" spans="25:25" hidden="1" x14ac:dyDescent="0.25">
      <c r="Y44602" s="501"/>
    </row>
    <row r="44603" spans="25:25" hidden="1" x14ac:dyDescent="0.25">
      <c r="Y44603" s="501"/>
    </row>
    <row r="44604" spans="25:25" hidden="1" x14ac:dyDescent="0.25">
      <c r="Y44604" s="501"/>
    </row>
    <row r="44605" spans="25:25" hidden="1" x14ac:dyDescent="0.25">
      <c r="Y44605" s="501"/>
    </row>
    <row r="44606" spans="25:25" hidden="1" x14ac:dyDescent="0.25">
      <c r="Y44606" s="501"/>
    </row>
    <row r="44607" spans="25:25" hidden="1" x14ac:dyDescent="0.25">
      <c r="Y44607" s="501"/>
    </row>
    <row r="44608" spans="25:25" hidden="1" x14ac:dyDescent="0.25">
      <c r="Y44608" s="501"/>
    </row>
    <row r="44609" spans="25:25" hidden="1" x14ac:dyDescent="0.25">
      <c r="Y44609" s="501"/>
    </row>
    <row r="44610" spans="25:25" hidden="1" x14ac:dyDescent="0.25">
      <c r="Y44610" s="501"/>
    </row>
    <row r="44611" spans="25:25" hidden="1" x14ac:dyDescent="0.25">
      <c r="Y44611" s="501"/>
    </row>
    <row r="44612" spans="25:25" hidden="1" x14ac:dyDescent="0.25">
      <c r="Y44612" s="501"/>
    </row>
    <row r="44613" spans="25:25" hidden="1" x14ac:dyDescent="0.25">
      <c r="Y44613" s="501"/>
    </row>
    <row r="44614" spans="25:25" hidden="1" x14ac:dyDescent="0.25">
      <c r="Y44614" s="501"/>
    </row>
    <row r="44615" spans="25:25" hidden="1" x14ac:dyDescent="0.25">
      <c r="Y44615" s="501"/>
    </row>
    <row r="44616" spans="25:25" hidden="1" x14ac:dyDescent="0.25">
      <c r="Y44616" s="501"/>
    </row>
    <row r="44617" spans="25:25" hidden="1" x14ac:dyDescent="0.25">
      <c r="Y44617" s="501"/>
    </row>
    <row r="44618" spans="25:25" hidden="1" x14ac:dyDescent="0.25">
      <c r="Y44618" s="501"/>
    </row>
    <row r="44619" spans="25:25" hidden="1" x14ac:dyDescent="0.25">
      <c r="Y44619" s="501"/>
    </row>
    <row r="44620" spans="25:25" hidden="1" x14ac:dyDescent="0.25">
      <c r="Y44620" s="501"/>
    </row>
    <row r="44621" spans="25:25" hidden="1" x14ac:dyDescent="0.25">
      <c r="Y44621" s="501"/>
    </row>
    <row r="44622" spans="25:25" hidden="1" x14ac:dyDescent="0.25">
      <c r="Y44622" s="501"/>
    </row>
    <row r="44623" spans="25:25" hidden="1" x14ac:dyDescent="0.25">
      <c r="Y44623" s="501"/>
    </row>
    <row r="44624" spans="25:25" hidden="1" x14ac:dyDescent="0.25">
      <c r="Y44624" s="501"/>
    </row>
    <row r="44625" spans="25:25" hidden="1" x14ac:dyDescent="0.25">
      <c r="Y44625" s="501"/>
    </row>
    <row r="44626" spans="25:25" hidden="1" x14ac:dyDescent="0.25">
      <c r="Y44626" s="501"/>
    </row>
    <row r="44627" spans="25:25" hidden="1" x14ac:dyDescent="0.25">
      <c r="Y44627" s="501"/>
    </row>
    <row r="44628" spans="25:25" hidden="1" x14ac:dyDescent="0.25">
      <c r="Y44628" s="501"/>
    </row>
    <row r="44629" spans="25:25" hidden="1" x14ac:dyDescent="0.25">
      <c r="Y44629" s="501"/>
    </row>
    <row r="44630" spans="25:25" hidden="1" x14ac:dyDescent="0.25">
      <c r="Y44630" s="501"/>
    </row>
    <row r="44631" spans="25:25" hidden="1" x14ac:dyDescent="0.25">
      <c r="Y44631" s="501"/>
    </row>
    <row r="44632" spans="25:25" hidden="1" x14ac:dyDescent="0.25">
      <c r="Y44632" s="501"/>
    </row>
    <row r="44633" spans="25:25" hidden="1" x14ac:dyDescent="0.25">
      <c r="Y44633" s="501"/>
    </row>
    <row r="44634" spans="25:25" hidden="1" x14ac:dyDescent="0.25">
      <c r="Y44634" s="501"/>
    </row>
    <row r="44635" spans="25:25" hidden="1" x14ac:dyDescent="0.25">
      <c r="Y44635" s="501"/>
    </row>
    <row r="44636" spans="25:25" hidden="1" x14ac:dyDescent="0.25">
      <c r="Y44636" s="501"/>
    </row>
    <row r="44637" spans="25:25" hidden="1" x14ac:dyDescent="0.25">
      <c r="Y44637" s="501"/>
    </row>
    <row r="44638" spans="25:25" hidden="1" x14ac:dyDescent="0.25">
      <c r="Y44638" s="501"/>
    </row>
    <row r="44639" spans="25:25" hidden="1" x14ac:dyDescent="0.25">
      <c r="Y44639" s="501"/>
    </row>
    <row r="44640" spans="25:25" hidden="1" x14ac:dyDescent="0.25">
      <c r="Y44640" s="501"/>
    </row>
    <row r="44641" spans="25:25" hidden="1" x14ac:dyDescent="0.25">
      <c r="Y44641" s="501"/>
    </row>
    <row r="44642" spans="25:25" hidden="1" x14ac:dyDescent="0.25">
      <c r="Y44642" s="501"/>
    </row>
    <row r="44643" spans="25:25" hidden="1" x14ac:dyDescent="0.25">
      <c r="Y44643" s="501"/>
    </row>
    <row r="44644" spans="25:25" hidden="1" x14ac:dyDescent="0.25">
      <c r="Y44644" s="501"/>
    </row>
    <row r="44645" spans="25:25" hidden="1" x14ac:dyDescent="0.25">
      <c r="Y44645" s="501"/>
    </row>
  </sheetData>
  <sheetProtection algorithmName="SHA-512" hashValue="paySlnHH0WeMSndieF9I/+kmheoIn6X5HDKJ/+Y7tbcRLkwvxt7DzFNiBAdgnpJrV+lLslWYyadgnN3b8tUh1g==" saltValue="hWLgQDU0EsEhBciDakB8lA==" spinCount="100000" sheet="1" objects="1" scenarios="1"/>
  <mergeCells count="213">
    <mergeCell ref="R753:W755"/>
    <mergeCell ref="R812:W814"/>
    <mergeCell ref="B947:P947"/>
    <mergeCell ref="R1415:X1415"/>
    <mergeCell ref="R1172:X1173"/>
    <mergeCell ref="B1186:P1186"/>
    <mergeCell ref="B1009:P1009"/>
    <mergeCell ref="B806:P806"/>
    <mergeCell ref="B1140:H1140"/>
    <mergeCell ref="B975:H975"/>
    <mergeCell ref="B990:P990"/>
    <mergeCell ref="J979:N979"/>
    <mergeCell ref="B867:P867"/>
    <mergeCell ref="B845:P845"/>
    <mergeCell ref="B974:H974"/>
    <mergeCell ref="R927:X932"/>
    <mergeCell ref="R892:W895"/>
    <mergeCell ref="B888:P888"/>
    <mergeCell ref="B817:F817"/>
    <mergeCell ref="P1118:X1121"/>
    <mergeCell ref="P1115:X1116"/>
    <mergeCell ref="P1108:X1110"/>
    <mergeCell ref="R1387:X1388"/>
    <mergeCell ref="AV1808:AW1808"/>
    <mergeCell ref="Q1083:W1085"/>
    <mergeCell ref="J1101:N1101"/>
    <mergeCell ref="B1050:P1050"/>
    <mergeCell ref="L1018:L1019"/>
    <mergeCell ref="B1529:P1529"/>
    <mergeCell ref="R1520:W1521"/>
    <mergeCell ref="B1225:P1225"/>
    <mergeCell ref="B1288:P1288"/>
    <mergeCell ref="B1453:P1453"/>
    <mergeCell ref="L1435:L1436"/>
    <mergeCell ref="B1495:P1495"/>
    <mergeCell ref="B1352:P1352"/>
    <mergeCell ref="B1331:P1331"/>
    <mergeCell ref="B1472:P1472"/>
    <mergeCell ref="B1310:P1310"/>
    <mergeCell ref="B1265:P1265"/>
    <mergeCell ref="J1295:P1295"/>
    <mergeCell ref="R1422:X1426"/>
    <mergeCell ref="R1406:X1407"/>
    <mergeCell ref="R1360:X1361"/>
    <mergeCell ref="B1401:P1401"/>
    <mergeCell ref="R1380:W1383"/>
    <mergeCell ref="B1441:H1441"/>
    <mergeCell ref="AZ1810:BA1810"/>
    <mergeCell ref="AW1810:AX1810"/>
    <mergeCell ref="H449:N449"/>
    <mergeCell ref="H469:N469"/>
    <mergeCell ref="B472:P472"/>
    <mergeCell ref="H519:N519"/>
    <mergeCell ref="R501:X501"/>
    <mergeCell ref="R500:X500"/>
    <mergeCell ref="B909:P909"/>
    <mergeCell ref="R1145:X1146"/>
    <mergeCell ref="L1108:N1108"/>
    <mergeCell ref="R1141:W1143"/>
    <mergeCell ref="B1030:P1030"/>
    <mergeCell ref="B1146:H1146"/>
    <mergeCell ref="N1018:N1019"/>
    <mergeCell ref="B1245:P1245"/>
    <mergeCell ref="B1163:P1163"/>
    <mergeCell ref="R1148:X1149"/>
    <mergeCell ref="B1214:H1214"/>
    <mergeCell ref="B1059:H1059"/>
    <mergeCell ref="B1072:P1072"/>
    <mergeCell ref="B1060:H1060"/>
    <mergeCell ref="B1061:H1061"/>
    <mergeCell ref="L1083:N1083"/>
    <mergeCell ref="L122:L123"/>
    <mergeCell ref="N122:N123"/>
    <mergeCell ref="B134:P134"/>
    <mergeCell ref="B833:H833"/>
    <mergeCell ref="N395:P395"/>
    <mergeCell ref="B236:P236"/>
    <mergeCell ref="B257:P257"/>
    <mergeCell ref="H816:N816"/>
    <mergeCell ref="B787:P787"/>
    <mergeCell ref="J753:P753"/>
    <mergeCell ref="B768:P768"/>
    <mergeCell ref="B574:H574"/>
    <mergeCell ref="B178:P178"/>
    <mergeCell ref="H174:N174"/>
    <mergeCell ref="B735:H735"/>
    <mergeCell ref="J735:P735"/>
    <mergeCell ref="H202:N202"/>
    <mergeCell ref="B303:P303"/>
    <mergeCell ref="B421:N421"/>
    <mergeCell ref="J212:P212"/>
    <mergeCell ref="B419:N419"/>
    <mergeCell ref="B342:P342"/>
    <mergeCell ref="H320:N320"/>
    <mergeCell ref="T735:X735"/>
    <mergeCell ref="B5:P5"/>
    <mergeCell ref="B40:P40"/>
    <mergeCell ref="B62:P62"/>
    <mergeCell ref="B284:P284"/>
    <mergeCell ref="B111:P111"/>
    <mergeCell ref="H9:P9"/>
    <mergeCell ref="B26:H26"/>
    <mergeCell ref="R657:X658"/>
    <mergeCell ref="L660:L661"/>
    <mergeCell ref="B647:P647"/>
    <mergeCell ref="B627:P627"/>
    <mergeCell ref="R661:X662"/>
    <mergeCell ref="R653:W656"/>
    <mergeCell ref="R350:X350"/>
    <mergeCell ref="B362:P362"/>
    <mergeCell ref="R351:X351"/>
    <mergeCell ref="L350:L351"/>
    <mergeCell ref="N350:N351"/>
    <mergeCell ref="L400:L401"/>
    <mergeCell ref="R311:X312"/>
    <mergeCell ref="R388:X388"/>
    <mergeCell ref="H108:N108"/>
    <mergeCell ref="H154:N154"/>
    <mergeCell ref="R389:X392"/>
    <mergeCell ref="J395:L395"/>
    <mergeCell ref="R729:X733"/>
    <mergeCell ref="J733:P733"/>
    <mergeCell ref="R365:W367"/>
    <mergeCell ref="B383:P383"/>
    <mergeCell ref="R547:W550"/>
    <mergeCell ref="R575:X576"/>
    <mergeCell ref="B452:P452"/>
    <mergeCell ref="R533:W533"/>
    <mergeCell ref="R567:W570"/>
    <mergeCell ref="B492:P492"/>
    <mergeCell ref="T418:X418"/>
    <mergeCell ref="R410:X416"/>
    <mergeCell ref="R611:X612"/>
    <mergeCell ref="B597:P597"/>
    <mergeCell ref="R702:X705"/>
    <mergeCell ref="J707:P707"/>
    <mergeCell ref="B707:H707"/>
    <mergeCell ref="R723:W724"/>
    <mergeCell ref="J725:P725"/>
    <mergeCell ref="B564:P564"/>
    <mergeCell ref="T707:X708"/>
    <mergeCell ref="R239:W241"/>
    <mergeCell ref="R290:X290"/>
    <mergeCell ref="R193:X194"/>
    <mergeCell ref="B205:P205"/>
    <mergeCell ref="B718:P718"/>
    <mergeCell ref="J705:P705"/>
    <mergeCell ref="R713:W715"/>
    <mergeCell ref="R675:W678"/>
    <mergeCell ref="B691:P691"/>
    <mergeCell ref="J698:P698"/>
    <mergeCell ref="B672:P672"/>
    <mergeCell ref="R387:X387"/>
    <mergeCell ref="B323:P323"/>
    <mergeCell ref="R393:X402"/>
    <mergeCell ref="R331:X332"/>
    <mergeCell ref="H339:N339"/>
    <mergeCell ref="B396:F396"/>
    <mergeCell ref="B397:F397"/>
    <mergeCell ref="B398:F398"/>
    <mergeCell ref="H359:N359"/>
    <mergeCell ref="J700:P700"/>
    <mergeCell ref="B522:P522"/>
    <mergeCell ref="B508:H508"/>
    <mergeCell ref="R526:W529"/>
    <mergeCell ref="B1442:H1442"/>
    <mergeCell ref="R737:W739"/>
    <mergeCell ref="R741:W743"/>
    <mergeCell ref="B746:P746"/>
    <mergeCell ref="N1435:N1436"/>
    <mergeCell ref="B1427:P1427"/>
    <mergeCell ref="J1317:P1317"/>
    <mergeCell ref="R1402:X1403"/>
    <mergeCell ref="R1417:X1420"/>
    <mergeCell ref="B1374:P1374"/>
    <mergeCell ref="R1409:X1413"/>
    <mergeCell ref="L1363:U1365"/>
    <mergeCell ref="J1364:J1365"/>
    <mergeCell ref="R1150:X1150"/>
    <mergeCell ref="B1132:P1132"/>
    <mergeCell ref="P850:Q850"/>
    <mergeCell ref="J1142:J1143"/>
    <mergeCell ref="L1142:L1144"/>
    <mergeCell ref="B1039:H1039"/>
    <mergeCell ref="N1142:P1142"/>
    <mergeCell ref="R771:W774"/>
    <mergeCell ref="B966:P966"/>
    <mergeCell ref="R790:W793"/>
    <mergeCell ref="R898:X900"/>
    <mergeCell ref="R82:X83"/>
    <mergeCell ref="R92:X93"/>
    <mergeCell ref="R208:W210"/>
    <mergeCell ref="R272:W273"/>
    <mergeCell ref="P215:P216"/>
    <mergeCell ref="B1152:H1152"/>
    <mergeCell ref="R1195:X1195"/>
    <mergeCell ref="B1206:P1206"/>
    <mergeCell ref="J657:P657"/>
    <mergeCell ref="R696:W697"/>
    <mergeCell ref="R709:W711"/>
    <mergeCell ref="B157:P157"/>
    <mergeCell ref="R630:X632"/>
    <mergeCell ref="T423:X423"/>
    <mergeCell ref="R604:W605"/>
    <mergeCell ref="R417:X417"/>
    <mergeCell ref="T419:X419"/>
    <mergeCell ref="B432:P432"/>
    <mergeCell ref="R427:X429"/>
    <mergeCell ref="R430:X431"/>
    <mergeCell ref="R616:W618"/>
    <mergeCell ref="R573:X574"/>
    <mergeCell ref="B544:P544"/>
    <mergeCell ref="J727:P727"/>
  </mergeCells>
  <conditionalFormatting sqref="B401">
    <cfRule type="expression" dxfId="251" priority="181" stopIfTrue="1">
      <formula>ADPT=""</formula>
    </cfRule>
  </conditionalFormatting>
  <conditionalFormatting sqref="B415 D415:F415">
    <cfRule type="expression" dxfId="250" priority="542" stopIfTrue="1">
      <formula>(Ene01_80=AIS_statement91)</formula>
    </cfRule>
  </conditionalFormatting>
  <conditionalFormatting sqref="B564">
    <cfRule type="expression" dxfId="249" priority="2062" stopIfTrue="1">
      <formula>Ene06_credits=AIS_NA</formula>
    </cfRule>
  </conditionalFormatting>
  <conditionalFormatting sqref="B647">
    <cfRule type="expression" dxfId="248" priority="1168" stopIfTrue="1">
      <formula>OR(ADBT0=ADBT8,ADBT0=ADBT9)</formula>
    </cfRule>
  </conditionalFormatting>
  <conditionalFormatting sqref="B817:F817">
    <cfRule type="expression" dxfId="247" priority="150" stopIfTrue="1">
      <formula>AND(ADPT=ADPT03,AD_SchIss="SD5076 Issue 4.0")</formula>
    </cfRule>
  </conditionalFormatting>
  <conditionalFormatting sqref="B818:F818">
    <cfRule type="expression" dxfId="246" priority="151" stopIfTrue="1">
      <formula>OR(ADBT0=ADBT6,ADBT0=ADBT5)</formula>
    </cfRule>
  </conditionalFormatting>
  <conditionalFormatting sqref="B266:H266 J266 L266 N266">
    <cfRule type="expression" dxfId="245" priority="184" stopIfTrue="1">
      <formula>ADPT=ADPT02</formula>
    </cfRule>
  </conditionalFormatting>
  <conditionalFormatting sqref="B268:H268 J268 L268 N268">
    <cfRule type="expression" dxfId="244" priority="360" stopIfTrue="1">
      <formula>ADPT=ADPT03</formula>
    </cfRule>
    <cfRule type="expression" dxfId="243" priority="361" stopIfTrue="1">
      <formula>ADPT=ADPT02</formula>
    </cfRule>
  </conditionalFormatting>
  <conditionalFormatting sqref="B506:H506">
    <cfRule type="expression" dxfId="242" priority="49">
      <formula>$J$505=100</formula>
    </cfRule>
  </conditionalFormatting>
  <conditionalFormatting sqref="B705:H705">
    <cfRule type="expression" dxfId="241" priority="42">
      <formula>$J$700=Tra03_cycle_fac</formula>
    </cfRule>
  </conditionalFormatting>
  <conditionalFormatting sqref="B732:H732">
    <cfRule type="expression" dxfId="240" priority="4" stopIfTrue="1">
      <formula>OR(Tra03_02=Tra03_option11,Tra03_02=Tra03_option16,Tra03_02=Tra03_option18)</formula>
    </cfRule>
  </conditionalFormatting>
  <conditionalFormatting sqref="B732:H733">
    <cfRule type="expression" dxfId="239" priority="3">
      <formula>$J$700=Tra03_cycle_fac</formula>
    </cfRule>
  </conditionalFormatting>
  <conditionalFormatting sqref="B754:H754">
    <cfRule type="expression" dxfId="238" priority="610" stopIfTrue="1">
      <formula>Tra03_02=Tra03_option06</formula>
    </cfRule>
  </conditionalFormatting>
  <conditionalFormatting sqref="B1175:H1175">
    <cfRule type="expression" dxfId="237" priority="1100" stopIfTrue="1">
      <formula>Wst03_11=""</formula>
    </cfRule>
  </conditionalFormatting>
  <conditionalFormatting sqref="B1214:H1214">
    <cfRule type="expression" dxfId="236" priority="1090" stopIfTrue="1">
      <formula>Wst04_01=AIS_statement32</formula>
    </cfRule>
  </conditionalFormatting>
  <conditionalFormatting sqref="B1411:H1411">
    <cfRule type="expression" dxfId="235" priority="188" stopIfTrue="1">
      <formula>AD_Wat10=AIS_Yes</formula>
    </cfRule>
  </conditionalFormatting>
  <conditionalFormatting sqref="B1437:H1438">
    <cfRule type="expression" dxfId="234" priority="15">
      <formula>AND(ADBT0=ADBT8,ADBT_sub01=ADBT_sub28)</formula>
    </cfRule>
  </conditionalFormatting>
  <conditionalFormatting sqref="B1442:H1442">
    <cfRule type="expression" dxfId="233" priority="16">
      <formula>$B$1441=Pol03_34</formula>
    </cfRule>
  </conditionalFormatting>
  <conditionalFormatting sqref="B1480:H1480">
    <cfRule type="expression" dxfId="232" priority="8">
      <formula>$P$1480=1</formula>
    </cfRule>
  </conditionalFormatting>
  <conditionalFormatting sqref="B1484:H1484">
    <cfRule type="expression" dxfId="231" priority="630" stopIfTrue="1">
      <formula>Pol05_02=AIS_No</formula>
    </cfRule>
  </conditionalFormatting>
  <conditionalFormatting sqref="B403:J403">
    <cfRule type="expression" dxfId="230" priority="182" stopIfTrue="1">
      <formula>OR(AD_Country&lt;&gt;Scotland,$N$396="Scotland Section 6 2015")</formula>
    </cfRule>
  </conditionalFormatting>
  <conditionalFormatting sqref="B574:J574">
    <cfRule type="expression" dxfId="229" priority="71">
      <formula>ADFume_option01=AIS_No</formula>
    </cfRule>
  </conditionalFormatting>
  <conditionalFormatting sqref="B1408:L1408">
    <cfRule type="expression" dxfId="228" priority="248" stopIfTrue="1">
      <formula>AND(ADBT0&lt;&gt;ADBT2,ADIND_option01&lt;&gt;AIS_Yes)</formula>
    </cfRule>
  </conditionalFormatting>
  <conditionalFormatting sqref="B1440:N1442">
    <cfRule type="expression" dxfId="227" priority="12">
      <formula>$H$1440=0</formula>
    </cfRule>
  </conditionalFormatting>
  <conditionalFormatting sqref="B157:P157">
    <cfRule type="expression" dxfId="226" priority="76">
      <formula>$P$136=AIS_statement32</formula>
    </cfRule>
  </conditionalFormatting>
  <conditionalFormatting sqref="B452:P452">
    <cfRule type="expression" dxfId="225" priority="236" stopIfTrue="1">
      <formula>$P$433=AIS_statement32</formula>
    </cfRule>
  </conditionalFormatting>
  <conditionalFormatting sqref="B472:P472">
    <cfRule type="expression" dxfId="224" priority="53" stopIfTrue="1">
      <formula>$P$453=AIS_statement32</formula>
    </cfRule>
  </conditionalFormatting>
  <conditionalFormatting sqref="B544:P544">
    <cfRule type="expression" dxfId="223" priority="234" stopIfTrue="1">
      <formula>$P$524=AIS_statement32</formula>
    </cfRule>
  </conditionalFormatting>
  <conditionalFormatting sqref="B597:P597">
    <cfRule type="expression" dxfId="222" priority="200" stopIfTrue="1">
      <formula>$P$565=AIS_statement32</formula>
    </cfRule>
  </conditionalFormatting>
  <conditionalFormatting sqref="B627:P627">
    <cfRule type="expression" dxfId="221" priority="233" stopIfTrue="1">
      <formula>$P$599=AIS_statement32</formula>
    </cfRule>
  </conditionalFormatting>
  <conditionalFormatting sqref="B806:P806">
    <cfRule type="expression" dxfId="220" priority="30">
      <formula>$R$788=1</formula>
    </cfRule>
  </conditionalFormatting>
  <conditionalFormatting sqref="B1225:P1225">
    <cfRule type="expression" dxfId="219" priority="711" stopIfTrue="1">
      <formula>Wst04_01=AIS_statement32</formula>
    </cfRule>
  </conditionalFormatting>
  <conditionalFormatting sqref="B1401:P1401">
    <cfRule type="expression" dxfId="218" priority="232" stopIfTrue="1">
      <formula>$P$1378=AIS_statement32</formula>
    </cfRule>
  </conditionalFormatting>
  <conditionalFormatting sqref="B1495:P1495">
    <cfRule type="expression" dxfId="217" priority="230" stopIfTrue="1">
      <formula>$P$1473=AIS_statement32</formula>
    </cfRule>
  </conditionalFormatting>
  <conditionalFormatting sqref="B705:Q705">
    <cfRule type="expression" dxfId="216" priority="1136" stopIfTrue="1">
      <formula>OR(Tra03_02=Tra03_option11,Tra03_02=Tra03_option16,Tra03_02=Tra03_option18)</formula>
    </cfRule>
  </conditionalFormatting>
  <conditionalFormatting sqref="B733:Q733">
    <cfRule type="expression" dxfId="215" priority="41" stopIfTrue="1">
      <formula>OR(Tra03_02=Tra03_option11,Tra03_02=Tra03_option16,Tra03_02=Tra03_option18)</formula>
    </cfRule>
  </conditionalFormatting>
  <conditionalFormatting sqref="C415">
    <cfRule type="expression" dxfId="214" priority="523" stopIfTrue="1">
      <formula>(Ene01_80=AIS_statement91)</formula>
    </cfRule>
  </conditionalFormatting>
  <conditionalFormatting sqref="H404:H409">
    <cfRule type="expression" dxfId="213" priority="80">
      <formula>(Ene01_80=AIS_Statement101)</formula>
    </cfRule>
  </conditionalFormatting>
  <conditionalFormatting sqref="H410">
    <cfRule type="expression" dxfId="212" priority="275" stopIfTrue="1">
      <formula>ADPT=ADPT02</formula>
    </cfRule>
  </conditionalFormatting>
  <conditionalFormatting sqref="H411">
    <cfRule type="expression" dxfId="211" priority="291" stopIfTrue="1">
      <formula>ADPT=ADPT02</formula>
    </cfRule>
  </conditionalFormatting>
  <conditionalFormatting sqref="H411:H415">
    <cfRule type="expression" dxfId="210" priority="79">
      <formula>(Ene01_80=AIS_Statement101)</formula>
    </cfRule>
  </conditionalFormatting>
  <conditionalFormatting sqref="H412:H414">
    <cfRule type="expression" dxfId="209" priority="276" stopIfTrue="1">
      <formula>ADPT=ADPT02</formula>
    </cfRule>
  </conditionalFormatting>
  <conditionalFormatting sqref="H415 L402 L415">
    <cfRule type="expression" dxfId="208" priority="86">
      <formula>(Ene01_80=AIS_statement91)</formula>
    </cfRule>
  </conditionalFormatting>
  <conditionalFormatting sqref="H817">
    <cfRule type="expression" dxfId="207" priority="149" stopIfTrue="1">
      <formula>AND(ADPT=ADPT03,AD_SchIss="SD5076 Issue 4.0")</formula>
    </cfRule>
  </conditionalFormatting>
  <conditionalFormatting sqref="H818">
    <cfRule type="expression" dxfId="206" priority="147" stopIfTrue="1">
      <formula>AND($H$817=AIS_Yes,OR(ADBT0=ADBT5,ADBT0=ADBT6))</formula>
    </cfRule>
    <cfRule type="expression" dxfId="205" priority="1131" stopIfTrue="1">
      <formula>OR(ADBT0=ADBT6,ADBT0=ADBT5)</formula>
    </cfRule>
  </conditionalFormatting>
  <conditionalFormatting sqref="H1438 J1438 L1438 N1438">
    <cfRule type="expression" dxfId="204" priority="11">
      <formula>AND(ADBT0=ADBT8,ADBT_sub01=ADBT_sub28)</formula>
    </cfRule>
  </conditionalFormatting>
  <conditionalFormatting sqref="J51">
    <cfRule type="expression" dxfId="203" priority="241" stopIfTrue="1">
      <formula>$J$50=AIS_Yes</formula>
    </cfRule>
  </conditionalFormatting>
  <conditionalFormatting sqref="J72:J78 J81:J88 J91:J96 J99:J100">
    <cfRule type="expression" dxfId="202" priority="68">
      <formula>$J$71=AIS_No</formula>
    </cfRule>
    <cfRule type="expression" dxfId="201" priority="70">
      <formula>$J$70=AIS_No</formula>
    </cfRule>
  </conditionalFormatting>
  <conditionalFormatting sqref="J76:J77">
    <cfRule type="expression" dxfId="200" priority="376" stopIfTrue="1">
      <formula>$J$75&lt;&gt;AIS_Yes</formula>
    </cfRule>
  </conditionalFormatting>
  <conditionalFormatting sqref="J78">
    <cfRule type="expression" dxfId="199" priority="321" stopIfTrue="1">
      <formula>$N$74&lt;=1</formula>
    </cfRule>
  </conditionalFormatting>
  <conditionalFormatting sqref="J81">
    <cfRule type="expression" dxfId="198" priority="16646" stopIfTrue="1">
      <formula>AIS_stage00=AIS_stage01</formula>
    </cfRule>
  </conditionalFormatting>
  <conditionalFormatting sqref="J81:J82 J99:J100 J91:J92">
    <cfRule type="expression" dxfId="197" priority="16647" stopIfTrue="1">
      <formula>OR($J$76=AIS_No,$J$75=AIS_No)</formula>
    </cfRule>
  </conditionalFormatting>
  <conditionalFormatting sqref="J82 J91:J92">
    <cfRule type="expression" dxfId="196" priority="17067" stopIfTrue="1">
      <formula>$J$76=$Z$1536</formula>
    </cfRule>
    <cfRule type="expression" dxfId="195" priority="17068" stopIfTrue="1">
      <formula>AIS_stage00=AIS_stage01</formula>
    </cfRule>
  </conditionalFormatting>
  <conditionalFormatting sqref="J83:J86 J93:J94">
    <cfRule type="expression" dxfId="194" priority="73">
      <formula>OR($J$77=AIS_No,$J$75=AIS_No)</formula>
    </cfRule>
  </conditionalFormatting>
  <conditionalFormatting sqref="J83:J88 J93:J96">
    <cfRule type="expression" dxfId="193" priority="866" stopIfTrue="1">
      <formula>AIS_stage00=AIS_stage01</formula>
    </cfRule>
  </conditionalFormatting>
  <conditionalFormatting sqref="J99">
    <cfRule type="expression" dxfId="192" priority="1265" stopIfTrue="1">
      <formula>ADAS0=ADAS01</formula>
    </cfRule>
  </conditionalFormatting>
  <conditionalFormatting sqref="J99:J100">
    <cfRule type="expression" dxfId="191" priority="854" stopIfTrue="1">
      <formula>AIS_stage00=AIS_stage01</formula>
    </cfRule>
  </conditionalFormatting>
  <conditionalFormatting sqref="J100">
    <cfRule type="expression" dxfId="190" priority="612" stopIfTrue="1">
      <formula>ADAS0=ADAS01</formula>
    </cfRule>
  </conditionalFormatting>
  <conditionalFormatting sqref="J119:J120">
    <cfRule type="expression" dxfId="189" priority="221" stopIfTrue="1">
      <formula>Man04_shell=1</formula>
    </cfRule>
  </conditionalFormatting>
  <conditionalFormatting sqref="J122:J123">
    <cfRule type="expression" dxfId="188" priority="218" stopIfTrue="1">
      <formula>Man04_shell=1</formula>
    </cfRule>
  </conditionalFormatting>
  <conditionalFormatting sqref="J123">
    <cfRule type="expression" dxfId="187" priority="160" stopIfTrue="1">
      <formula>ADPT=ADPT03</formula>
    </cfRule>
  </conditionalFormatting>
  <conditionalFormatting sqref="J143:J146">
    <cfRule type="expression" dxfId="186" priority="238" stopIfTrue="1">
      <formula>$P$136=AIS_statement32</formula>
    </cfRule>
  </conditionalFormatting>
  <conditionalFormatting sqref="J165:J166">
    <cfRule type="expression" dxfId="185" priority="5">
      <formula>$P$159=AIS_statement32</formula>
    </cfRule>
  </conditionalFormatting>
  <conditionalFormatting sqref="J166">
    <cfRule type="expression" dxfId="184" priority="65">
      <formula>$J$71=AIS_No</formula>
    </cfRule>
    <cfRule type="expression" dxfId="183" priority="66">
      <formula>$J$70=AIS_No</formula>
    </cfRule>
  </conditionalFormatting>
  <conditionalFormatting sqref="J189:J190">
    <cfRule type="expression" dxfId="182" priority="64" stopIfTrue="1">
      <formula>AND(OR(AD_SchIss="SD5076 Issue 4.0",AD_SchIss="SD5076 Issue 5.0",AD_SchIss="SD5076 Issue 6.0",AD_SchIss="SD5076 Issue 7.0"),ADPT&lt;&gt;ADPT01)</formula>
    </cfRule>
  </conditionalFormatting>
  <conditionalFormatting sqref="J215 L215 N215">
    <cfRule type="expression" dxfId="181" priority="2">
      <formula>ADBT0=ADBT8</formula>
    </cfRule>
    <cfRule type="expression" dxfId="180" priority="345" stopIfTrue="1">
      <formula>ADPT=ADPT03</formula>
    </cfRule>
  </conditionalFormatting>
  <conditionalFormatting sqref="J215:J218 L215:L218 N215:N218">
    <cfRule type="expression" dxfId="179" priority="346" stopIfTrue="1">
      <formula>ADPT=ADPT02</formula>
    </cfRule>
  </conditionalFormatting>
  <conditionalFormatting sqref="J215:J219 L215:L219 N215:N219 J221 L221 N221 J224:J225">
    <cfRule type="expression" dxfId="178" priority="203" stopIfTrue="1">
      <formula>ADIND_option01=AIS_No</formula>
    </cfRule>
  </conditionalFormatting>
  <conditionalFormatting sqref="J217:J218 L217:L218 N217:N218">
    <cfRule type="expression" dxfId="177" priority="343" stopIfTrue="1">
      <formula>ADPT=ADPT03</formula>
    </cfRule>
  </conditionalFormatting>
  <conditionalFormatting sqref="J218 L218 N218">
    <cfRule type="expression" dxfId="176" priority="1">
      <formula>ADBT0=ADBT8</formula>
    </cfRule>
  </conditionalFormatting>
  <conditionalFormatting sqref="J219 L219 N219">
    <cfRule type="expression" dxfId="175" priority="237" stopIfTrue="1">
      <formula>Hea02_10=0</formula>
    </cfRule>
  </conditionalFormatting>
  <conditionalFormatting sqref="J221 L221 N221">
    <cfRule type="expression" dxfId="174" priority="330" stopIfTrue="1">
      <formula>ADPT=ADPT03</formula>
    </cfRule>
    <cfRule type="expression" dxfId="173" priority="331" stopIfTrue="1">
      <formula>ADPT=ADPT02</formula>
    </cfRule>
  </conditionalFormatting>
  <conditionalFormatting sqref="J224:J225">
    <cfRule type="expression" dxfId="172" priority="312" stopIfTrue="1">
      <formula>OR(ADPT=ADPT02,ADPT=ADPT03)</formula>
    </cfRule>
  </conditionalFormatting>
  <conditionalFormatting sqref="J244:J246 L245:L246 N245:N246 B257:Q257">
    <cfRule type="expression" dxfId="171" priority="204" stopIfTrue="1">
      <formula>Hea03_13=AIS_statement32</formula>
    </cfRule>
  </conditionalFormatting>
  <conditionalFormatting sqref="J246">
    <cfRule type="expression" dxfId="170" priority="992" stopIfTrue="1">
      <formula>AD_catlevel=AD_catlevel01</formula>
    </cfRule>
  </conditionalFormatting>
  <conditionalFormatting sqref="J265:J268 L265:L268 N265:N268 J272:J273">
    <cfRule type="expression" dxfId="169" priority="362" stopIfTrue="1">
      <formula>$P$258=AIS_statement32</formula>
    </cfRule>
  </conditionalFormatting>
  <conditionalFormatting sqref="J272:J273">
    <cfRule type="expression" dxfId="168" priority="157" stopIfTrue="1">
      <formula>Hea04_03=AIS_Yes</formula>
    </cfRule>
  </conditionalFormatting>
  <conditionalFormatting sqref="J311">
    <cfRule type="expression" dxfId="167" priority="62">
      <formula>(AND(ADBT0=ADBT8,ADBT_sub01=ADBT_sub28))</formula>
    </cfRule>
  </conditionalFormatting>
  <conditionalFormatting sqref="J331 L331 N331">
    <cfRule type="expression" dxfId="166" priority="63">
      <formula>$P$324=AIS_statement32</formula>
    </cfRule>
  </conditionalFormatting>
  <conditionalFormatting sqref="J372">
    <cfRule type="expression" dxfId="165" priority="61" stopIfTrue="1">
      <formula>AD_catlevel=AD_catlevel01</formula>
    </cfRule>
  </conditionalFormatting>
  <conditionalFormatting sqref="J395">
    <cfRule type="expression" dxfId="164" priority="326" stopIfTrue="1">
      <formula>$H$474="Option 2."</formula>
    </cfRule>
  </conditionalFormatting>
  <conditionalFormatting sqref="J406:J409">
    <cfRule type="expression" dxfId="163" priority="153" stopIfTrue="1">
      <formula>ADPT=ADPT02</formula>
    </cfRule>
  </conditionalFormatting>
  <conditionalFormatting sqref="J440">
    <cfRule type="expression" dxfId="162" priority="251" stopIfTrue="1">
      <formula>$P$433=AIS_statement32</formula>
    </cfRule>
  </conditionalFormatting>
  <conditionalFormatting sqref="J441">
    <cfRule type="expression" dxfId="161" priority="1208" stopIfTrue="1">
      <formula>Ene02_05=AIS_NA</formula>
    </cfRule>
  </conditionalFormatting>
  <conditionalFormatting sqref="J460:J461">
    <cfRule type="expression" dxfId="160" priority="54" stopIfTrue="1">
      <formula>$P$453=AIS_statement32</formula>
    </cfRule>
  </conditionalFormatting>
  <conditionalFormatting sqref="J506">
    <cfRule type="expression" dxfId="159" priority="48">
      <formula>$J$505=100</formula>
    </cfRule>
  </conditionalFormatting>
  <conditionalFormatting sqref="J531:J532 L531:L532 N531:N532">
    <cfRule type="expression" dxfId="158" priority="340" stopIfTrue="1">
      <formula>ADPT=ADPT02</formula>
    </cfRule>
  </conditionalFormatting>
  <conditionalFormatting sqref="J533 L533 N533">
    <cfRule type="expression" dxfId="157" priority="339" stopIfTrue="1">
      <formula>ADPT=ADPT02</formula>
    </cfRule>
  </conditionalFormatting>
  <conditionalFormatting sqref="J552:J553">
    <cfRule type="expression" dxfId="156" priority="391" stopIfTrue="1">
      <formula>Ene06_credits=AIS_NA</formula>
    </cfRule>
  </conditionalFormatting>
  <conditionalFormatting sqref="J572">
    <cfRule type="expression" dxfId="155" priority="252" stopIfTrue="1">
      <formula>OR(Ene07_01=AIS_statement32,Ene07_08=AIS_NA)</formula>
    </cfRule>
  </conditionalFormatting>
  <conditionalFormatting sqref="J573:J574">
    <cfRule type="expression" dxfId="154" priority="72" stopIfTrue="1">
      <formula>Ene07_01=AIS_statement32</formula>
    </cfRule>
  </conditionalFormatting>
  <conditionalFormatting sqref="J575:J576 J578:J586">
    <cfRule type="expression" dxfId="153" priority="1162" stopIfTrue="1">
      <formula>AND(Ene07_03&lt;&gt;AIS_Yes,Ene07_04&lt;&gt;0)</formula>
    </cfRule>
  </conditionalFormatting>
  <conditionalFormatting sqref="J575:J586">
    <cfRule type="expression" dxfId="152" priority="191" stopIfTrue="1">
      <formula>$N$575=AIS_NA</formula>
    </cfRule>
    <cfRule type="expression" dxfId="151" priority="192" stopIfTrue="1">
      <formula>Ene07_01=AIS_statement32</formula>
    </cfRule>
  </conditionalFormatting>
  <conditionalFormatting sqref="J577">
    <cfRule type="expression" dxfId="150" priority="190" stopIfTrue="1">
      <formula>$J$573&lt;&gt;AIS_Yes</formula>
    </cfRule>
    <cfRule type="expression" dxfId="149" priority="193" stopIfTrue="1">
      <formula>ADFume_option01=AIS_No</formula>
    </cfRule>
  </conditionalFormatting>
  <conditionalFormatting sqref="J635:J636 L635 N635">
    <cfRule type="expression" dxfId="148" priority="520" stopIfTrue="1">
      <formula>Ene09_06=AIS_statement32</formula>
    </cfRule>
  </conditionalFormatting>
  <conditionalFormatting sqref="J635:J636">
    <cfRule type="expression" dxfId="147" priority="386" stopIfTrue="1">
      <formula>$H$630=AIS_NA</formula>
    </cfRule>
  </conditionalFormatting>
  <conditionalFormatting sqref="J661">
    <cfRule type="expression" dxfId="146" priority="1152" stopIfTrue="1">
      <formula>Tra01_05&gt;0</formula>
    </cfRule>
  </conditionalFormatting>
  <conditionalFormatting sqref="J725 J727 J735">
    <cfRule type="expression" dxfId="145" priority="34">
      <formula>ADBT0&lt;&gt;ADBT8</formula>
    </cfRule>
  </conditionalFormatting>
  <conditionalFormatting sqref="J753:J754">
    <cfRule type="expression" dxfId="144" priority="753" stopIfTrue="1">
      <formula>Tra04_07=AIS_statement32</formula>
    </cfRule>
  </conditionalFormatting>
  <conditionalFormatting sqref="J754">
    <cfRule type="expression" dxfId="143" priority="1128" stopIfTrue="1">
      <formula>Tra03_02=Tra03_option06</formula>
    </cfRule>
  </conditionalFormatting>
  <conditionalFormatting sqref="J757 L757 B768:P768">
    <cfRule type="expression" dxfId="142" priority="1126" stopIfTrue="1">
      <formula>Tra04_07=AIS_statement32</formula>
    </cfRule>
  </conditionalFormatting>
  <conditionalFormatting sqref="J776">
    <cfRule type="expression" dxfId="141" priority="32">
      <formula>$R$769=1</formula>
    </cfRule>
  </conditionalFormatting>
  <conditionalFormatting sqref="J795">
    <cfRule type="expression" dxfId="140" priority="31">
      <formula>$R$788=1</formula>
    </cfRule>
  </conditionalFormatting>
  <conditionalFormatting sqref="J821:J824 J827:J828 H816:N816">
    <cfRule type="expression" dxfId="139" priority="385" stopIfTrue="1">
      <formula>ADPT=ADPT02</formula>
    </cfRule>
  </conditionalFormatting>
  <conditionalFormatting sqref="J821:J824 J827:J828">
    <cfRule type="expression" dxfId="138" priority="148" stopIfTrue="1">
      <formula>$H$817=AIS_Yes</formula>
    </cfRule>
    <cfRule type="expression" dxfId="137" priority="17038" stopIfTrue="1">
      <formula>$H$816=$Z$2061</formula>
    </cfRule>
  </conditionalFormatting>
  <conditionalFormatting sqref="J832:J833 B833:H833">
    <cfRule type="expression" dxfId="136" priority="17062" stopIfTrue="1">
      <formula>$H$816=$Z$2060</formula>
    </cfRule>
  </conditionalFormatting>
  <conditionalFormatting sqref="J854">
    <cfRule type="expression" dxfId="135" priority="327" stopIfTrue="1">
      <formula>ADPT=ADPT02</formula>
    </cfRule>
  </conditionalFormatting>
  <conditionalFormatting sqref="J854:J856">
    <cfRule type="expression" dxfId="134" priority="29">
      <formula>(AND(ADBT0=ADBT8,ADBT_sub01=ADBT_sub28))</formula>
    </cfRule>
  </conditionalFormatting>
  <conditionalFormatting sqref="J876:J877 L876:L877">
    <cfRule type="expression" dxfId="133" priority="28" stopIfTrue="1">
      <formula>ADPT=ADPT02</formula>
    </cfRule>
  </conditionalFormatting>
  <conditionalFormatting sqref="J898 L898 N898 B909:Q909">
    <cfRule type="expression" dxfId="132" priority="1148" stopIfTrue="1">
      <formula>Wat04_01=AIS_statement32</formula>
    </cfRule>
  </conditionalFormatting>
  <conditionalFormatting sqref="J898">
    <cfRule type="expression" dxfId="131" priority="69">
      <formula>$T$890=AIS_Yes</formula>
    </cfRule>
    <cfRule type="expression" dxfId="130" priority="158" stopIfTrue="1">
      <formula>AND(AD_Vehiclewash=AIS_No,ADPT=ADPT01)</formula>
    </cfRule>
  </conditionalFormatting>
  <conditionalFormatting sqref="J921">
    <cfRule type="expression" dxfId="129" priority="27" stopIfTrue="1">
      <formula>Mat01_03&gt;Mat01_credits</formula>
    </cfRule>
  </conditionalFormatting>
  <conditionalFormatting sqref="J976:J977 L976:L977 N976:N977 J979">
    <cfRule type="expression" dxfId="128" priority="198" stopIfTrue="1">
      <formula>$J$974=AD_no</formula>
    </cfRule>
  </conditionalFormatting>
  <conditionalFormatting sqref="J1106">
    <cfRule type="expression" dxfId="127" priority="78">
      <formula>$J$1105="No"</formula>
    </cfRule>
  </conditionalFormatting>
  <conditionalFormatting sqref="J1111">
    <cfRule type="expression" dxfId="126" priority="77">
      <formula>AND($J$1105=AIS_Yes,$J$1106=AIS_No)</formula>
    </cfRule>
  </conditionalFormatting>
  <conditionalFormatting sqref="J1171:J1173">
    <cfRule type="expression" dxfId="125" priority="19">
      <formula>$R$1164=1</formula>
    </cfRule>
  </conditionalFormatting>
  <conditionalFormatting sqref="J1172:J1175">
    <cfRule type="expression" dxfId="124" priority="719" stopIfTrue="1">
      <formula>Wst03_02=AIS_No</formula>
    </cfRule>
  </conditionalFormatting>
  <conditionalFormatting sqref="J1175">
    <cfRule type="expression" dxfId="123" priority="715" stopIfTrue="1">
      <formula>Wst03_11=""</formula>
    </cfRule>
  </conditionalFormatting>
  <conditionalFormatting sqref="J1214 L1214 N1214">
    <cfRule type="expression" dxfId="122" priority="1097" stopIfTrue="1">
      <formula>Wst04_01=AIS_statement32</formula>
    </cfRule>
  </conditionalFormatting>
  <conditionalFormatting sqref="J1234 L1234 N1234">
    <cfRule type="expression" dxfId="121" priority="197" stopIfTrue="1">
      <formula>ADPT=ADPT02</formula>
    </cfRule>
  </conditionalFormatting>
  <conditionalFormatting sqref="J1254">
    <cfRule type="expression" dxfId="120" priority="18">
      <formula>$R$1247=1</formula>
    </cfRule>
  </conditionalFormatting>
  <conditionalFormatting sqref="J1340">
    <cfRule type="expression" dxfId="119" priority="1019" stopIfTrue="1">
      <formula>LE04_02=AIS_No</formula>
    </cfRule>
  </conditionalFormatting>
  <conditionalFormatting sqref="J1361:J1363">
    <cfRule type="expression" dxfId="118" priority="1017" stopIfTrue="1">
      <formula>LE05_02=AIS_No</formula>
    </cfRule>
  </conditionalFormatting>
  <conditionalFormatting sqref="J1362:J1363">
    <cfRule type="expression" dxfId="117" priority="145" stopIfTrue="1">
      <formula>OR(LE05_03=AIS_NA,LE05_03=AIS_No)</formula>
    </cfRule>
  </conditionalFormatting>
  <conditionalFormatting sqref="J1363">
    <cfRule type="expression" dxfId="116" priority="74">
      <formula>$J$1363="Please Select"</formula>
    </cfRule>
    <cfRule type="expression" dxfId="115" priority="75">
      <formula>$J$1363&gt;$J$1362</formula>
    </cfRule>
  </conditionalFormatting>
  <conditionalFormatting sqref="J1386:J1390">
    <cfRule type="expression" dxfId="114" priority="244" stopIfTrue="1">
      <formula>$J$1385=AIS_No</formula>
    </cfRule>
  </conditionalFormatting>
  <conditionalFormatting sqref="J1408">
    <cfRule type="expression" dxfId="113" priority="247" stopIfTrue="1">
      <formula>ADIND_option01&lt;&gt;AIS_Yes</formula>
    </cfRule>
  </conditionalFormatting>
  <conditionalFormatting sqref="J1408:J1416 B1427:P1427">
    <cfRule type="expression" dxfId="112" priority="231" stopIfTrue="1">
      <formula>$P$1402=AIS_statement32</formula>
    </cfRule>
  </conditionalFormatting>
  <conditionalFormatting sqref="J1409:J1416">
    <cfRule type="expression" dxfId="111" priority="17" stopIfTrue="1">
      <formula>$P$1402=AIS_statement32</formula>
    </cfRule>
  </conditionalFormatting>
  <conditionalFormatting sqref="J1411">
    <cfRule type="expression" dxfId="110" priority="195">
      <formula>AD_Wat10&lt;&gt;AIS_Yes</formula>
    </cfRule>
  </conditionalFormatting>
  <conditionalFormatting sqref="J1437 L1437 N1437">
    <cfRule type="expression" dxfId="109" priority="13">
      <formula>AND(ADBT0=ADBT8,ADBT_sub01=ADBT_sub28)</formula>
    </cfRule>
  </conditionalFormatting>
  <conditionalFormatting sqref="J1461">
    <cfRule type="expression" dxfId="108" priority="10">
      <formula>$R$1454=1</formula>
    </cfRule>
  </conditionalFormatting>
  <conditionalFormatting sqref="J1480">
    <cfRule type="expression" dxfId="107" priority="6">
      <formula>$P$1480=1</formula>
    </cfRule>
    <cfRule type="expression" dxfId="106" priority="7" stopIfTrue="1">
      <formula>$P$1473=AIS_statement32</formula>
    </cfRule>
  </conditionalFormatting>
  <conditionalFormatting sqref="J1482 L1482 N1482 J1484">
    <cfRule type="expression" dxfId="105" priority="194" stopIfTrue="1">
      <formula>$P$1473=AIS_statement32</formula>
    </cfRule>
  </conditionalFormatting>
  <conditionalFormatting sqref="J1484">
    <cfRule type="expression" dxfId="104" priority="627" stopIfTrue="1">
      <formula>Pol05_02=AIS_No</formula>
    </cfRule>
  </conditionalFormatting>
  <conditionalFormatting sqref="J606:L613">
    <cfRule type="expression" dxfId="103" priority="336" stopIfTrue="1">
      <formula>ADPT=ADPT03</formula>
    </cfRule>
    <cfRule type="expression" dxfId="102" priority="337" stopIfTrue="1">
      <formula>ADPT=ADPT02</formula>
    </cfRule>
  </conditionalFormatting>
  <conditionalFormatting sqref="J616:N616">
    <cfRule type="expression" dxfId="101" priority="328" stopIfTrue="1">
      <formula>ADPT=ADPT03</formula>
    </cfRule>
    <cfRule type="expression" dxfId="100" priority="329" stopIfTrue="1">
      <formula>ADPT=ADPT02</formula>
    </cfRule>
  </conditionalFormatting>
  <conditionalFormatting sqref="J698:P698 J700:P700 J707:P707">
    <cfRule type="expression" dxfId="99" priority="35">
      <formula>$H$694=AIS_NA</formula>
    </cfRule>
  </conditionalFormatting>
  <conditionalFormatting sqref="J705:P705">
    <cfRule type="expression" dxfId="98" priority="43">
      <formula>$J$700=Tra03_cycle_fac</formula>
    </cfRule>
  </conditionalFormatting>
  <conditionalFormatting sqref="J733:P733">
    <cfRule type="expression" dxfId="97" priority="37">
      <formula>$J$700=Tra03_cycle_fac</formula>
    </cfRule>
  </conditionalFormatting>
  <conditionalFormatting sqref="J753:P753 J754 J757 L757 N757">
    <cfRule type="expression" dxfId="96" priority="33">
      <formula>$P$747=AIS_statement32</formula>
    </cfRule>
  </conditionalFormatting>
  <conditionalFormatting sqref="L78">
    <cfRule type="expression" dxfId="95" priority="320" stopIfTrue="1">
      <formula>$N$74&lt;=1</formula>
    </cfRule>
  </conditionalFormatting>
  <conditionalFormatting sqref="L119:L120">
    <cfRule type="expression" dxfId="94" priority="220" stopIfTrue="1">
      <formula>Man04_shell=1</formula>
    </cfRule>
  </conditionalFormatting>
  <conditionalFormatting sqref="L122">
    <cfRule type="expression" dxfId="93" priority="217" stopIfTrue="1">
      <formula>Man04_shell=1</formula>
    </cfRule>
  </conditionalFormatting>
  <conditionalFormatting sqref="L143:L146">
    <cfRule type="expression" dxfId="92" priority="208" stopIfTrue="1">
      <formula>$P$136=AIS_statement32</formula>
    </cfRule>
  </conditionalFormatting>
  <conditionalFormatting sqref="L246">
    <cfRule type="expression" dxfId="91" priority="261" stopIfTrue="1">
      <formula>AD_catlevel=AD_catlevel01</formula>
    </cfRule>
  </conditionalFormatting>
  <conditionalFormatting sqref="L404:L409">
    <cfRule type="expression" dxfId="90" priority="131" stopIfTrue="1">
      <formula>Ene01_80=AIS_Statement101</formula>
    </cfRule>
    <cfRule type="expression" dxfId="89" priority="132">
      <formula>Ene01_80=AIS_statement91</formula>
    </cfRule>
  </conditionalFormatting>
  <conditionalFormatting sqref="L410:L415">
    <cfRule type="expression" dxfId="88" priority="116">
      <formula>Ene01_80=AIS_statement91</formula>
    </cfRule>
    <cfRule type="expression" dxfId="87" priority="117" stopIfTrue="1">
      <formula>Ene01_80=AIS_Statement101</formula>
    </cfRule>
  </conditionalFormatting>
  <conditionalFormatting sqref="L415 L402 H415">
    <cfRule type="expression" dxfId="86" priority="977" stopIfTrue="1">
      <formula>(Ene01_80=AIS_Statement101)</formula>
    </cfRule>
  </conditionalFormatting>
  <conditionalFormatting sqref="L415">
    <cfRule type="expression" dxfId="85" priority="87">
      <formula>(Ene01_80=AIS_Statement101)</formula>
    </cfRule>
  </conditionalFormatting>
  <conditionalFormatting sqref="L440:L441 N440:N441">
    <cfRule type="expression" dxfId="84" priority="201" stopIfTrue="1">
      <formula>$P$433=AIS_statement32</formula>
    </cfRule>
  </conditionalFormatting>
  <conditionalFormatting sqref="L441 N441">
    <cfRule type="expression" dxfId="83" priority="202" stopIfTrue="1">
      <formula>$L$441=AIS_NA</formula>
    </cfRule>
  </conditionalFormatting>
  <conditionalFormatting sqref="L460:L461 N460:N461">
    <cfRule type="expression" dxfId="82" priority="51" stopIfTrue="1">
      <formula>$P$453=AIS_statement32</formula>
    </cfRule>
  </conditionalFormatting>
  <conditionalFormatting sqref="L461 N461">
    <cfRule type="expression" dxfId="81" priority="52" stopIfTrue="1">
      <formula>$L$51=AIS_NA</formula>
    </cfRule>
  </conditionalFormatting>
  <conditionalFormatting sqref="L552:L553 N552:N553">
    <cfRule type="expression" dxfId="80" priority="387" stopIfTrue="1">
      <formula>Ene06_credits=AIS_NA</formula>
    </cfRule>
  </conditionalFormatting>
  <conditionalFormatting sqref="L573">
    <cfRule type="expression" dxfId="79" priority="189" stopIfTrue="1">
      <formula>Ene07_01=AIS_statement32</formula>
    </cfRule>
  </conditionalFormatting>
  <conditionalFormatting sqref="L575 N575">
    <cfRule type="expression" dxfId="78" priority="791" stopIfTrue="1">
      <formula>OR(Ene07_01=AIS_statement32,$L$575=0)</formula>
    </cfRule>
  </conditionalFormatting>
  <conditionalFormatting sqref="L606">
    <cfRule type="expression" dxfId="77" priority="1161" stopIfTrue="1">
      <formula>AND(Ene08_09=AIS_Yes,Ene08_01=AIS_No)</formula>
    </cfRule>
    <cfRule type="expression" dxfId="76" priority="1181" stopIfTrue="1">
      <formula>AND($J$606=AIS_No,$L$606=AIS_Yes)</formula>
    </cfRule>
    <cfRule type="expression" dxfId="75" priority="1190" stopIfTrue="1">
      <formula>Ene08_01=AIS_No</formula>
    </cfRule>
  </conditionalFormatting>
  <conditionalFormatting sqref="L607">
    <cfRule type="expression" dxfId="74" priority="1160" stopIfTrue="1">
      <formula>AND(Ene08_10=AIS_Yes,Ene08_02=AIS_No)</formula>
    </cfRule>
    <cfRule type="expression" dxfId="73" priority="1180" stopIfTrue="1">
      <formula>AND($J$607=AIS_No,$L$607=AIS_Yes)</formula>
    </cfRule>
    <cfRule type="expression" dxfId="72" priority="1189" stopIfTrue="1">
      <formula>Ene08_02=AIS_No</formula>
    </cfRule>
  </conditionalFormatting>
  <conditionalFormatting sqref="L608">
    <cfRule type="expression" dxfId="71" priority="1159" stopIfTrue="1">
      <formula>AND(Ene08_11=AIS_Yes,Ene08_03=AIS_No)</formula>
    </cfRule>
    <cfRule type="expression" dxfId="70" priority="1179" stopIfTrue="1">
      <formula>AND($J$608=AIS_No,$L$608=AIS_Yes)</formula>
    </cfRule>
    <cfRule type="expression" dxfId="69" priority="1188" stopIfTrue="1">
      <formula>Ene08_03=AIS_No</formula>
    </cfRule>
  </conditionalFormatting>
  <conditionalFormatting sqref="L609">
    <cfRule type="expression" dxfId="68" priority="1158" stopIfTrue="1">
      <formula>AND(Ene08_12=AIS_Yes,Ene08_04=AIS_No)</formula>
    </cfRule>
    <cfRule type="expression" dxfId="67" priority="1178" stopIfTrue="1">
      <formula>AND($J$609=AIS_No,$L$609=AIS_Yes)</formula>
    </cfRule>
    <cfRule type="expression" dxfId="66" priority="1187" stopIfTrue="1">
      <formula>Ene08_04=AIS_No</formula>
    </cfRule>
  </conditionalFormatting>
  <conditionalFormatting sqref="L610">
    <cfRule type="expression" dxfId="65" priority="1157" stopIfTrue="1">
      <formula>AND(Ene08_13=AIS_Yes,Ene08_05=AIS_No)</formula>
    </cfRule>
    <cfRule type="expression" dxfId="64" priority="1177" stopIfTrue="1">
      <formula>AND($J$610=AIS_No,$L$610=AIS_Yes)</formula>
    </cfRule>
    <cfRule type="expression" dxfId="63" priority="1186" stopIfTrue="1">
      <formula>Ene08_05=AIS_No</formula>
    </cfRule>
  </conditionalFormatting>
  <conditionalFormatting sqref="L611">
    <cfRule type="expression" dxfId="62" priority="1156" stopIfTrue="1">
      <formula>AND(Ene08_14=AIS_Yes,Ene08_06=AIS_No)</formula>
    </cfRule>
    <cfRule type="expression" dxfId="61" priority="1176" stopIfTrue="1">
      <formula>AND($J$611=AIS_No,$L$611=AIS_Yes)</formula>
    </cfRule>
    <cfRule type="expression" dxfId="60" priority="1185" stopIfTrue="1">
      <formula>Ene08_06=AIS_No</formula>
    </cfRule>
  </conditionalFormatting>
  <conditionalFormatting sqref="L612">
    <cfRule type="expression" dxfId="59" priority="1154" stopIfTrue="1">
      <formula>AND(Ene08_15=AIS_Yes,Ene08_07=AIS_No)</formula>
    </cfRule>
    <cfRule type="expression" dxfId="58" priority="1175" stopIfTrue="1">
      <formula>AND($J$612=AIS_No,$L$612=AIS_Yes)</formula>
    </cfRule>
    <cfRule type="expression" dxfId="57" priority="1184" stopIfTrue="1">
      <formula>Ene08_07=AIS_No</formula>
    </cfRule>
  </conditionalFormatting>
  <conditionalFormatting sqref="L613">
    <cfRule type="expression" dxfId="56" priority="1153" stopIfTrue="1">
      <formula>AND(Ene08_16=AIS_Yes,Ene08_08=AIS_No)</formula>
    </cfRule>
    <cfRule type="expression" dxfId="55" priority="1174" stopIfTrue="1">
      <formula>AND($J$613=AIS_No,$L$613=AIS_Yes)</formula>
    </cfRule>
    <cfRule type="expression" dxfId="54" priority="1183" stopIfTrue="1">
      <formula>Ene08_08=AIS_No</formula>
    </cfRule>
  </conditionalFormatting>
  <conditionalFormatting sqref="L680 B691:Q691">
    <cfRule type="expression" dxfId="53" priority="1142" stopIfTrue="1">
      <formula>Tra02_05=AIS_statement32</formula>
    </cfRule>
  </conditionalFormatting>
  <conditionalFormatting sqref="L1145">
    <cfRule type="expression" priority="397" stopIfTrue="1">
      <formula>$AC$2123=AIS_NA</formula>
    </cfRule>
  </conditionalFormatting>
  <conditionalFormatting sqref="L1385 N1385 J1385:J1390 L1390 N1390">
    <cfRule type="expression" dxfId="52" priority="196" stopIfTrue="1">
      <formula>$P$1378=AIS_statement32</formula>
    </cfRule>
  </conditionalFormatting>
  <conditionalFormatting sqref="L1385 N1385 J1387:J1390 N1390">
    <cfRule type="expression" dxfId="51" priority="243" stopIfTrue="1">
      <formula>$J$1386=AIS_No</formula>
    </cfRule>
  </conditionalFormatting>
  <conditionalFormatting sqref="L1390">
    <cfRule type="expression" dxfId="50" priority="242" stopIfTrue="1">
      <formula>$J$1386=AIS_No</formula>
    </cfRule>
  </conditionalFormatting>
  <conditionalFormatting sqref="L1411">
    <cfRule type="expression" dxfId="49" priority="187" stopIfTrue="1">
      <formula>AD_Wat10=AIS_Yes</formula>
    </cfRule>
  </conditionalFormatting>
  <conditionalFormatting sqref="L1083:N1083">
    <cfRule type="expression" dxfId="48" priority="17071" stopIfTrue="1">
      <formula>$L$978=$X$1547</formula>
    </cfRule>
  </conditionalFormatting>
  <conditionalFormatting sqref="L1108:N1108">
    <cfRule type="expression" dxfId="47" priority="17061" stopIfTrue="1">
      <formula>$L$1108=$Z$1748</formula>
    </cfRule>
  </conditionalFormatting>
  <conditionalFormatting sqref="N78">
    <cfRule type="expression" dxfId="46" priority="319" stopIfTrue="1">
      <formula>$N$74&lt;=1</formula>
    </cfRule>
  </conditionalFormatting>
  <conditionalFormatting sqref="N119:N120">
    <cfRule type="expression" dxfId="45" priority="219" stopIfTrue="1">
      <formula>Man04_shell=1</formula>
    </cfRule>
  </conditionalFormatting>
  <conditionalFormatting sqref="N122">
    <cfRule type="expression" dxfId="44" priority="216" stopIfTrue="1">
      <formula>Man04_shell=1</formula>
    </cfRule>
  </conditionalFormatting>
  <conditionalFormatting sqref="N143:N146">
    <cfRule type="expression" dxfId="43" priority="207" stopIfTrue="1">
      <formula>$P$136=AIS_statement32</formula>
    </cfRule>
  </conditionalFormatting>
  <conditionalFormatting sqref="N246">
    <cfRule type="expression" dxfId="42" priority="206" stopIfTrue="1">
      <formula>AD_catlevel=AD_catlevel01</formula>
    </cfRule>
  </conditionalFormatting>
  <conditionalFormatting sqref="N272:N273">
    <cfRule type="expression" dxfId="41" priority="159" stopIfTrue="1">
      <formula>OR(Hea04_01=AIS_No,Hea04_01="")</formula>
    </cfRule>
  </conditionalFormatting>
  <conditionalFormatting sqref="N372">
    <cfRule type="expression" dxfId="40" priority="58" stopIfTrue="1">
      <formula>AD_catlevel=AD_catlevel01</formula>
    </cfRule>
  </conditionalFormatting>
  <conditionalFormatting sqref="N573">
    <cfRule type="expression" dxfId="39" priority="16400" stopIfTrue="1">
      <formula>Ene07_01=AIS_statement32</formula>
    </cfRule>
  </conditionalFormatting>
  <conditionalFormatting sqref="N610">
    <cfRule type="expression" dxfId="38" priority="17066" stopIfTrue="1">
      <formula>$R$611=$Z$1712</formula>
    </cfRule>
  </conditionalFormatting>
  <conditionalFormatting sqref="N611">
    <cfRule type="expression" dxfId="37" priority="17064" stopIfTrue="1">
      <formula>$R$611=$Z$1712</formula>
    </cfRule>
  </conditionalFormatting>
  <conditionalFormatting sqref="N616">
    <cfRule type="expression" dxfId="36" priority="17065" stopIfTrue="1">
      <formula>$R$606=$Z$1713</formula>
    </cfRule>
  </conditionalFormatting>
  <conditionalFormatting sqref="N680">
    <cfRule type="expression" dxfId="35" priority="766" stopIfTrue="1">
      <formula>Tra02_05=AIS_statement32</formula>
    </cfRule>
    <cfRule type="expression" dxfId="34" priority="998" stopIfTrue="1">
      <formula>Tra02_03&gt;Tra02_02</formula>
    </cfRule>
    <cfRule type="expression" dxfId="33" priority="1146" stopIfTrue="1">
      <formula>AND(Tra02_01=AIS_No,Tra02_03&gt;0)</formula>
    </cfRule>
  </conditionalFormatting>
  <conditionalFormatting sqref="N757">
    <cfRule type="expression" dxfId="32" priority="750" stopIfTrue="1">
      <formula>Tra04_07=AIS_statement32</formula>
    </cfRule>
    <cfRule type="expression" dxfId="31" priority="997" stopIfTrue="1">
      <formula>Tra04_04&gt;Tra04_03</formula>
    </cfRule>
    <cfRule type="expression" dxfId="30" priority="1125" stopIfTrue="1">
      <formula>AND(Tra04_02=AIS_No,Tra04_04&gt;0)</formula>
    </cfRule>
  </conditionalFormatting>
  <conditionalFormatting sqref="N877">
    <cfRule type="expression" dxfId="29" priority="384" stopIfTrue="1">
      <formula>ADPT=ADPT02</formula>
    </cfRule>
  </conditionalFormatting>
  <conditionalFormatting sqref="P410">
    <cfRule type="expression" dxfId="28" priority="265" stopIfTrue="1">
      <formula>AND(OR(ADPT=ADPT01,ADPT=ADPT03),(Ene01_80=AIS_statement91))</formula>
    </cfRule>
  </conditionalFormatting>
  <conditionalFormatting sqref="P1083:P1084">
    <cfRule type="expression" dxfId="27" priority="25" stopIfTrue="1">
      <formula>OR(ADPT=ADPT01,ADPT=ADPT03)</formula>
    </cfRule>
  </conditionalFormatting>
  <conditionalFormatting sqref="P1085">
    <cfRule type="expression" dxfId="26" priority="24" stopIfTrue="1">
      <formula>OR(ADPT=ADPT01,ADPT=ADPT03)</formula>
    </cfRule>
  </conditionalFormatting>
  <conditionalFormatting sqref="P1480">
    <cfRule type="expression" dxfId="25" priority="9">
      <formula>$P$1480=0</formula>
    </cfRule>
  </conditionalFormatting>
  <conditionalFormatting sqref="P419:Q419">
    <cfRule type="expression" dxfId="24" priority="1197" stopIfTrue="1">
      <formula>OR(Ene01_76=AIS_Yes,Ene01_77=AIS_Yes,Ene01_91=AIS_Yes)</formula>
    </cfRule>
  </conditionalFormatting>
  <conditionalFormatting sqref="P419:Q421">
    <cfRule type="expression" dxfId="23" priority="280" stopIfTrue="1">
      <formula>ADPT=ADPT02</formula>
    </cfRule>
  </conditionalFormatting>
  <conditionalFormatting sqref="P420:Q421">
    <cfRule type="expression" dxfId="22" priority="576" stopIfTrue="1">
      <formula>OR(Ene01_76=AIS_Yes,Ene01_77=AIS_Yes,Ene01_91=AIS_Yes)</formula>
    </cfRule>
  </conditionalFormatting>
  <conditionalFormatting sqref="P421:Q421">
    <cfRule type="expression" dxfId="21" priority="575" stopIfTrue="1">
      <formula>Ene01_37=AIS_No</formula>
    </cfRule>
  </conditionalFormatting>
  <conditionalFormatting sqref="P573:Q573 P575:Q575">
    <cfRule type="expression" dxfId="20" priority="785" stopIfTrue="1">
      <formula>OR(ADPT=ADPT01,ADPT=ADPT03)</formula>
    </cfRule>
  </conditionalFormatting>
  <conditionalFormatting sqref="P680:Q680">
    <cfRule type="expression" dxfId="19" priority="764" stopIfTrue="1">
      <formula>OR(ADPT=ADPT01,ADPT=ADPT03)</formula>
    </cfRule>
    <cfRule type="expression" dxfId="18" priority="765" stopIfTrue="1">
      <formula>Tra02_05=AIS_statement32</formula>
    </cfRule>
  </conditionalFormatting>
  <conditionalFormatting sqref="P757:Q757">
    <cfRule type="expression" dxfId="17" priority="747" stopIfTrue="1">
      <formula>OR(ADPT=ADPT01,ADPT=ADPT03)</formula>
    </cfRule>
    <cfRule type="expression" dxfId="16" priority="749" stopIfTrue="1">
      <formula>Tra04_07=AIS_statement32</formula>
    </cfRule>
  </conditionalFormatting>
  <conditionalFormatting sqref="Q396">
    <cfRule type="expression" dxfId="15" priority="154" stopIfTrue="1">
      <formula>$H$395&lt;&gt;Scotland</formula>
    </cfRule>
  </conditionalFormatting>
  <conditionalFormatting sqref="R120">
    <cfRule type="expression" dxfId="14" priority="260" stopIfTrue="1">
      <formula>Man04_shell=1</formula>
    </cfRule>
  </conditionalFormatting>
  <conditionalFormatting sqref="R680">
    <cfRule type="expression" dxfId="13" priority="577" stopIfTrue="1">
      <formula>AND(Tra02_01=AIS_No,Tra02_03&gt;0)</formula>
    </cfRule>
  </conditionalFormatting>
  <conditionalFormatting sqref="R757">
    <cfRule type="expression" dxfId="12" priority="1124" stopIfTrue="1">
      <formula>Tra04_08=AIS_statement47</formula>
    </cfRule>
  </conditionalFormatting>
  <conditionalFormatting sqref="R1522">
    <cfRule type="expression" dxfId="11" priority="185" stopIfTrue="1">
      <formula>$R$1522=AIS_statement10</formula>
    </cfRule>
  </conditionalFormatting>
  <conditionalFormatting sqref="R272:W273">
    <cfRule type="expression" dxfId="10" priority="183" stopIfTrue="1">
      <formula>$P$258=AIS_statement32</formula>
    </cfRule>
  </conditionalFormatting>
  <conditionalFormatting sqref="R709:W711">
    <cfRule type="expression" dxfId="9" priority="398" stopIfTrue="1">
      <formula>#REF!=Tra_03_option16</formula>
    </cfRule>
  </conditionalFormatting>
  <conditionalFormatting sqref="R737:W739">
    <cfRule type="expression" dxfId="8" priority="40" stopIfTrue="1">
      <formula>#REF!=Tra_03_option16</formula>
    </cfRule>
  </conditionalFormatting>
  <conditionalFormatting sqref="R427:X429">
    <cfRule type="expression" dxfId="7" priority="525" stopIfTrue="1">
      <formula>AND(AD_MultiRes_option01=AD_Yes,AD_MultiRes_option02&lt;1)</formula>
    </cfRule>
  </conditionalFormatting>
  <conditionalFormatting sqref="R430:X431">
    <cfRule type="expression" dxfId="6" priority="515" stopIfTrue="1">
      <formula>AND(AD_MultiRes_option01=AD_Yes,AD_MultiRes_option02&lt;1)</formula>
    </cfRule>
  </conditionalFormatting>
  <conditionalFormatting sqref="S422:T422 R423:S425">
    <cfRule type="expression" dxfId="5" priority="521" stopIfTrue="1">
      <formula>AD_MultiRes_option01=AD_Yes</formula>
    </cfRule>
  </conditionalFormatting>
  <conditionalFormatting sqref="T423:X423">
    <cfRule type="expression" dxfId="4" priority="139" stopIfTrue="1">
      <formula>Ene01_07&gt;Ene01_06</formula>
    </cfRule>
  </conditionalFormatting>
  <dataValidations xWindow="725" yWindow="523" count="75">
    <dataValidation type="list" showInputMessage="1" showErrorMessage="1" errorTitle="BREEAM 2011" error="Please review, your data entry is invalid." prompt="If the building is a shell and core/speculative development and you wish to make use of the BREEAM evidence options for such project types, then select the appropriate option from the drop down list (see Scheme Document for definition of each option)." sqref="P1461:Q1461 P122:Q123 P853:Q853 P1390:Q1390 Q876:Q877 P1409:Q1412" xr:uid="{00000000-0002-0000-0200-000000000000}">
      <formula1>AIS_Shell_option01</formula1>
    </dataValidation>
    <dataValidation type="list" allowBlank="1" showInputMessage="1" showErrorMessage="1" prompt="Select the number of BREEAM innovation credits awarded for building compliance with BRE Global approved innovations." sqref="N1520" xr:uid="{00000000-0002-0000-0200-000001000000}">
      <formula1>$AV$1534:$AV$1544</formula1>
    </dataValidation>
    <dataValidation type="list" errorStyle="warning" showErrorMessage="1" errorTitle="BREEAM 2011" error="Please review, your data entry is invalid." sqref="J1482:J1484 J1480 J1059:J1061 J370:J372 J190 J265:J266 J974:J976 J573:J574 J1104:J1106 J215:J219 J75:J78 J119:J123 J244:J246 J1390 J1360 J1194:J1195 J1175 J1298:J1299 J143:J146 J955 J855 J192:J194 L606:L613 J776 J616 J500:J502 J268 J1385:J1387 J440:J441 J350:J351 J531:J533 J606:J613 J460:J461 J635:J636 J1019 J661 J853 J922:J924 J1171 J1152 J552:J553 J1277 J70:J73 J1233:J1234 J1039 J1254 J165 J331 J480:J481 J506 J795 J875:J877 J1085:J1088 J1090 J1096 J1436:J1439 J1339" xr:uid="{00000000-0002-0000-0200-000002000000}">
      <formula1>$Z$1535:$Z$1536</formula1>
    </dataValidation>
    <dataValidation type="list" errorStyle="warning" showErrorMessage="1" errorTitle="BREEAM 2011" error="Please review, your data entry is invalid." sqref="J1435" xr:uid="{00000000-0002-0000-0200-000003000000}">
      <formula1>Pol03_floodoptions</formula1>
    </dataValidation>
    <dataValidation allowBlank="1" showInputMessage="1" showErrorMessage="1" promptTitle="Assessor comments/notes" prompt="Such information is not necessarily required for quality assurance purposes, but the provision of additional information may be of relevance to any third party interpreting the assessment result and/or evidence referenced for verification purposes." sqref="B1401:P1401 B40:Q40 B62:Q62 B111:Q111 B1265:Q1265 B134:Q134 B205:Q205 B236:Q236 B257:Q257 B284:Q284 B303:Q303 B157:Q157 B432:Q432 B383:Q383 B492:Q492 B472:P472 B564:Q564 B597:Q597 B627:Q627 B672:Q672 B691:Q691 B544:P544 B806:Q806 B746:Q746 B845:Q845 B867:Q867 B888:Q888 B909:Q909 B947:Q947 B966:Q966 B990:Q990 B768:P768 B1529:Q1529 B1132:Q1132 B1163:Q1163 B1072:Q1072 B1030:Q1030 B1288:Q1288 B1310:Q1310 B1331:Q1331 B1352:Q1352 B1374:Q1374 B647:P647 B1495:P1495 B1453:Q1453 B1472:Q1472 B1225:P1225 B1009:Q1009 B1206:Q1206 B1245:Q1245 B522:Q523 B178:Q178 B323:Q323 B342:Q342 B362:Q362 B452:P452 B718:Q718 B787:Q787 B1050:Q1050 B1186:Q1186 B1427:P1427" xr:uid="{00000000-0002-0000-0200-000004000000}"/>
    <dataValidation allowBlank="1" showErrorMessage="1" prompt="The BREEAM evidence options for shell and core/speculative buildigns are not available for this credit. Refer to the Scheme Document for further detail." sqref="P215:Q215 P119:Q120 P291:Q291 P191:Q191 P441:Q441 P143:Q146 P311:Q312 P49:Q49 P500:Q502 P70:Q78 P219:Q219 P221:Q221 P194:Q194 P26:Q29 L70:O71 L165:Q165 P166:Q166 P331:Q331 P350:Q351 P461:Q461" xr:uid="{00000000-0002-0000-0200-000005000000}"/>
    <dataValidation type="list" errorStyle="warning" showErrorMessage="1" errorTitle="BREEAM 2011" error="Please review, your data entry is invalid." sqref="J898 J1172:J1174 J1089 J311 J1107 J856" xr:uid="{00000000-0002-0000-0200-000006000000}">
      <formula1>$Z$1535:$Z$1537</formula1>
    </dataValidation>
    <dataValidation type="list" allowBlank="1" showInputMessage="1" showErrorMessage="1" sqref="J1295" xr:uid="{00000000-0002-0000-0200-000007000000}">
      <formula1>LE02_options</formula1>
    </dataValidation>
    <dataValidation type="list" allowBlank="1" showInputMessage="1" showErrorMessage="1" sqref="J1317:Q1317" xr:uid="{00000000-0002-0000-0200-000008000000}">
      <formula1>$Z$2154:$Z$2156</formula1>
    </dataValidation>
    <dataValidation type="list" allowBlank="1" showInputMessage="1" showErrorMessage="1" sqref="J1110" xr:uid="{00000000-0002-0000-0200-000009000000}">
      <formula1>$AD$1551:$AD$1552</formula1>
    </dataValidation>
    <dataValidation type="list" allowBlank="1" showInputMessage="1" showErrorMessage="1" error="Invalid data entry, please retry." sqref="J832" xr:uid="{00000000-0002-0000-0200-00000A000000}">
      <formula1>Wat01_Alt_Levels</formula1>
    </dataValidation>
    <dataValidation type="list" showInputMessage="1" showErrorMessage="1" error="Invalid data entry, please retry." prompt="Criteria only applicable to certain facilities/function areas within healthcare and prison type buildings. Refer to the Scheme Document for further detail." sqref="H818" xr:uid="{00000000-0002-0000-0200-00000B000000}">
      <formula1>$Z$1535:$Z$1536</formula1>
    </dataValidation>
    <dataValidation type="list" showInputMessage="1" showErrorMessage="1" error="Invalid data entry, please retry." prompt="Please refer to the calculation procedures in the Additional Information section of the Wat01 assessment issue (in the BREEAM UK New Construction 2014 Technical Manual) for further detail about the Wat01 calculation options." sqref="H816:N816" xr:uid="{00000000-0002-0000-0200-00000C000000}">
      <formula1>$Z$2060:$Z$2061</formula1>
    </dataValidation>
    <dataValidation type="list" errorStyle="warning" showInputMessage="1" showErrorMessage="1" errorTitle="BREEAM 2011" error="Please review, your data entry is invalid." prompt="Select yes if the building is compliant with the assessment criteria and input the appropriate number of credits achieved in the relevant cell opposite." sqref="J757" xr:uid="{00000000-0002-0000-0200-00000D000000}">
      <formula1>$Z$1535:$Z$1536</formula1>
    </dataValidation>
    <dataValidation type="list" allowBlank="1" showInputMessage="1" showErrorMessage="1" error="Invalid data entry, please retry." sqref="I657:J657 I212" xr:uid="{00000000-0002-0000-0200-00000E000000}">
      <formula1>AD_Tra01option</formula1>
    </dataValidation>
    <dataValidation type="list" allowBlank="1" showInputMessage="1" showErrorMessage="1" error="Invalid data entry, please retry." sqref="N611" xr:uid="{00000000-0002-0000-0200-00000F000000}">
      <formula1>$Z$2012:$Z$2013</formula1>
    </dataValidation>
    <dataValidation type="list" allowBlank="1" showInputMessage="1" showErrorMessage="1" sqref="J576:J586" xr:uid="{00000000-0002-0000-0200-000010000000}">
      <formula1>$Z$1535:$Z$1537</formula1>
    </dataValidation>
    <dataValidation type="list" allowBlank="1" showInputMessage="1" showErrorMessage="1" error="Invalid data entry, please retry." sqref="P420:Q420" xr:uid="{00000000-0002-0000-0200-000011000000}">
      <formula1>$Z$1535:$Z$1536</formula1>
    </dataValidation>
    <dataValidation type="list" showInputMessage="1" showErrorMessage="1" sqref="B508:H508" xr:uid="{00000000-0002-0000-0200-000012000000}">
      <formula1>Ene04_options04</formula1>
    </dataValidation>
    <dataValidation type="list" operator="lessThanOrEqual" allowBlank="1" showInputMessage="1" showErrorMessage="1" error="Invalid data entry, please retry." sqref="N680" xr:uid="{00000000-0002-0000-0200-000013000000}">
      <formula1>Tra02_sub_credits</formula1>
    </dataValidation>
    <dataValidation type="list" allowBlank="1" showInputMessage="1" showErrorMessage="1" sqref="J726 J701 J699 J703 J728 J730" xr:uid="{00000000-0002-0000-0200-000014000000}">
      <formula1>Tra03_option</formula1>
    </dataValidation>
    <dataValidation type="list" showInputMessage="1" showErrorMessage="1" errorTitle="BREEAM 2011" error="Please review, your data entry is invalid." prompt="If the building is a shell and core/speculative development and you wish to make use of the BREEAM evidence options for such project types, then select the appropriate option from the drop down list (see Scheme Document for definition of each option)." sqref="P757:Q757" xr:uid="{00000000-0002-0000-0200-000015000000}">
      <formula1>AIS_shell_option03</formula1>
    </dataValidation>
    <dataValidation type="list" errorStyle="warning" showInputMessage="1" showErrorMessage="1" errorTitle="BREEAM 2011" error="Please review, your data entry is invalid." prompt="Select yes if the building is compliant with the assessment criteria and select the appropriate number of credits achieved from the drop down list in the relevant cell opposite." sqref="J680" xr:uid="{00000000-0002-0000-0200-000016000000}">
      <formula1>$Z$1535:$Z$1536</formula1>
    </dataValidation>
    <dataValidation type="whole" operator="lessThanOrEqual" allowBlank="1" showInputMessage="1" showErrorMessage="1" error="Invalid data entry, please retry." sqref="N757" xr:uid="{00000000-0002-0000-0200-000017000000}">
      <formula1>Tra04_03</formula1>
    </dataValidation>
    <dataValidation type="whole" operator="lessThanOrEqual" allowBlank="1" showInputMessage="1" showErrorMessage="1" error="Invalid data entry, please retry." sqref="J921" xr:uid="{00000000-0002-0000-0200-000018000000}">
      <formula1>5</formula1>
    </dataValidation>
    <dataValidation allowBlank="1" showInputMessage="1" showErrorMessage="1" prompt="This is the area of the element that the reported impact data relates to. This figure may be less than the total element area if impact data is not available or not reported for one or more of the specifications that make-up the element." sqref="N927:N932" xr:uid="{00000000-0002-0000-0200-000019000000}"/>
    <dataValidation allowBlank="1" showInputMessage="1" showErrorMessage="1" prompt="This is the total kgCO2eq for the element (sourced from the Mat01 calculator). It is determined by the Mat01 calculated using data reported via the Green Guide (or other compliant Environmental Product Declaration)." sqref="L927:L932" xr:uid="{00000000-0002-0000-0200-00001A000000}"/>
    <dataValidation type="list" allowBlank="1" showInputMessage="1" showErrorMessage="1" sqref="J833" xr:uid="{00000000-0002-0000-0200-00001B000000}">
      <formula1>$AB$1535:$AB$1635</formula1>
    </dataValidation>
    <dataValidation type="decimal" operator="lessThan" allowBlank="1" showInputMessage="1" showErrorMessage="1" error="You must insert a numerical value." prompt="Insert the Insulation Index value obtained from the Mat04 calculator." sqref="J998" xr:uid="{00000000-0002-0000-0200-00001C000000}">
      <formula1>1000000</formula1>
    </dataValidation>
    <dataValidation type="decimal" operator="lessThan" allowBlank="1" showInputMessage="1" showErrorMessage="1" error="You must enter a numerical value." prompt="The Accessibility Index required for this assessment issue is sourced from the separate BREEAM Tra 01 calculator." sqref="J660" xr:uid="{00000000-0002-0000-0200-00001D000000}">
      <formula1>10000000</formula1>
    </dataValidation>
    <dataValidation type="list" errorStyle="warning" allowBlank="1" showErrorMessage="1" errorTitle="BREEAM 2011" error="Please review, your data entry is invalid." sqref="J221" xr:uid="{00000000-0002-0000-0200-00001E000000}">
      <formula1>$AV$1534:$AV$1536</formula1>
    </dataValidation>
    <dataValidation type="list" showErrorMessage="1" error="Please review, your data entry is invalid." sqref="J26:J29 J48:J50" xr:uid="{00000000-0002-0000-0200-00001F000000}">
      <formula1>$Z$1535:$Z$1536</formula1>
    </dataValidation>
    <dataValidation type="list" showInputMessage="1" showErrorMessage="1" sqref="O48 O50:O51" xr:uid="{00000000-0002-0000-0200-000020000000}">
      <formula1>Man02_options</formula1>
    </dataValidation>
    <dataValidation type="list" allowBlank="1" showInputMessage="1" showErrorMessage="1" sqref="K49" xr:uid="{00000000-0002-0000-0200-000021000000}">
      <formula1>IF(Man02_01=AIS_option06,Man02_CCSschemelist,AIS_NA)</formula1>
    </dataValidation>
    <dataValidation type="list" errorStyle="warning" showInputMessage="1" showErrorMessage="1" errorTitle="BREEAM 2011" error="Please review, your data entry is invalid." sqref="J312" xr:uid="{00000000-0002-0000-0200-000022000000}">
      <formula1>$Z$1548:$Z$1549</formula1>
    </dataValidation>
    <dataValidation type="list" allowBlank="1" showInputMessage="1" showErrorMessage="1" sqref="B833:H833" xr:uid="{00000000-0002-0000-0200-000023000000}">
      <formula1>Wat01_Alt_Recycle_systems</formula1>
    </dataValidation>
    <dataValidation type="list" allowBlank="1" showInputMessage="1" showErrorMessage="1" prompt="A highly insulated building is defined as one where the heat load for the building is less than or equal to 7% of the heat load for a Building Regulations compliant building of the same size and type._x000a__x000a_See also instruction (opposite)." sqref="J1412" xr:uid="{00000000-0002-0000-0200-000024000000}">
      <formula1>Pol02_HIB_options</formula1>
    </dataValidation>
    <dataValidation type="list" errorStyle="warning" showErrorMessage="1" errorTitle="BREEAM 2011" error="Please review, your data entry is invalid." sqref="J74 J166" xr:uid="{00000000-0002-0000-0200-000025000000}">
      <formula1>MAN_03_Scoring</formula1>
    </dataValidation>
    <dataValidation type="list" errorStyle="warning" showErrorMessage="1" errorTitle="BREEAM 2011" error="Please review, your data entry is invalid." sqref="J1362:J1363" xr:uid="{00000000-0002-0000-0200-000026000000}">
      <formula1>$AC$2167:$AC$2174</formula1>
    </dataValidation>
    <dataValidation type="list" errorStyle="warning" showErrorMessage="1" errorTitle="BREEAM 2011" error="Please review, your data entry is invalid." sqref="J291" xr:uid="{00000000-0002-0000-0200-000027000000}">
      <formula1>Hea05_Scoring</formula1>
    </dataValidation>
    <dataValidation type="list" errorStyle="warning" showErrorMessage="1" errorTitle="BREEAM 2011" error="Please review, your data entry is invalid." sqref="J1145:J1150" xr:uid="{00000000-0002-0000-0200-000028000000}">
      <formula1>AIS_percentrange</formula1>
    </dataValidation>
    <dataValidation operator="greaterThan" showErrorMessage="1" error="Please review, your data entry is invalid." sqref="J51" xr:uid="{00000000-0002-0000-0200-000029000000}"/>
    <dataValidation allowBlank="1" showInputMessage="1" showErrorMessage="1" prompt="If not applicable, state &quot;INA&quot; (i.e. Indicator Not Assessed)." sqref="P418:Q418" xr:uid="{00000000-0002-0000-0200-00002A000000}"/>
    <dataValidation type="list" errorStyle="warning" showInputMessage="1" showErrorMessage="1" errorTitle="BREEAM 2011" error="Please review, your data entry is invalid." sqref="J1461" xr:uid="{00000000-0002-0000-0200-00002B000000}">
      <formula1>$Z$1535:$Z$1536</formula1>
    </dataValidation>
    <dataValidation type="list" allowBlank="1" showInputMessage="1" showErrorMessage="1" sqref="J979" xr:uid="{00000000-0002-0000-0200-00002C000000}">
      <formula1>Mat03_route_options</formula1>
    </dataValidation>
    <dataValidation type="decimal" allowBlank="1" showInputMessage="1" showErrorMessage="1" error="The Improvement Factor must be a decimal between 0 and 1." sqref="H403" xr:uid="{00000000-0002-0000-0200-00002D000000}">
      <formula1>0</formula1>
      <formula2>1</formula2>
    </dataValidation>
    <dataValidation allowBlank="1" showInputMessage="1" showErrorMessage="1" prompt="Glen Watts:_x000a_This is the notional demand divided by improvement factor, needed for Scottish assessments" sqref="AA1815 AA1821" xr:uid="{00000000-0002-0000-0200-00002E000000}"/>
    <dataValidation allowBlank="1" showInputMessage="1" showErrorMessage="1" prompt="Glen Watts:_x000a_This is the notional consumption divided by improvement factor, needed for Scottish assessments" sqref="AA1816 AA1822" xr:uid="{00000000-0002-0000-0200-00002F000000}"/>
    <dataValidation type="list" allowBlank="1" showInputMessage="1" showErrorMessage="1" sqref="J705:Q705 J733:Q733" xr:uid="{00000000-0002-0000-0200-000030000000}">
      <formula1>$AD$2037:$AD$2051</formula1>
    </dataValidation>
    <dataValidation type="whole" showErrorMessage="1" errorTitle="BREEAM SE 2017" error="You cannot award more credits than are available." sqref="J191" xr:uid="{00000000-0002-0000-0200-000031000000}">
      <formula1>0</formula1>
      <formula2>L191</formula2>
    </dataValidation>
    <dataValidation allowBlank="1" showInputMessage="1" showErrorMessage="1" promptTitle="Irene Scudu" prompt="determines which regs for Scotland" sqref="AH1822" xr:uid="{00000000-0002-0000-0200-000032000000}"/>
    <dataValidation type="list" allowBlank="1" showInputMessage="1" showErrorMessage="1" sqref="H817" xr:uid="{00000000-0002-0000-0200-000033000000}">
      <formula1>$Z$1535:$Z$1536</formula1>
    </dataValidation>
    <dataValidation type="list" errorStyle="warning" showErrorMessage="1" errorTitle="BREEAM 2011" error="Please review, your data entry is invalid." sqref="J1361" xr:uid="{00000000-0002-0000-0200-000034000000}">
      <formula1>$Z$1580:$Z$1581</formula1>
    </dataValidation>
    <dataValidation errorStyle="warning" showErrorMessage="1" errorTitle="BREEAM 2011" error="Please review, your data entry is invalid." sqref="J1408 J1091 JF1091 TB1091 ACX1091 AMT1091 AWP1091 BGL1091 BQH1091 CAD1091 CJZ1091 CTV1091 DDR1091 DNN1091 DXJ1091 EHF1091 ERB1091 FAX1091 FKT1091 FUP1091 GEL1091 GOH1091 GYD1091 HHZ1091 HRV1091 IBR1091 ILN1091 IVJ1091 JFF1091 JPB1091 JYX1091 KIT1091 KSP1091 LCL1091 LMH1091 LWD1091 MFZ1091 MPV1091 MZR1091 NJN1091 NTJ1091 ODF1091 ONB1091 OWX1091 PGT1091 PQP1091 QAL1091 QKH1091 QUD1091 RDZ1091 RNV1091 RXR1091 SHN1091 SRJ1091 TBF1091 TLB1091 TUX1091 UET1091 UOP1091 UYL1091 VIH1091 VSD1091 WBZ1091 WLV1091 WVR1091" xr:uid="{00000000-0002-0000-0200-000035000000}"/>
    <dataValidation type="list" errorStyle="warning" showErrorMessage="1" errorTitle="BREEAM 2011" error="Please review, your data entry is invalid." sqref="J189" xr:uid="{00000000-0002-0000-0200-000036000000}">
      <formula1>IF(ADBT0=ADBT8,AIS_NA,$Z$1535:$Z$1536)</formula1>
    </dataValidation>
    <dataValidation type="list" allowBlank="1" showInputMessage="1" showErrorMessage="1" sqref="J700:P700 J707:P707" xr:uid="{00000000-0002-0000-0200-000037000000}">
      <formula1>Tra03_options</formula1>
    </dataValidation>
    <dataValidation type="list" allowBlank="1" showInputMessage="1" showErrorMessage="1" sqref="J698:P698" xr:uid="{00000000-0002-0000-0200-000038000000}">
      <formula1>Tra03a_option</formula1>
    </dataValidation>
    <dataValidation type="list" allowBlank="1" showInputMessage="1" showErrorMessage="1" sqref="J725:P725" xr:uid="{00000000-0002-0000-0200-000039000000}">
      <formula1>$AB$2049</formula1>
    </dataValidation>
    <dataValidation type="list" allowBlank="1" showInputMessage="1" showErrorMessage="1" sqref="J727:P727 J735:P735" xr:uid="{00000000-0002-0000-0200-00003A000000}">
      <formula1>Tra03b_options</formula1>
    </dataValidation>
    <dataValidation type="list" errorStyle="warning" showErrorMessage="1" errorTitle="BREEAM 2011" error="Please review, your data entry is invalid." sqref="J854" xr:uid="{00000000-0002-0000-0200-00003B000000}">
      <formula1>IF(ADPT=ADPT02,$Z$1537,$Z$1535:$Z$1537)</formula1>
    </dataValidation>
    <dataValidation type="list" errorStyle="warning" showErrorMessage="1" errorTitle="BREEAM 2011" error="Please review, your data entry is invalid." sqref="J1018" xr:uid="{00000000-0002-0000-0200-00003C000000}">
      <formula1>IF(ADPT=ADPT01,$Z$1535:$Z$1536,$Z$1535:$Z$1537)</formula1>
    </dataValidation>
    <dataValidation type="list" allowBlank="1" showInputMessage="1" showErrorMessage="1" sqref="JH1103 TD1103 ACZ1103 AMV1103 AWR1103 BGN1103 BQJ1103 CAF1103 CKB1103 CTX1103 DDT1103 DNP1103 DXL1103 EHH1103 ERD1103 FAZ1103 FKV1103 FUR1103 GEN1103 GOJ1103 GYF1103 HIB1103 HRX1103 IBT1103 ILP1103 IVL1103 JFH1103 JPD1103 JYZ1103 KIV1103 KSR1103 LCN1103 LMJ1103 LWF1103 MGB1103 MPX1103 MZT1103 NJP1103 NTL1103 ODH1103 OND1103 OWZ1103 PGV1103 PQR1103 QAN1103 QKJ1103 QUF1103 REB1103 RNX1103 RXT1103 SHP1103 SRL1103 TBH1103 TLD1103 TUZ1103 UEV1103 UOR1103 UYN1103 VIJ1103 VSF1103 WCB1103 WLX1103 WVT1103" xr:uid="{00000000-0002-0000-0200-00003D000000}">
      <formula1>$AB$1398:$AB$1400</formula1>
    </dataValidation>
    <dataValidation type="list" allowBlank="1" showInputMessage="1" showErrorMessage="1" sqref="JH1092 TD1092 ACZ1092 AMV1092 AWR1092 BGN1092 BQJ1092 CAF1092 CKB1092 CTX1092 DDT1092 DNP1092 DXL1092 EHH1092 ERD1092 FAZ1092 FKV1092 FUR1092 GEN1092 GOJ1092 GYF1092 HIB1092 HRX1092 IBT1092 ILP1092 IVL1092 JFH1092 JPD1092 JYZ1092 KIV1092 KSR1092 LCN1092 LMJ1092 LWF1092 MGB1092 MPX1092 MZT1092 NJP1092 NTL1092 ODH1092 OND1092 OWZ1092 PGV1092 PQR1092 QAN1092 QKJ1092 QUF1092 REB1092 RNX1092 RXT1092 SHP1092 SRL1092 TBH1092 TLD1092 TUZ1092 UEV1092 UOR1092 UYN1092 VIJ1092 VSF1092 WCB1092 WLX1092 WVT1092" xr:uid="{00000000-0002-0000-0200-00003E000000}">
      <formula1>$AB$1384:$AB$1385</formula1>
    </dataValidation>
    <dataValidation type="list" errorStyle="warning" showErrorMessage="1" errorTitle="BREEAM 2011" error="Please review, your data entry is invalid." sqref="JF1099:JJ1099 TB1099:TF1099 ACX1099:ADB1099 AMT1099:AMX1099 AWP1099:AWT1099 BGL1099:BGP1099 BQH1099:BQL1099 CAD1099:CAH1099 CJZ1099:CKD1099 CTV1099:CTZ1099 DDR1099:DDV1099 DNN1099:DNR1099 DXJ1099:DXN1099 EHF1099:EHJ1099 ERB1099:ERF1099 FAX1099:FBB1099 FKT1099:FKX1099 FUP1099:FUT1099 GEL1099:GEP1099 GOH1099:GOL1099 GYD1099:GYH1099 HHZ1099:HID1099 HRV1099:HRZ1099 IBR1099:IBV1099 ILN1099:ILR1099 IVJ1099:IVN1099 JFF1099:JFJ1099 JPB1099:JPF1099 JYX1099:JZB1099 KIT1099:KIX1099 KSP1099:KST1099 LCL1099:LCP1099 LMH1099:LML1099 LWD1099:LWH1099 MFZ1099:MGD1099 MPV1099:MPZ1099 MZR1099:MZV1099 NJN1099:NJR1099 NTJ1099:NTN1099 ODF1099:ODJ1099 ONB1099:ONF1099 OWX1099:OXB1099 PGT1099:PGX1099 PQP1099:PQT1099 QAL1099:QAP1099 QKH1099:QKL1099 QUD1099:QUH1099 RDZ1099:RED1099 RNV1099:RNZ1099 RXR1099:RXV1099 SHN1099:SHR1099 SRJ1099:SRN1099 TBF1099:TBJ1099 TLB1099:TLF1099 TUX1099:TVB1099 UET1099:UEX1099 UOP1099:UOT1099 UYL1099:UYP1099 VIH1099:VIL1099 VSD1099:VSH1099 WBZ1099:WCD1099 WLV1099:WLZ1099 WVR1099:WVV1099" xr:uid="{00000000-0002-0000-0200-00003F000000}">
      <formula1>$AB$1789:$AB$1791</formula1>
    </dataValidation>
    <dataValidation type="list" errorStyle="warning" showErrorMessage="1" errorTitle="BREEAM 2011" error="Please review, your data entry is invalid." sqref="WVR1089 JF1089 TB1089 ACX1089 AMT1089 AWP1089 BGL1089 BQH1089 CAD1089 CJZ1089 CTV1089 DDR1089 DNN1089 DXJ1089 EHF1089 ERB1089 FAX1089 FKT1089 FUP1089 GEL1089 GOH1089 GYD1089 HHZ1089 HRV1089 IBR1089 ILN1089 IVJ1089 JFF1089 JPB1089 JYX1089 KIT1089 KSP1089 LCL1089 LMH1089 LWD1089 MFZ1089 MPV1089 MZR1089 NJN1089 NTJ1089 ODF1089 ONB1089 OWX1089 PGT1089 PQP1089 QAL1089 QKH1089 QUD1089 RDZ1089 RNV1089 RXR1089 SHN1089 SRJ1089 TBF1089 TLB1089 TUX1089 UET1089 UOP1089 UYL1089 VIH1089 VSD1089 WBZ1089 WLV1089" xr:uid="{00000000-0002-0000-0200-000040000000}">
      <formula1>$X$1371:$X$1373</formula1>
    </dataValidation>
    <dataValidation type="list" errorStyle="warning" showErrorMessage="1" errorTitle="BREEAM 2011" error="Please review, your data entry is invalid." sqref="WLV1085:WLV1088 AMT1090 AWP1090 BGL1090 BQH1090 CAD1090 CJZ1090 CTV1090 DDR1090 DNN1090 DXJ1090 EHF1090 ERB1090 FAX1090 FKT1090 FUP1090 GEL1090 GOH1090 GYD1090 HHZ1090 HRV1090 IBR1090 ILN1090 IVJ1090 JFF1090 JPB1090 JYX1090 KIT1090 KSP1090 LCL1090 LMH1090 LWD1090 MFZ1090 MPV1090 MZR1090 NJN1090 NTJ1090 ODF1090 ONB1090 OWX1090 PGT1090 PQP1090 QAL1090 QKH1090 QUD1090 RDZ1090 RNV1090 RXR1090 SHN1090 SRJ1090 TBF1090 TLB1090 TUX1090 UET1090 UOP1090 UYL1090 VIH1090 VSD1090 WBZ1090 WLV1090 WVR1090 WBZ1085:WBZ1088 TB1090 ACX1090 WVR1085:WVR1088 JF1085:JF1088 TB1085:TB1088 ACX1085:ACX1088 AMT1085:AMT1088 AWP1085:AWP1088 BGL1085:BGL1088 BQH1085:BQH1088 CAD1085:CAD1088 CJZ1085:CJZ1088 CTV1085:CTV1088 DDR1085:DDR1088 DNN1085:DNN1088 DXJ1085:DXJ1088 EHF1085:EHF1088 ERB1085:ERB1088 FAX1085:FAX1088 FKT1085:FKT1088 FUP1085:FUP1088 GEL1085:GEL1088 GOH1085:GOH1088 GYD1085:GYD1088 HHZ1085:HHZ1088 HRV1085:HRV1088 IBR1085:IBR1088 ILN1085:ILN1088 IVJ1085:IVJ1088 JFF1085:JFF1088 JPB1085:JPB1088 JYX1085:JYX1088 KIT1085:KIT1088 KSP1085:KSP1088 LCL1085:LCL1088 LMH1085:LMH1088 LWD1085:LWD1088 MFZ1085:MFZ1088 MPV1085:MPV1088 MZR1085:MZR1088 NJN1085:NJN1088 NTJ1085:NTJ1088 ODF1085:ODF1088 ONB1085:ONB1088 OWX1085:OWX1088 PGT1085:PGT1088 PQP1085:PQP1088 QAL1085:QAL1088 QKH1085:QKH1088 QUD1085:QUD1088 RDZ1085:RDZ1088 RNV1085:RNV1088 RXR1085:RXR1088 SHN1085:SHN1088 SRJ1085:SRJ1088 TBF1085:TBF1088 TLB1085:TLB1088 TUX1085:TUX1088 UET1085:UET1088 UOP1085:UOP1088 UYL1085:UYL1088 VIH1085:VIH1088 VSD1085:VSD1088 JF1090 WVR1095:WVR1098 WVR1100 WLV1095:WLV1098 WLV1100 WBZ1095:WBZ1098 WBZ1100 VSD1095:VSD1098 VSD1100 VIH1095:VIH1098 VIH1100 UYL1095:UYL1098 UYL1100 UOP1095:UOP1098 UOP1100 UET1095:UET1098 UET1100 TUX1095:TUX1098 TUX1100 TLB1095:TLB1098 TLB1100 TBF1095:TBF1098 TBF1100 SRJ1095:SRJ1098 SRJ1100 SHN1095:SHN1098 SHN1100 RXR1095:RXR1098 RXR1100 RNV1095:RNV1098 RNV1100 RDZ1095:RDZ1098 RDZ1100 QUD1095:QUD1098 QUD1100 QKH1095:QKH1098 QKH1100 QAL1095:QAL1098 QAL1100 PQP1095:PQP1098 PQP1100 PGT1095:PGT1098 PGT1100 OWX1095:OWX1098 OWX1100 ONB1095:ONB1098 ONB1100 ODF1095:ODF1098 ODF1100 NTJ1095:NTJ1098 NTJ1100 NJN1095:NJN1098 NJN1100 MZR1095:MZR1098 MZR1100 MPV1095:MPV1098 MPV1100 MFZ1095:MFZ1098 MFZ1100 LWD1095:LWD1098 LWD1100 LMH1095:LMH1098 LMH1100 LCL1095:LCL1098 LCL1100 KSP1095:KSP1098 KSP1100 KIT1095:KIT1098 KIT1100 JYX1095:JYX1098 JYX1100 JPB1095:JPB1098 JPB1100 JFF1095:JFF1098 JFF1100 IVJ1095:IVJ1098 IVJ1100 ILN1095:ILN1098 ILN1100 IBR1095:IBR1098 IBR1100 HRV1095:HRV1098 HRV1100 HHZ1095:HHZ1098 HHZ1100 GYD1095:GYD1098 GYD1100 GOH1095:GOH1098 GOH1100 GEL1095:GEL1098 GEL1100 FUP1095:FUP1098 FUP1100 FKT1095:FKT1098 FKT1100 FAX1095:FAX1098 FAX1100 ERB1095:ERB1098 ERB1100 EHF1095:EHF1098 EHF1100 DXJ1095:DXJ1098 DXJ1100 DNN1095:DNN1098 DNN1100 DDR1095:DDR1098 DDR1100 CTV1095:CTV1098 CTV1100 CJZ1095:CJZ1098 CJZ1100 CAD1095:CAD1098 CAD1100 BQH1095:BQH1098 BQH1100 BGL1095:BGL1098 BGL1100 AWP1095:AWP1098 AWP1100 AMT1095:AMT1098 AMT1100 ACX1095:ACX1098 ACX1100 TB1095:TB1098 TB1100 JF1095:JF1098 JF1100" xr:uid="{00000000-0002-0000-0200-000041000000}">
      <formula1>$X$1371:$X$1372</formula1>
    </dataValidation>
    <dataValidation type="list" allowBlank="1" showInputMessage="1" showErrorMessage="1" sqref="L1103" xr:uid="{00000000-0002-0000-0200-000042000000}">
      <formula1>Wst01_Units</formula1>
    </dataValidation>
    <dataValidation type="list" allowBlank="1" showInputMessage="1" showErrorMessage="1" sqref="B1214:H1214" xr:uid="{00000000-0002-0000-0200-000043000000}">
      <formula1>IF(ADBT0=ADBT1,Wst04_options,Wst04_MR_options)</formula1>
    </dataValidation>
    <dataValidation type="decimal" showErrorMessage="1" errorTitle="BREEAM 2011" error="Please review, your data entry is invalid." sqref="J1276" xr:uid="{00000000-0002-0000-0200-000044000000}">
      <formula1>0</formula1>
      <formula2>1</formula2>
    </dataValidation>
    <dataValidation type="decimal" errorStyle="warning" showErrorMessage="1" errorTitle="BREEAM 2011" error="Please review, your data entry is invalid." sqref="J1340:J1341" xr:uid="{00000000-0002-0000-0200-000045000000}">
      <formula1>0</formula1>
      <formula2>1</formula2>
    </dataValidation>
    <dataValidation type="list" allowBlank="1" showInputMessage="1" showErrorMessage="1" sqref="B1441:H1441" xr:uid="{00000000-0002-0000-0200-000046000000}">
      <formula1>$AC$2212:$AC$2215</formula1>
    </dataValidation>
    <dataValidation type="list" allowBlank="1" showInputMessage="1" showErrorMessage="1" sqref="B1442:H1442" xr:uid="{00000000-0002-0000-0200-000047000000}">
      <formula1>$AC$2217:$AC$2220</formula1>
    </dataValidation>
    <dataValidation type="list" allowBlank="1" showInputMessage="1" showErrorMessage="1" sqref="L1092" xr:uid="{00000000-0002-0000-0200-000048000000}">
      <formula1>$AD$1566:$AD$1567</formula1>
    </dataValidation>
    <dataValidation type="whole" errorStyle="warning" allowBlank="1" showInputMessage="1" showErrorMessage="1" error="You cannot award more credits for a building than are available." sqref="N191" xr:uid="{00000000-0002-0000-0200-000049000000}">
      <formula1>AV1534</formula1>
      <formula2>L191</formula2>
    </dataValidation>
    <dataValidation type="list" allowBlank="1" showInputMessage="1" showErrorMessage="1" error="Invalid data entry, please retry." sqref="J212:P212" xr:uid="{FC041F73-61FE-4DB7-8AE3-2CE26E3EADBF}">
      <formula1>$Z$1584:$Z$1585</formula1>
    </dataValidation>
  </dataValidations>
  <pageMargins left="1.0236220472440944" right="0.19685039370078741" top="0.74803149606299213" bottom="0.39370078740157483" header="0.31496062992125984" footer="0.23622047244094491"/>
  <pageSetup paperSize="8" fitToHeight="0" orientation="landscape" errors="blank" verticalDpi="598" r:id="rId1"/>
  <headerFooter>
    <oddHeader>&amp;R&amp;G</oddHeader>
    <oddFooter>&amp;LBuilding Performance by Assessment Issue&amp;C&amp;D&amp;RSection 3 - Page &amp;P</oddFooter>
  </headerFooter>
  <rowBreaks count="26" manualBreakCount="26">
    <brk id="62" min="1" max="15" man="1"/>
    <brk id="111" min="1" max="15" man="1"/>
    <brk id="178" min="1" max="15" man="1"/>
    <brk id="236" min="1" max="15" man="1"/>
    <brk id="284" min="1" max="15" man="1"/>
    <brk id="383" min="1" max="15" man="1"/>
    <brk id="432" min="1" max="15" man="1"/>
    <brk id="492" min="1" max="15" man="1"/>
    <brk id="544" min="1" max="15" man="1"/>
    <brk id="598" min="1" max="15" man="1"/>
    <brk id="647" min="1" max="15" man="1"/>
    <brk id="691" min="1" max="15" man="1"/>
    <brk id="768" min="1" max="15" man="1"/>
    <brk id="845" min="1" max="15" man="1"/>
    <brk id="889" min="1" max="15" man="1"/>
    <brk id="947" min="1" max="15" man="1"/>
    <brk id="990" min="1" max="15" man="1"/>
    <brk id="1072" min="1" max="15" man="1"/>
    <brk id="1132" min="1" max="15" man="1"/>
    <brk id="1206" min="1" max="15" man="1"/>
    <brk id="1288" min="1" max="15" man="1"/>
    <brk id="1331" min="1" max="15" man="1"/>
    <brk id="1374" min="1" max="15" man="1"/>
    <brk id="1427" min="1" max="15" man="1"/>
    <brk id="1472" min="1" max="15" man="1"/>
    <brk id="1533" min="1" max="15" man="1"/>
  </rowBreaks>
  <cellWatches>
    <cellWatch r="J660"/>
  </cellWatches>
  <ignoredErrors>
    <ignoredError sqref="B819 B830 L821:L825 AG1534:AG1536 AT1535:AT1537 AT1539:AT1551 H395 L410" unlockedFormula="1"/>
  </ignoredError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N65"/>
  <sheetViews>
    <sheetView workbookViewId="0"/>
  </sheetViews>
  <sheetFormatPr defaultColWidth="15.7109375" defaultRowHeight="15" x14ac:dyDescent="0.25"/>
  <cols>
    <col min="1" max="1" width="17.7109375" style="52" customWidth="1"/>
    <col min="2" max="2" width="26" style="52" customWidth="1"/>
    <col min="3" max="3" width="22" style="52" customWidth="1"/>
    <col min="4" max="4" width="20.28515625" style="52" customWidth="1"/>
    <col min="5" max="5" width="17.85546875" style="52" customWidth="1"/>
    <col min="6" max="6" width="20.28515625" style="52" customWidth="1"/>
    <col min="7" max="12" width="14.42578125" style="52" customWidth="1"/>
    <col min="13" max="13" width="16.42578125" style="52" customWidth="1"/>
    <col min="14" max="14" width="19" style="52" customWidth="1"/>
    <col min="15" max="15" width="15.42578125" style="52" customWidth="1"/>
    <col min="16" max="16" width="13.28515625" style="52" customWidth="1"/>
    <col min="17" max="19" width="16.7109375" style="52" customWidth="1"/>
    <col min="20" max="20" width="18.140625" style="52" customWidth="1"/>
    <col min="21" max="21" width="17.5703125" style="52" customWidth="1"/>
    <col min="22" max="22" width="18.140625" style="52" customWidth="1"/>
    <col min="23" max="23" width="15.5703125" style="52" customWidth="1"/>
    <col min="24" max="27" width="21.140625" style="52" customWidth="1"/>
    <col min="28" max="28" width="22.42578125" style="52" customWidth="1"/>
    <col min="29" max="29" width="21.140625" style="52" customWidth="1"/>
    <col min="30" max="30" width="25.42578125" style="52" customWidth="1"/>
    <col min="31" max="32" width="20" style="52" customWidth="1"/>
    <col min="33" max="33" width="24.140625" style="52" customWidth="1"/>
    <col min="34" max="56" width="20" style="52" customWidth="1"/>
    <col min="57" max="64" width="14.5703125" style="52" customWidth="1"/>
    <col min="65" max="82" width="18.28515625" style="52" customWidth="1"/>
    <col min="83" max="83" width="22.42578125" style="52" customWidth="1"/>
    <col min="84" max="107" width="18.28515625" style="52" customWidth="1"/>
    <col min="108" max="108" width="20.5703125" style="52" customWidth="1"/>
    <col min="109" max="111" width="18.28515625" style="52" customWidth="1"/>
    <col min="112" max="113" width="16.7109375" style="52" customWidth="1"/>
    <col min="114" max="114" width="17.85546875" style="52" customWidth="1"/>
    <col min="115" max="123" width="14.28515625" style="52" customWidth="1"/>
    <col min="124" max="148" width="21.85546875" style="52" customWidth="1"/>
    <col min="149" max="149" width="23.42578125" style="52" customWidth="1"/>
    <col min="150" max="150" width="19.85546875" style="52" customWidth="1"/>
    <col min="151" max="151" width="22.28515625" style="52" customWidth="1"/>
    <col min="152" max="157" width="21.85546875" style="52" customWidth="1"/>
    <col min="158" max="186" width="16" style="52" customWidth="1"/>
    <col min="187" max="187" width="16.85546875" style="52" customWidth="1"/>
    <col min="188" max="188" width="27.85546875" style="52" customWidth="1"/>
    <col min="189" max="189" width="16" style="52" customWidth="1"/>
    <col min="190" max="193" width="15.28515625" style="52" customWidth="1"/>
    <col min="194" max="224" width="16" style="52" customWidth="1"/>
    <col min="225" max="16384" width="15.7109375" style="52"/>
  </cols>
  <sheetData>
    <row r="1" spans="1:222" s="110" customFormat="1" ht="18" customHeight="1" x14ac:dyDescent="0.25">
      <c r="A1" s="110" t="s">
        <v>1264</v>
      </c>
      <c r="DI1" s="51"/>
    </row>
    <row r="2" spans="1:222" s="51" customFormat="1" ht="44.25" customHeight="1" x14ac:dyDescent="0.25">
      <c r="BL2" s="114" t="str">
        <f>'Assessment Rating &amp; KPIs'!B37</f>
        <v>Energy (consumption/production)</v>
      </c>
      <c r="BM2" s="115"/>
      <c r="BN2" s="115"/>
      <c r="BO2" s="115"/>
      <c r="BP2" s="115"/>
      <c r="BQ2" s="115"/>
      <c r="BR2" s="115"/>
      <c r="BS2" s="115"/>
      <c r="BT2" s="115"/>
      <c r="BU2" s="116"/>
      <c r="BV2" s="114" t="str">
        <f>'Assessment Rating &amp; KPIs'!B47</f>
        <v>Greenhouse Gas Emissions</v>
      </c>
      <c r="BW2" s="115"/>
      <c r="BX2" s="115"/>
      <c r="BY2" s="115"/>
      <c r="BZ2" s="115"/>
      <c r="CA2" s="115"/>
      <c r="CB2" s="115"/>
      <c r="CC2" s="115"/>
      <c r="CD2" s="115"/>
      <c r="CE2" s="115"/>
      <c r="CF2" s="116"/>
      <c r="CG2" s="154" t="str">
        <f>'Assessment Rating &amp; KPIs'!B60</f>
        <v>Emissions to outdoor air, soil and water</v>
      </c>
      <c r="CH2" s="155"/>
      <c r="CI2" s="114" t="str">
        <f>'Assessment Rating &amp; KPIs'!B63</f>
        <v xml:space="preserve">Use of freshwater resource </v>
      </c>
      <c r="CJ2" s="115"/>
      <c r="CK2" s="156"/>
      <c r="CL2" s="157"/>
      <c r="CM2" s="155" t="str">
        <f>'Assessment Rating &amp; KPIs'!B68</f>
        <v>Construction waste and recovery</v>
      </c>
      <c r="CN2" s="156"/>
      <c r="CO2" s="156"/>
      <c r="CP2" s="156"/>
      <c r="CQ2" s="156"/>
      <c r="CR2" s="156"/>
      <c r="CS2" s="156"/>
      <c r="CT2" s="156"/>
      <c r="CU2" s="156"/>
      <c r="CV2" s="156"/>
      <c r="CW2" s="156"/>
      <c r="CX2" s="156"/>
      <c r="CY2" s="156"/>
      <c r="CZ2" s="115"/>
      <c r="DA2" s="156"/>
      <c r="DB2" s="156"/>
      <c r="DC2" s="158" t="str">
        <f>'Assessment Rating &amp; KPIs'!B85</f>
        <v>Sourcing of materials</v>
      </c>
      <c r="DD2" s="158" t="e">
        <f>'Assessment Rating &amp; KPIs'!#REF!</f>
        <v>#REF!</v>
      </c>
      <c r="DE2" s="114" t="str">
        <f>'Assessment Rating &amp; KPIs'!B93</f>
        <v>Indoor Air Quality</v>
      </c>
      <c r="DF2" s="116"/>
    </row>
    <row r="3" spans="1:222" s="51" customFormat="1" ht="39.950000000000003" customHeight="1" x14ac:dyDescent="0.25">
      <c r="A3" s="114" t="str">
        <f>'Assessment Details'!B5</f>
        <v>General information</v>
      </c>
      <c r="B3" s="115"/>
      <c r="C3" s="115"/>
      <c r="D3" s="115"/>
      <c r="E3" s="116"/>
      <c r="F3" s="114" t="str">
        <f>'Assessment Details'!B18</f>
        <v>Building details</v>
      </c>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6"/>
      <c r="AP3" s="114" t="str">
        <f>'Assessment Details'!B96</f>
        <v>Project team details</v>
      </c>
      <c r="AQ3" s="115"/>
      <c r="AR3" s="115"/>
      <c r="AS3" s="115"/>
      <c r="AT3" s="115"/>
      <c r="AU3" s="115"/>
      <c r="AV3" s="115"/>
      <c r="AW3" s="115"/>
      <c r="AX3" s="115"/>
      <c r="AY3" s="115"/>
      <c r="AZ3" s="114" t="str">
        <f>'Assessment Rating &amp; KPIs'!B4</f>
        <v>Overall Building Performance</v>
      </c>
      <c r="BA3" s="116"/>
      <c r="BB3" s="114" t="str">
        <f>'Assessment Rating &amp; KPIs'!B13</f>
        <v>Building Performance by Environment Section</v>
      </c>
      <c r="BC3" s="115"/>
      <c r="BD3" s="115"/>
      <c r="BE3" s="115"/>
      <c r="BF3" s="115"/>
      <c r="BG3" s="115"/>
      <c r="BH3" s="115"/>
      <c r="BI3" s="115"/>
      <c r="BJ3" s="115"/>
      <c r="BK3" s="116"/>
      <c r="BL3" s="117" t="str">
        <f>'Assessment Rating &amp; KPIs'!F39</f>
        <v>Building operation[1]</v>
      </c>
      <c r="BM3" s="118"/>
      <c r="BN3" s="118"/>
      <c r="BO3" s="118"/>
      <c r="BP3" s="117" t="str">
        <f>'Assessment Rating &amp; KPIs'!F41</f>
        <v>Energy production[2]</v>
      </c>
      <c r="BQ3" s="118"/>
      <c r="BR3" s="117" t="str">
        <f>'Assessment Rating &amp; KPIs'!F45</f>
        <v>Transport[2]</v>
      </c>
      <c r="BS3" s="118"/>
      <c r="BT3" s="117" t="str">
        <f>'Assessment Rating &amp; KPIs'!F43</f>
        <v>Construction process[1]</v>
      </c>
      <c r="BU3" s="118"/>
      <c r="BV3" s="119" t="str">
        <f>'Assessment Rating &amp; KPIs'!F49</f>
        <v>Building operation[1]</v>
      </c>
      <c r="BW3" s="120"/>
      <c r="BX3" s="119" t="str">
        <f>'Assessment Rating &amp; KPIs'!F55</f>
        <v>Construction process[1]</v>
      </c>
      <c r="BY3" s="120"/>
      <c r="BZ3" s="119" t="str">
        <f>'Assessment Rating &amp; KPIs'!F57</f>
        <v>Transport[2]</v>
      </c>
      <c r="CA3" s="120"/>
      <c r="CB3" s="119" t="str">
        <f>'Assessment Rating &amp; KPIs'!F51</f>
        <v>Embodied[5]</v>
      </c>
      <c r="CC3" s="121"/>
      <c r="CD3" s="120"/>
      <c r="CE3" s="122" t="str">
        <f>'Assessment Rating &amp; KPIs'!F59</f>
        <v>Direct GHG emissions - Refrigerants[3]</v>
      </c>
      <c r="CF3" s="120"/>
      <c r="CG3" s="122" t="str">
        <f>'Assessment Rating &amp; KPIs'!F62</f>
        <v>Nitrogen Oxides (NOx)[4]</v>
      </c>
      <c r="CH3" s="121"/>
      <c r="CI3" s="117" t="str">
        <f>'Assessment Rating &amp; KPIs'!F65</f>
        <v>Building operation[5]</v>
      </c>
      <c r="CJ3" s="118"/>
      <c r="CK3" s="119" t="str">
        <f>'Assessment Rating &amp; KPIs'!F67</f>
        <v>Construction process[6]</v>
      </c>
      <c r="CL3" s="121"/>
      <c r="CM3" s="119" t="str">
        <f>'Assessment Rating &amp; KPIs'!F70</f>
        <v>Construction waste generated [7]</v>
      </c>
      <c r="CN3" s="120"/>
      <c r="CO3" s="119" t="str">
        <f>'Assessment Rating &amp; KPIs'!F72</f>
        <v>C &amp; D waste diverted from landfill [7]</v>
      </c>
      <c r="CP3" s="120"/>
      <c r="CQ3" s="119" t="str">
        <f>'Assessment Rating &amp; KPIs'!F74</f>
        <v>Demolition waste diverted from landfill[11]</v>
      </c>
      <c r="CR3" s="120"/>
      <c r="CS3" s="119" t="str">
        <f>'Assessment Rating &amp; KPIs'!F76</f>
        <v>Demolition waste to disposal[11]</v>
      </c>
      <c r="CT3" s="120"/>
      <c r="CU3" s="119" t="str">
        <f>'Assessment Rating &amp; KPIs'!F78</f>
        <v>Material for re-use[12]</v>
      </c>
      <c r="CV3" s="120"/>
      <c r="CW3" s="119" t="str">
        <f>'Assessment Rating &amp; KPIs'!F80</f>
        <v>Material for recycling[12]</v>
      </c>
      <c r="CX3" s="120"/>
      <c r="CY3" s="119" t="str">
        <f>'Assessment Rating &amp; KPIs'!F82</f>
        <v>Material for energy recovery[12]</v>
      </c>
      <c r="CZ3" s="123"/>
      <c r="DA3" s="119" t="str">
        <f>'Assessment Rating &amp; KPIs'!F84</f>
        <v>Hazardous waste to disposal[12]</v>
      </c>
      <c r="DB3" s="120"/>
      <c r="DC3" s="120" t="str">
        <f>'Assessment Rating &amp; KPIs'!F87</f>
        <v>Materials responsibly sourced[8]</v>
      </c>
      <c r="DD3" s="124" t="e">
        <f>'Assessment Rating &amp; KPIs'!#REF!</f>
        <v>#REF!</v>
      </c>
      <c r="DE3" s="125" t="str">
        <f>'Assessment Rating &amp; KPIs'!F95</f>
        <v>Formaldehyde concentration level[9]</v>
      </c>
      <c r="DF3" s="125" t="str">
        <f>'Assessment Rating &amp; KPIs'!F97</f>
        <v>Total volatile organic compound concentration[9]</v>
      </c>
    </row>
    <row r="4" spans="1:222" s="51" customFormat="1" ht="80.099999999999994" customHeight="1" x14ac:dyDescent="0.25">
      <c r="A4" s="136" t="str">
        <f>'Assessment Details'!H7</f>
        <v>SGBC reference no.</v>
      </c>
      <c r="B4" s="136" t="str">
        <f>'Assessment Details'!H9</f>
        <v>Client name</v>
      </c>
      <c r="C4" s="136" t="str">
        <f>'Assessment Details'!H11</f>
        <v>Building end user/occupier</v>
      </c>
      <c r="D4" s="136" t="str">
        <f>'Assessment Details'!H13</f>
        <v>Assessor name</v>
      </c>
      <c r="E4" s="136" t="str">
        <f>'Assessment Details'!H17</f>
        <v>Assessor organisation</v>
      </c>
      <c r="F4" s="137" t="str">
        <f>'Assessment Details'!H20</f>
        <v>Building name</v>
      </c>
      <c r="G4" s="137" t="str">
        <f>'Assessment Details'!H22</f>
        <v>Building address</v>
      </c>
      <c r="H4" s="138"/>
      <c r="I4" s="138"/>
      <c r="J4" s="139"/>
      <c r="K4" s="139" t="str">
        <f>'Assessment Details'!H30</f>
        <v>Region</v>
      </c>
      <c r="L4" s="136" t="str">
        <f>'Assessment Details'!H32</f>
        <v>Post code</v>
      </c>
      <c r="M4" s="136" t="str">
        <f>'Assessment Details'!H36</f>
        <v>Building type (main description)</v>
      </c>
      <c r="N4" s="136" t="str">
        <f>'Assessment Details'!H38</f>
        <v>Building type (sub-group)</v>
      </c>
      <c r="O4" s="136" t="str">
        <f>'Assessment Details'!H40</f>
        <v>Building  floor area (BTA) m2</v>
      </c>
      <c r="P4" s="136" t="str">
        <f>'Assessment Details'!H42</f>
        <v>Building  floor area (LOA/BOA) m2</v>
      </c>
      <c r="Q4" s="136" t="str">
        <f>'Assessment Details'!H44</f>
        <v>BREEAM scheme</v>
      </c>
      <c r="R4" s="136"/>
      <c r="S4" s="136"/>
      <c r="T4" s="136" t="str">
        <f>'Assessment Details'!H46</f>
        <v>BREEAM version</v>
      </c>
      <c r="U4" s="136" t="str">
        <f>'Assessment Details'!H48</f>
        <v>BREEAM-SE 2017 technical manual issue number</v>
      </c>
      <c r="V4" s="136" t="str">
        <f>'Assessment Details'!H50</f>
        <v>Project type</v>
      </c>
      <c r="W4" s="136" t="str">
        <f>'Assessment Details'!H52</f>
        <v>Assessment stage</v>
      </c>
      <c r="X4" s="136" t="str">
        <f>'Assessment Details'!H54</f>
        <v>Location type</v>
      </c>
      <c r="Y4" s="136" t="str">
        <f>'Assessment Details'!H56</f>
        <v>Climatic zone</v>
      </c>
      <c r="Z4" s="136" t="str">
        <f>'Assessment Details'!H58</f>
        <v>Building services - heating system type</v>
      </c>
      <c r="AA4" s="136" t="str">
        <f>'Assessment Details'!H60</f>
        <v>Building services - cooling system type</v>
      </c>
      <c r="AB4" s="136" t="str">
        <f>'Assessment Details'!H62</f>
        <v>Building services - domestic hot water system type</v>
      </c>
      <c r="AC4" s="136" t="str">
        <f>'Assessment Details'!H64</f>
        <v>Building service - controls</v>
      </c>
      <c r="AD4" s="136" t="str">
        <f>'Assessment Details'!H66</f>
        <v>If applicable, does this industrial building have a heated operational area?</v>
      </c>
      <c r="AE4" s="136" t="str">
        <f>'Assessment Details'!H70</f>
        <v>Commercial/industrial refrigeration and storage systems</v>
      </c>
      <c r="AF4" s="136" t="e">
        <f>'Assessment Details'!#REF!</f>
        <v>#REF!</v>
      </c>
      <c r="AG4" s="136" t="str">
        <f>'Assessment Details'!H72</f>
        <v>Building user transportation systems (lifts and/or escalators)</v>
      </c>
      <c r="AH4" s="136" t="str">
        <f>'Assessment Details'!H74</f>
        <v>Laboratory function/area and size category</v>
      </c>
      <c r="AI4" s="136" t="str">
        <f>'Assessment Details'!H76</f>
        <v>Laboratory containment level</v>
      </c>
      <c r="AJ4" s="136" t="str">
        <f>'Assessment Details'!H78</f>
        <v>Fume cupboard(s) and/or other containment devices</v>
      </c>
      <c r="AK4" s="136" t="str">
        <f>'Assessment Details'!H80</f>
        <v>Unregulated water uses present? (e.g. vehicle wash system, irrigation)</v>
      </c>
      <c r="AL4" s="136" t="str">
        <f>'Assessment Details'!H82</f>
        <v xml:space="preserve">If applicable, will this healthcare building house inpatients? </v>
      </c>
      <c r="AM4" s="136" t="str">
        <f>'Assessment Details'!H84</f>
        <v>If  applicable, does this industrial building have an office area?</v>
      </c>
      <c r="AN4" s="136" t="str">
        <f>'Assessment Details'!H90</f>
        <v>If applicable, does this building contain areas requiring SAP assessment?</v>
      </c>
      <c r="AO4" s="136" t="str">
        <f>'Assessment Details'!H92</f>
        <v>If SAP used, what proportion of the building's total floor area (GIA) does it apply to?</v>
      </c>
      <c r="AP4" s="136" t="str">
        <f>'Assessment Details'!H98</f>
        <v>Developer</v>
      </c>
      <c r="AQ4" s="136" t="str">
        <f>'Assessment Details'!H100</f>
        <v>Principal contractor</v>
      </c>
      <c r="AR4" s="136" t="str">
        <f>'Assessment Details'!H102</f>
        <v>Architect</v>
      </c>
      <c r="AS4" s="136" t="str">
        <f>'Assessment Details'!H104</f>
        <v>Project management</v>
      </c>
      <c r="AT4" s="136" t="str">
        <f>'Assessment Details'!H106</f>
        <v>Building services</v>
      </c>
      <c r="AU4" s="136" t="str">
        <f>'Assessment Details'!H108</f>
        <v>BREEAM Advisory Professional</v>
      </c>
      <c r="AV4" s="136" t="str">
        <f>'Assessment Details'!H110</f>
        <v>Other project team member 1</v>
      </c>
      <c r="AW4" s="136" t="str">
        <f>'Assessment Details'!H112</f>
        <v>Other project team member 2</v>
      </c>
      <c r="AX4" s="136" t="str">
        <f>'Assessment Details'!H114</f>
        <v>Other project team member 3</v>
      </c>
      <c r="AY4" s="136" t="str">
        <f>'Assessment Details'!H116</f>
        <v>Other project team member 4</v>
      </c>
      <c r="AZ4" s="136" t="str">
        <f>'Assessment Rating &amp; KPIs'!D8</f>
        <v>BREEAM rating</v>
      </c>
      <c r="BA4" s="136" t="str">
        <f>'Assessment Rating &amp; KPIs'!D10</f>
        <v>Total Score</v>
      </c>
      <c r="BB4" s="136" t="str">
        <f>'Assessment Rating &amp; KPIs'!H17</f>
        <v>Management</v>
      </c>
      <c r="BC4" s="136" t="str">
        <f>'Assessment Rating &amp; KPIs'!H19</f>
        <v>Health &amp; Wellbeing</v>
      </c>
      <c r="BD4" s="136" t="str">
        <f>'Assessment Rating &amp; KPIs'!H21</f>
        <v>Energy</v>
      </c>
      <c r="BE4" s="136" t="str">
        <f>'Assessment Rating &amp; KPIs'!H23</f>
        <v>Transport</v>
      </c>
      <c r="BF4" s="136" t="str">
        <f>'Assessment Rating &amp; KPIs'!H25</f>
        <v>Water</v>
      </c>
      <c r="BG4" s="136" t="str">
        <f>'Assessment Rating &amp; KPIs'!H27</f>
        <v>Materials</v>
      </c>
      <c r="BH4" s="136" t="str">
        <f>'Assessment Rating &amp; KPIs'!H29</f>
        <v>Waste</v>
      </c>
      <c r="BI4" s="136" t="str">
        <f>'Assessment Rating &amp; KPIs'!H31</f>
        <v>Land Use &amp; Ecology</v>
      </c>
      <c r="BJ4" s="136" t="str">
        <f>'Assessment Rating &amp; KPIs'!H33</f>
        <v>Pollution</v>
      </c>
      <c r="BK4" s="136" t="str">
        <f>'Assessment Rating &amp; KPIs'!H35</f>
        <v>Innovation</v>
      </c>
      <c r="BL4" s="125" t="str">
        <f>'Assessment Rating &amp; KPIs'!L37</f>
        <v>Intensity</v>
      </c>
      <c r="BM4" s="125" t="str">
        <f>'Assessment Rating &amp; KPIs'!P37</f>
        <v>Total</v>
      </c>
      <c r="BN4" s="125"/>
      <c r="BO4" s="125"/>
      <c r="BP4" s="125" t="str">
        <f>$BL$4</f>
        <v>Intensity</v>
      </c>
      <c r="BQ4" s="125" t="str">
        <f>$BM$4</f>
        <v>Total</v>
      </c>
      <c r="BR4" s="125" t="str">
        <f>$BL$4</f>
        <v>Intensity</v>
      </c>
      <c r="BS4" s="125" t="str">
        <f>$BM$4</f>
        <v>Total</v>
      </c>
      <c r="BT4" s="125" t="str">
        <f>$BL$4</f>
        <v>Intensity</v>
      </c>
      <c r="BU4" s="125" t="str">
        <f>$BM$4</f>
        <v>Total</v>
      </c>
      <c r="BV4" s="125" t="str">
        <f>$BL$4</f>
        <v>Intensity</v>
      </c>
      <c r="BW4" s="125" t="str">
        <f>$BM$4</f>
        <v>Total</v>
      </c>
      <c r="BX4" s="125" t="str">
        <f>$BL$4</f>
        <v>Intensity</v>
      </c>
      <c r="BY4" s="125" t="str">
        <f>$BM$4</f>
        <v>Total</v>
      </c>
      <c r="BZ4" s="125" t="str">
        <f>$BL$4</f>
        <v>Intensity</v>
      </c>
      <c r="CA4" s="125" t="str">
        <f>$BM$4</f>
        <v>Total</v>
      </c>
      <c r="CB4" s="125" t="str">
        <f>$BL$4</f>
        <v>Intensity</v>
      </c>
      <c r="CC4" s="125" t="str">
        <f>$BM$4</f>
        <v>Total</v>
      </c>
      <c r="CD4" s="125" t="str">
        <f>'Assessment Rating &amp; KPIs'!P53</f>
        <v>Proportion of applicable main building elements that data reported covers</v>
      </c>
      <c r="CE4" s="125" t="str">
        <f>$BL$4</f>
        <v>Intensity</v>
      </c>
      <c r="CF4" s="125" t="str">
        <f>$BM$4</f>
        <v>Total</v>
      </c>
      <c r="CG4" s="125" t="str">
        <f>$BL$4</f>
        <v>Intensity</v>
      </c>
      <c r="CH4" s="125" t="str">
        <f>$BM$4</f>
        <v>Total</v>
      </c>
      <c r="CI4" s="125" t="str">
        <f>$BL$4</f>
        <v>Intensity</v>
      </c>
      <c r="CJ4" s="125" t="str">
        <f>$BM$4</f>
        <v>Total</v>
      </c>
      <c r="CK4" s="125" t="str">
        <f>$BL$4</f>
        <v>Intensity</v>
      </c>
      <c r="CL4" s="125" t="str">
        <f>$BM$4</f>
        <v>Total</v>
      </c>
      <c r="CM4" s="125" t="str">
        <f>$BL$4</f>
        <v>Intensity</v>
      </c>
      <c r="CN4" s="125" t="str">
        <f>$BM$4</f>
        <v>Total</v>
      </c>
      <c r="CO4" s="125" t="str">
        <f>$BL$4</f>
        <v>Intensity</v>
      </c>
      <c r="CP4" s="125" t="str">
        <f>$BM$4</f>
        <v>Total</v>
      </c>
      <c r="CQ4" s="125" t="str">
        <f>$BL$4</f>
        <v>Intensity</v>
      </c>
      <c r="CR4" s="125" t="str">
        <f>$BM$4</f>
        <v>Total</v>
      </c>
      <c r="CS4" s="125" t="str">
        <f>$BL$4</f>
        <v>Intensity</v>
      </c>
      <c r="CT4" s="125" t="str">
        <f>$BM$4</f>
        <v>Total</v>
      </c>
      <c r="CU4" s="125" t="str">
        <f>$BL$4</f>
        <v>Intensity</v>
      </c>
      <c r="CV4" s="125" t="str">
        <f>$BM$4</f>
        <v>Total</v>
      </c>
      <c r="CW4" s="125" t="str">
        <f>$BL$4</f>
        <v>Intensity</v>
      </c>
      <c r="CX4" s="125" t="str">
        <f>$BM$4</f>
        <v>Total</v>
      </c>
      <c r="CY4" s="125" t="str">
        <f>$BL$4</f>
        <v>Intensity</v>
      </c>
      <c r="CZ4" s="125" t="str">
        <f>$BM$4</f>
        <v>Total</v>
      </c>
      <c r="DA4" s="125" t="str">
        <f>$BL$4</f>
        <v>Intensity</v>
      </c>
      <c r="DB4" s="125" t="str">
        <f>$BM$4</f>
        <v>Total</v>
      </c>
      <c r="DC4" s="125" t="str">
        <f>$BM$4</f>
        <v>Total</v>
      </c>
      <c r="DD4" s="125" t="str">
        <f>$BL$4</f>
        <v>Intensity</v>
      </c>
      <c r="DE4" s="125" t="str">
        <f>$BL$4</f>
        <v>Intensity</v>
      </c>
      <c r="DF4" s="125" t="str">
        <f>$BL$4</f>
        <v>Intensity</v>
      </c>
    </row>
    <row r="5" spans="1:222" s="51" customFormat="1" ht="30" customHeight="1" x14ac:dyDescent="0.25">
      <c r="A5" s="136" t="s">
        <v>1265</v>
      </c>
      <c r="B5" s="136" t="s">
        <v>1266</v>
      </c>
      <c r="C5" s="136" t="s">
        <v>1266</v>
      </c>
      <c r="D5" s="136" t="s">
        <v>1266</v>
      </c>
      <c r="E5" s="136" t="s">
        <v>1266</v>
      </c>
      <c r="F5" s="136" t="s">
        <v>1266</v>
      </c>
      <c r="G5" s="136" t="s">
        <v>1266</v>
      </c>
      <c r="H5" s="136" t="s">
        <v>1266</v>
      </c>
      <c r="I5" s="136" t="s">
        <v>1266</v>
      </c>
      <c r="J5" s="136" t="s">
        <v>1266</v>
      </c>
      <c r="K5" s="136" t="s">
        <v>1266</v>
      </c>
      <c r="L5" s="136" t="s">
        <v>1266</v>
      </c>
      <c r="M5" s="136" t="s">
        <v>1266</v>
      </c>
      <c r="N5" s="136" t="s">
        <v>1266</v>
      </c>
      <c r="O5" s="136" t="s">
        <v>1267</v>
      </c>
      <c r="P5" s="136" t="s">
        <v>1267</v>
      </c>
      <c r="Q5" s="136" t="s">
        <v>1266</v>
      </c>
      <c r="R5" s="136"/>
      <c r="S5" s="136"/>
      <c r="T5" s="136" t="s">
        <v>1266</v>
      </c>
      <c r="U5" s="136" t="s">
        <v>1267</v>
      </c>
      <c r="V5" s="136" t="s">
        <v>1266</v>
      </c>
      <c r="W5" s="136" t="s">
        <v>1266</v>
      </c>
      <c r="X5" s="136" t="s">
        <v>1266</v>
      </c>
      <c r="Y5" s="136" t="s">
        <v>1266</v>
      </c>
      <c r="Z5" s="136" t="s">
        <v>1266</v>
      </c>
      <c r="AA5" s="136" t="s">
        <v>1266</v>
      </c>
      <c r="AB5" s="136" t="s">
        <v>1266</v>
      </c>
      <c r="AC5" s="136" t="s">
        <v>1266</v>
      </c>
      <c r="AD5" s="136" t="s">
        <v>1266</v>
      </c>
      <c r="AE5" s="136" t="s">
        <v>1266</v>
      </c>
      <c r="AF5" s="136" t="s">
        <v>1266</v>
      </c>
      <c r="AG5" s="136" t="s">
        <v>1266</v>
      </c>
      <c r="AH5" s="136" t="s">
        <v>1266</v>
      </c>
      <c r="AI5" s="136" t="s">
        <v>1266</v>
      </c>
      <c r="AJ5" s="136" t="s">
        <v>1266</v>
      </c>
      <c r="AK5" s="136" t="s">
        <v>1266</v>
      </c>
      <c r="AL5" s="136" t="s">
        <v>1266</v>
      </c>
      <c r="AM5" s="136" t="s">
        <v>1266</v>
      </c>
      <c r="AN5" s="136" t="s">
        <v>1266</v>
      </c>
      <c r="AO5" s="136" t="s">
        <v>231</v>
      </c>
      <c r="AP5" s="136" t="s">
        <v>1266</v>
      </c>
      <c r="AQ5" s="136" t="s">
        <v>1266</v>
      </c>
      <c r="AR5" s="136" t="s">
        <v>1266</v>
      </c>
      <c r="AS5" s="136" t="s">
        <v>1266</v>
      </c>
      <c r="AT5" s="136" t="s">
        <v>1266</v>
      </c>
      <c r="AU5" s="136" t="s">
        <v>1266</v>
      </c>
      <c r="AV5" s="136" t="s">
        <v>1266</v>
      </c>
      <c r="AW5" s="136" t="s">
        <v>1266</v>
      </c>
      <c r="AX5" s="136" t="s">
        <v>1266</v>
      </c>
      <c r="AY5" s="136" t="s">
        <v>1266</v>
      </c>
      <c r="AZ5" s="136" t="s">
        <v>1266</v>
      </c>
      <c r="BA5" s="136" t="s">
        <v>231</v>
      </c>
      <c r="BB5" s="136" t="s">
        <v>231</v>
      </c>
      <c r="BC5" s="136" t="s">
        <v>231</v>
      </c>
      <c r="BD5" s="136" t="s">
        <v>231</v>
      </c>
      <c r="BE5" s="136" t="s">
        <v>231</v>
      </c>
      <c r="BF5" s="136" t="s">
        <v>231</v>
      </c>
      <c r="BG5" s="136" t="s">
        <v>231</v>
      </c>
      <c r="BH5" s="136" t="s">
        <v>231</v>
      </c>
      <c r="BI5" s="136" t="s">
        <v>231</v>
      </c>
      <c r="BJ5" s="136" t="s">
        <v>231</v>
      </c>
      <c r="BK5" s="136" t="s">
        <v>231</v>
      </c>
      <c r="BL5" s="136" t="str">
        <f>'Assessment Rating &amp; KPIs'!N39</f>
        <v>kWh/m2/yr</v>
      </c>
      <c r="BM5" s="136" t="str">
        <f>'Assessment Rating &amp; KPIs'!R39</f>
        <v>kWh/yr</v>
      </c>
      <c r="BN5" s="136"/>
      <c r="BO5" s="136"/>
      <c r="BP5" s="136" t="str">
        <f>'Assessment Rating &amp; KPIs'!N41</f>
        <v>kWh/m2/yr</v>
      </c>
      <c r="BQ5" s="136" t="str">
        <f>'Assessment Rating &amp; KPIs'!R41</f>
        <v>kWh/yr</v>
      </c>
      <c r="BR5" s="136" t="str">
        <f>'Assessment Rating &amp; KPIs'!N45</f>
        <v>Litres/km</v>
      </c>
      <c r="BS5" s="136" t="str">
        <f>'Assessment Rating &amp; KPIs'!R45</f>
        <v>Litres of fuel</v>
      </c>
      <c r="BT5" s="136" t="str">
        <f>'Assessment Rating &amp; KPIs'!N43</f>
        <v>kWh/MSEK</v>
      </c>
      <c r="BU5" s="136" t="str">
        <f>'Assessment Rating &amp; KPIs'!R43</f>
        <v>kWh</v>
      </c>
      <c r="BV5" s="136" t="str">
        <f>'Assessment Rating &amp; KPIs'!N49</f>
        <v>kgCO2eq/m2/yr</v>
      </c>
      <c r="BW5" s="136" t="str">
        <f>'Assessment Rating &amp; KPIs'!R49</f>
        <v>kgCO2eq/yr</v>
      </c>
      <c r="BX5" s="136" t="str">
        <f>'Assessment Rating &amp; KPIs'!N55</f>
        <v>KgCO2eq /MSEK</v>
      </c>
      <c r="BY5" s="136" t="str">
        <f>'Assessment Rating &amp; KPIs'!R55</f>
        <v>KgCO2eq</v>
      </c>
      <c r="BZ5" s="136" t="str">
        <f>'Assessment Rating &amp; KPIs'!N57</f>
        <v>KgCO2eq /km</v>
      </c>
      <c r="CA5" s="136" t="str">
        <f>'Assessment Rating &amp; KPIs'!R57</f>
        <v>KgCO2eq</v>
      </c>
      <c r="CB5" s="136" t="str">
        <f>'Assessment Rating &amp; KPIs'!N51</f>
        <v>kgCO2eq/m2</v>
      </c>
      <c r="CC5" s="136" t="str">
        <f>'Assessment Rating &amp; KPIs'!R51</f>
        <v>kgCO2eq</v>
      </c>
      <c r="CD5" s="136" t="s">
        <v>231</v>
      </c>
      <c r="CE5" s="136" t="str">
        <f>'Assessment Rating &amp; KPIs'!N59</f>
        <v>KgCO2eq/kWcoolth</v>
      </c>
      <c r="CF5" s="136" t="str">
        <f>'Assessment Rating &amp; KPIs'!R59</f>
        <v>KgCO2eq</v>
      </c>
      <c r="CG5" s="140" t="str">
        <f>'Assessment Rating &amp; KPIs'!N62</f>
        <v>mg/kWh</v>
      </c>
      <c r="CH5" s="136" t="str">
        <f>'Assessment Rating &amp; KPIs'!R62</f>
        <v>kg/yr</v>
      </c>
      <c r="CI5" s="136" t="str">
        <f>'Assessment Rating &amp; KPIs'!N65</f>
        <v>m3/person/yr</v>
      </c>
      <c r="CJ5" s="136" t="str">
        <f>'Assessment Rating &amp; KPIs'!R65</f>
        <v>m3/yr</v>
      </c>
      <c r="CK5" s="140" t="str">
        <f>'Assessment Rating &amp; KPIs'!N67</f>
        <v>m3/MSEK</v>
      </c>
      <c r="CL5" s="136" t="str">
        <f>'Assessment Rating &amp; KPIs'!R67</f>
        <v>m3</v>
      </c>
      <c r="CM5" s="140" t="str">
        <f>'Assessment Rating &amp; KPIs'!N70</f>
        <v>m3</v>
      </c>
      <c r="CN5" s="136" t="str">
        <f>'Assessment Rating &amp; KPIs'!R70</f>
        <v>-</v>
      </c>
      <c r="CO5" s="140" t="str">
        <f>'Assessment Rating &amp; KPIs'!N72</f>
        <v>%</v>
      </c>
      <c r="CP5" s="136" t="str">
        <f>'Assessment Rating &amp; KPIs'!R72</f>
        <v>-</v>
      </c>
      <c r="CQ5" s="140" t="str">
        <f>'Assessment Rating &amp; KPIs'!N74</f>
        <v>%</v>
      </c>
      <c r="CR5" s="136" t="str">
        <f>'Assessment Rating &amp; KPIs'!R74</f>
        <v>tonnes</v>
      </c>
      <c r="CS5" s="140" t="str">
        <f>'Assessment Rating &amp; KPIs'!N76</f>
        <v>%</v>
      </c>
      <c r="CT5" s="136" t="str">
        <f>'Assessment Rating &amp; KPIs'!R76</f>
        <v>tonnes</v>
      </c>
      <c r="CU5" s="140" t="str">
        <f>'Assessment Rating &amp; KPIs'!N78</f>
        <v>tonnes/100m2</v>
      </c>
      <c r="CV5" s="136" t="str">
        <f>'Assessment Rating &amp; KPIs'!R78</f>
        <v>tonnes</v>
      </c>
      <c r="CW5" s="140" t="str">
        <f>'Assessment Rating &amp; KPIs'!N80</f>
        <v>tonnes/100m2</v>
      </c>
      <c r="CX5" s="136" t="str">
        <f>'Assessment Rating &amp; KPIs'!R80</f>
        <v>tonnes</v>
      </c>
      <c r="CY5" s="140" t="str">
        <f>'Assessment Rating &amp; KPIs'!N82</f>
        <v>tonnes/100m2</v>
      </c>
      <c r="CZ5" s="136" t="str">
        <f>'Assessment Rating &amp; KPIs'!R82</f>
        <v>tonnes</v>
      </c>
      <c r="DA5" s="140" t="str">
        <f>'Assessment Rating &amp; KPIs'!N84</f>
        <v>tonnes/100m2</v>
      </c>
      <c r="DB5" s="136" t="str">
        <f>'Assessment Rating &amp; KPIs'!R84</f>
        <v>tonnes</v>
      </c>
      <c r="DC5" s="140" t="str">
        <f>'Assessment Rating &amp; KPIs'!N87</f>
        <v>%</v>
      </c>
      <c r="DD5" s="140" t="e">
        <f>'Assessment Rating &amp; KPIs'!#REF!</f>
        <v>#REF!</v>
      </c>
      <c r="DE5" s="140" t="str">
        <f>'Assessment Rating &amp; KPIs'!N95</f>
        <v>µg/m3</v>
      </c>
      <c r="DF5" s="140" t="str">
        <f>'Assessment Rating &amp; KPIs'!N97</f>
        <v>µg/m3</v>
      </c>
    </row>
    <row r="6" spans="1:222" s="153" customFormat="1" ht="39.950000000000003" customHeight="1" x14ac:dyDescent="0.25">
      <c r="A6" s="111">
        <f>AD_ref</f>
        <v>0</v>
      </c>
      <c r="B6" s="111">
        <f>AD_client</f>
        <v>0</v>
      </c>
      <c r="C6" s="111">
        <f>AD_Builduser</f>
        <v>0</v>
      </c>
      <c r="D6" s="111">
        <f>AD_assessor</f>
        <v>0</v>
      </c>
      <c r="E6" s="111">
        <f>AD_Assessor_org</f>
        <v>0</v>
      </c>
      <c r="F6" s="111">
        <f>ADBN</f>
        <v>0</v>
      </c>
      <c r="G6" s="109">
        <f>AD_Add01</f>
        <v>0</v>
      </c>
      <c r="H6" s="109">
        <f>AD_Add02</f>
        <v>0</v>
      </c>
      <c r="I6" s="109">
        <f>AD_Add03</f>
        <v>0</v>
      </c>
      <c r="J6" s="109">
        <f>AD_Add04</f>
        <v>0</v>
      </c>
      <c r="K6" s="111">
        <f>AD_County</f>
        <v>0</v>
      </c>
      <c r="L6" s="111" t="e">
        <f>AD_PC</f>
        <v>#REF!</v>
      </c>
      <c r="M6" s="111">
        <f>ADBT0</f>
        <v>0</v>
      </c>
      <c r="N6" s="111">
        <f>ADBT_sub01</f>
        <v>0</v>
      </c>
      <c r="O6" s="111">
        <f>AD_GIA</f>
        <v>0</v>
      </c>
      <c r="P6" s="111">
        <f>AD_NIFA</f>
        <v>0</v>
      </c>
      <c r="Q6" s="111" t="str">
        <f>AD_scheme</f>
        <v>New Construction</v>
      </c>
      <c r="R6" s="111"/>
      <c r="S6" s="111"/>
      <c r="T6" s="111" t="str">
        <f>AD_version</f>
        <v>BREEAM-SE 2017</v>
      </c>
      <c r="U6" s="111">
        <f>AD_SchIss</f>
        <v>0</v>
      </c>
      <c r="V6" s="111">
        <f>ADPT</f>
        <v>0</v>
      </c>
      <c r="W6" s="111">
        <f>ADAS0</f>
        <v>0</v>
      </c>
      <c r="X6" s="111">
        <f>AD_Location</f>
        <v>0</v>
      </c>
      <c r="Y6" s="111" t="str">
        <f>AD_climate</f>
        <v>Temperate</v>
      </c>
      <c r="Z6" s="111">
        <f>AD_heat</f>
        <v>0</v>
      </c>
      <c r="AA6" s="111">
        <f>AD_cool</f>
        <v>0</v>
      </c>
      <c r="AB6" s="111">
        <f>AD_DHWS</f>
        <v>0</v>
      </c>
      <c r="AC6" s="111">
        <f>AD_controls</f>
        <v>0</v>
      </c>
      <c r="AD6" s="111">
        <f>ADIND_option02</f>
        <v>0</v>
      </c>
      <c r="AE6" s="111">
        <f>AD_refrig</f>
        <v>0</v>
      </c>
      <c r="AF6" s="111" t="e">
        <f>AD_landscape</f>
        <v>#NAME?</v>
      </c>
      <c r="AG6" s="111">
        <f>AD_Trans</f>
        <v>0</v>
      </c>
      <c r="AH6" s="111">
        <f>AD_Labsize</f>
        <v>0</v>
      </c>
      <c r="AI6" s="111">
        <f>AD_catlevel</f>
        <v>0</v>
      </c>
      <c r="AJ6" s="111">
        <f>ADFume_option01</f>
        <v>0</v>
      </c>
      <c r="AK6" s="111">
        <f>AD_Vehiclewash</f>
        <v>0</v>
      </c>
      <c r="AL6" s="111" t="str">
        <f>ADHC_option01</f>
        <v>Option not applicable to building type</v>
      </c>
      <c r="AM6" s="111">
        <f>ADIND_option01</f>
        <v>0</v>
      </c>
      <c r="AN6" s="111">
        <f>AD_MultiRes_option01</f>
        <v>0</v>
      </c>
      <c r="AO6" s="113">
        <f>AD_MultiRes_option02</f>
        <v>0</v>
      </c>
      <c r="AP6" s="111">
        <f>AD_Developer</f>
        <v>0</v>
      </c>
      <c r="AQ6" s="111">
        <f>AD_Contractor</f>
        <v>0</v>
      </c>
      <c r="AR6" s="111">
        <f>AD_Architect</f>
        <v>0</v>
      </c>
      <c r="AS6" s="111">
        <f>AD_Projman</f>
        <v>0</v>
      </c>
      <c r="AT6" s="111">
        <f>AD_Buildserve</f>
        <v>0</v>
      </c>
      <c r="AU6" s="111">
        <f>AD_BREEAMAP</f>
        <v>0</v>
      </c>
      <c r="AV6" s="111">
        <f>AD_Other01</f>
        <v>0</v>
      </c>
      <c r="AW6" s="111">
        <f>AD_Other02</f>
        <v>0</v>
      </c>
      <c r="AX6" s="111">
        <f>AD_other03</f>
        <v>0</v>
      </c>
      <c r="AY6" s="111">
        <f>AD_Other04</f>
        <v>0</v>
      </c>
      <c r="AZ6" s="111" t="str">
        <f>BP_BREEAMRating</f>
        <v/>
      </c>
      <c r="BA6" s="113" t="str">
        <f>BP_OverallScore</f>
        <v/>
      </c>
      <c r="BB6" s="113">
        <f>BP_Man_score</f>
        <v>0</v>
      </c>
      <c r="BC6" s="113">
        <f>BP_HW_score</f>
        <v>0</v>
      </c>
      <c r="BD6" s="113" t="e">
        <f>BP_Energy_score</f>
        <v>#N/A</v>
      </c>
      <c r="BE6" s="113">
        <f>BP_Trans_score</f>
        <v>0</v>
      </c>
      <c r="BF6" s="113">
        <f>BP_Water_score</f>
        <v>0</v>
      </c>
      <c r="BG6" s="113">
        <f>BP_Materials_score</f>
        <v>0</v>
      </c>
      <c r="BH6" s="113">
        <f>BP_Waste_Score</f>
        <v>0</v>
      </c>
      <c r="BI6" s="113">
        <f>BP_LUE_score</f>
        <v>0</v>
      </c>
      <c r="BJ6" s="113">
        <f>BP_Pollution_score</f>
        <v>0</v>
      </c>
      <c r="BK6" s="113">
        <f>BP_Innovation_score</f>
        <v>0</v>
      </c>
      <c r="BL6" s="111" t="str">
        <f>BP_KPI01</f>
        <v>INA</v>
      </c>
      <c r="BM6" s="111" t="str">
        <f>BP_KPI02</f>
        <v>INA</v>
      </c>
      <c r="BN6" s="111"/>
      <c r="BO6" s="111"/>
      <c r="BP6" s="111" t="str">
        <f>BP_KPI07</f>
        <v>INA</v>
      </c>
      <c r="BQ6" s="111" t="str">
        <f>BP_KPI08</f>
        <v>INA</v>
      </c>
      <c r="BR6" s="111" t="str">
        <f>BP_KPI05</f>
        <v>INA</v>
      </c>
      <c r="BS6" s="111" t="str">
        <f>BP_KPI06</f>
        <v>INA</v>
      </c>
      <c r="BT6" s="111">
        <f>BP_KPI03</f>
        <v>0</v>
      </c>
      <c r="BU6" s="111">
        <f>BP_KPI04</f>
        <v>0</v>
      </c>
      <c r="BV6" s="111" t="str">
        <f>BP_KPI09</f>
        <v>INA</v>
      </c>
      <c r="BW6" s="111" t="str">
        <f>BP_KPI10</f>
        <v>INA</v>
      </c>
      <c r="BX6" s="111">
        <f>BP_KPI11</f>
        <v>0</v>
      </c>
      <c r="BY6" s="111">
        <f>BP_KPI12</f>
        <v>0</v>
      </c>
      <c r="BZ6" s="111" t="str">
        <f>BP_KPI13</f>
        <v>INA</v>
      </c>
      <c r="CA6" s="111" t="str">
        <f>BP_KPI14</f>
        <v>INA</v>
      </c>
      <c r="CB6" s="111" t="str">
        <f>BP_KPI15</f>
        <v>INA</v>
      </c>
      <c r="CC6" s="111" t="str">
        <f>BP_KPI16</f>
        <v>INA</v>
      </c>
      <c r="CD6" s="113" t="str">
        <f>BP_KPI49</f>
        <v>INA</v>
      </c>
      <c r="CE6" s="111" t="str">
        <f>BP_KPI17</f>
        <v>INA</v>
      </c>
      <c r="CF6" s="111" t="str">
        <f>BP_KPI18</f>
        <v>INA</v>
      </c>
      <c r="CG6" s="111" t="str">
        <f>BP_KPI21</f>
        <v>INA</v>
      </c>
      <c r="CH6" s="111" t="str">
        <f>BP_KPI22</f>
        <v>INA</v>
      </c>
      <c r="CI6" s="111" t="str">
        <f>BP_KPI23</f>
        <v>INA</v>
      </c>
      <c r="CJ6" s="111" t="str">
        <f>BP_KPI24</f>
        <v>INA</v>
      </c>
      <c r="CK6" s="111">
        <f>BP_KPI25</f>
        <v>0</v>
      </c>
      <c r="CL6" s="111">
        <f>BP_KPI26</f>
        <v>0</v>
      </c>
      <c r="CM6" s="111">
        <f>BP_KPI27</f>
        <v>0</v>
      </c>
      <c r="CN6" s="111" t="str">
        <f>BP_KPI28</f>
        <v>-</v>
      </c>
      <c r="CO6" s="146">
        <f>BP_KPI29</f>
        <v>0</v>
      </c>
      <c r="CP6" s="111" t="str">
        <f>BP_KPI30</f>
        <v>-</v>
      </c>
      <c r="CQ6" s="113" t="str">
        <f>BP_KPI31</f>
        <v>INA</v>
      </c>
      <c r="CR6" s="111" t="str">
        <f>BP_KPI32</f>
        <v>INA</v>
      </c>
      <c r="CS6" s="113" t="str">
        <f>BP_KPI33</f>
        <v>INA</v>
      </c>
      <c r="CT6" s="111" t="str">
        <f>BP_KPI34</f>
        <v>INA</v>
      </c>
      <c r="CU6" s="111" t="str">
        <f>BP_KPI37</f>
        <v>INA</v>
      </c>
      <c r="CV6" s="111" t="str">
        <f>BP_KPI38</f>
        <v>INA</v>
      </c>
      <c r="CW6" s="111" t="str">
        <f>BP_KPI39</f>
        <v>INA</v>
      </c>
      <c r="CX6" s="111" t="str">
        <f>BP_KPI40</f>
        <v>INA</v>
      </c>
      <c r="CY6" s="111" t="str">
        <f>BP_KPI41</f>
        <v>INA</v>
      </c>
      <c r="CZ6" s="111" t="str">
        <f>BP_KPI42</f>
        <v>INA</v>
      </c>
      <c r="DA6" s="111" t="str">
        <f>BP_KPI35</f>
        <v>INA</v>
      </c>
      <c r="DB6" s="111" t="str">
        <f>BP_KPI36</f>
        <v>INA</v>
      </c>
      <c r="DC6" s="113">
        <f>BP_KPI43</f>
        <v>0</v>
      </c>
      <c r="DD6" s="113" t="e">
        <f>BP_KPI45</f>
        <v>#REF!</v>
      </c>
      <c r="DE6" s="111" t="str">
        <f>BP_KPI47</f>
        <v>INA</v>
      </c>
      <c r="DF6" s="111" t="str">
        <f>BP_KPI48</f>
        <v>INA</v>
      </c>
    </row>
    <row r="7" spans="1:222" ht="15" customHeight="1" x14ac:dyDescent="0.25">
      <c r="D7" s="51"/>
      <c r="E7" s="51"/>
      <c r="F7" s="51"/>
      <c r="G7" s="51"/>
      <c r="H7" s="51"/>
      <c r="I7" s="51"/>
      <c r="J7" s="51"/>
      <c r="K7" s="51"/>
      <c r="L7" s="51"/>
    </row>
    <row r="8" spans="1:222" ht="39.950000000000003" customHeight="1" x14ac:dyDescent="0.2">
      <c r="A8" s="114" t="str">
        <f>Man_01</f>
        <v>Man 01 Project brief and design</v>
      </c>
      <c r="B8" s="115"/>
      <c r="C8" s="115"/>
      <c r="D8" s="115"/>
      <c r="E8" s="115"/>
      <c r="F8" s="115"/>
      <c r="G8" s="115"/>
      <c r="H8" s="115"/>
      <c r="I8" s="115"/>
      <c r="J8" s="115"/>
      <c r="K8" s="115"/>
      <c r="L8" s="116"/>
      <c r="M8" s="126" t="str">
        <f>Man_02</f>
        <v>Man 02 Life cycle cost and service life planning</v>
      </c>
      <c r="N8" s="127"/>
      <c r="O8" s="127"/>
      <c r="P8" s="127"/>
      <c r="Q8" s="128"/>
      <c r="R8" s="127"/>
      <c r="S8" s="127"/>
      <c r="T8" s="126" t="str">
        <f>Man_03</f>
        <v>Man 03 Responsible construction practices</v>
      </c>
      <c r="U8" s="127"/>
      <c r="V8" s="127"/>
      <c r="W8" s="127"/>
      <c r="X8" s="127"/>
      <c r="Y8" s="127"/>
      <c r="Z8" s="127"/>
      <c r="AA8" s="127"/>
      <c r="AB8" s="127"/>
      <c r="AC8" s="126" t="str">
        <f>Man_04</f>
        <v>Man 04 Commisioning and handover</v>
      </c>
      <c r="AD8" s="127"/>
      <c r="AE8" s="127"/>
      <c r="AF8" s="127"/>
      <c r="AG8" s="127"/>
      <c r="AH8" s="128"/>
      <c r="AI8" s="126" t="str">
        <f>Man_05</f>
        <v>Man 05 Aftercare</v>
      </c>
      <c r="AJ8" s="129"/>
      <c r="AK8" s="130"/>
      <c r="AL8" s="129"/>
      <c r="AM8" s="131"/>
      <c r="AN8" s="132" t="str">
        <f>Hea_01</f>
        <v>Hea 01 Visual Comfort</v>
      </c>
      <c r="AO8" s="133"/>
      <c r="AP8" s="127"/>
      <c r="AQ8" s="133"/>
      <c r="AR8" s="127"/>
      <c r="AS8" s="127"/>
      <c r="AT8" s="127"/>
      <c r="AU8" s="127"/>
      <c r="AV8" s="128"/>
      <c r="AW8" s="126" t="str">
        <f>Hea_02</f>
        <v>Hea 02 Indoor Air Quality</v>
      </c>
      <c r="AX8" s="127"/>
      <c r="AY8" s="127"/>
      <c r="AZ8" s="127"/>
      <c r="BA8" s="127"/>
      <c r="BB8" s="127"/>
      <c r="BC8" s="127"/>
      <c r="BD8" s="128"/>
      <c r="BE8" s="126" t="str">
        <f>Hea_03</f>
        <v>Hea 03 Safe containment in laboratories</v>
      </c>
      <c r="BF8" s="127"/>
      <c r="BG8" s="130"/>
      <c r="BH8" s="128"/>
      <c r="BI8" s="126" t="str">
        <f>Hea_04</f>
        <v>Hea 04 Thermal comfort</v>
      </c>
      <c r="BJ8" s="127"/>
      <c r="BK8" s="130"/>
      <c r="BL8" s="127"/>
      <c r="BM8" s="128"/>
      <c r="BN8" s="127"/>
      <c r="BO8" s="127"/>
      <c r="BP8" s="126" t="str">
        <f>'Assessment Issue Scoring'!B285</f>
        <v>Hea 05 Acoustic Performance</v>
      </c>
      <c r="BQ8" s="127"/>
      <c r="BR8" s="127"/>
      <c r="BS8" s="128"/>
      <c r="BT8" s="126" t="str">
        <f>Hea_06</f>
        <v>Hea 06 Accessibility</v>
      </c>
      <c r="BU8" s="127"/>
      <c r="BV8" s="127"/>
      <c r="BW8" s="128"/>
      <c r="BX8" s="126" t="str">
        <f>Ene_01</f>
        <v>Ene 01 Reduction of energy use and carbon emissions</v>
      </c>
      <c r="BY8" s="127"/>
      <c r="BZ8" s="127"/>
      <c r="CA8" s="127"/>
      <c r="CB8" s="127"/>
      <c r="CC8" s="127"/>
      <c r="CD8" s="127"/>
      <c r="CE8" s="127"/>
      <c r="CF8" s="134" t="s">
        <v>1268</v>
      </c>
      <c r="CG8" s="127"/>
      <c r="CH8" s="127"/>
      <c r="CI8" s="127"/>
      <c r="CJ8" s="127"/>
      <c r="CK8" s="127"/>
      <c r="CL8" s="127"/>
      <c r="CM8" s="127"/>
      <c r="CN8" s="127"/>
      <c r="CO8" s="127"/>
      <c r="CP8" s="127"/>
      <c r="CQ8" s="128"/>
      <c r="CR8" s="135" t="s">
        <v>1269</v>
      </c>
      <c r="CS8" s="127"/>
      <c r="CT8" s="127"/>
      <c r="CU8" s="127"/>
      <c r="CV8" s="127"/>
      <c r="CW8" s="127"/>
      <c r="CX8" s="127"/>
      <c r="CY8" s="127"/>
      <c r="CZ8" s="127"/>
      <c r="DA8" s="127"/>
      <c r="DB8" s="127"/>
      <c r="DC8" s="127"/>
      <c r="DD8" s="127"/>
      <c r="DE8" s="126" t="str">
        <f>Ene_02</f>
        <v>Ene 02a Energy monitoring</v>
      </c>
      <c r="DF8" s="127"/>
      <c r="DG8" s="127"/>
      <c r="DH8" s="128"/>
      <c r="DI8" s="126" t="str">
        <f>Ene_03</f>
        <v>Ene 03 Energy efficient lighting</v>
      </c>
      <c r="DJ8" s="127"/>
      <c r="DK8" s="128"/>
      <c r="DL8" s="126" t="str">
        <f>Ene_04</f>
        <v>Ene 04 Low carbon design</v>
      </c>
      <c r="DM8" s="127"/>
      <c r="DN8" s="127"/>
      <c r="DO8" s="127"/>
      <c r="DP8" s="127"/>
      <c r="DQ8" s="127"/>
      <c r="DR8" s="127"/>
      <c r="DS8" s="127"/>
      <c r="DT8" s="127"/>
      <c r="DU8" s="127"/>
      <c r="DV8" s="127"/>
      <c r="DW8" s="128"/>
      <c r="DX8" s="126" t="str">
        <f>Ene_05</f>
        <v>Ene 05 Energy efficient cold storage</v>
      </c>
      <c r="DY8" s="127"/>
      <c r="DZ8" s="127"/>
      <c r="EA8" s="127"/>
      <c r="EB8" s="127"/>
      <c r="EC8" s="128"/>
      <c r="ED8" s="126" t="str">
        <f>Ene_06</f>
        <v>Ene 06 Energy efficient transportation systems</v>
      </c>
      <c r="EE8" s="127"/>
      <c r="EF8" s="127"/>
      <c r="EG8" s="128"/>
      <c r="EH8" s="126" t="str">
        <f>Ene_07</f>
        <v>Ene 07 Energy efficient laboratory systems</v>
      </c>
      <c r="EI8" s="127"/>
      <c r="EJ8" s="127"/>
      <c r="EK8" s="127"/>
      <c r="EL8" s="127"/>
      <c r="EM8" s="127"/>
      <c r="EN8" s="127"/>
      <c r="EO8" s="127"/>
      <c r="EP8" s="127"/>
      <c r="EQ8" s="127"/>
      <c r="ER8" s="127"/>
      <c r="ES8" s="127"/>
      <c r="ET8" s="127"/>
      <c r="EU8" s="127"/>
      <c r="EV8" s="128"/>
      <c r="EW8" s="126" t="str">
        <f>Ene_08</f>
        <v>Ene 08 Energy efficient equipment</v>
      </c>
      <c r="EX8" s="126"/>
      <c r="EY8" s="127"/>
      <c r="EZ8" s="141" t="s">
        <v>1270</v>
      </c>
      <c r="FA8" s="127"/>
      <c r="FB8" s="127"/>
      <c r="FC8" s="127"/>
      <c r="FD8" s="127"/>
      <c r="FE8" s="127"/>
      <c r="FF8" s="127"/>
      <c r="FG8" s="127"/>
      <c r="FH8" s="135" t="s">
        <v>1271</v>
      </c>
      <c r="FI8" s="127"/>
      <c r="FJ8" s="127"/>
      <c r="FK8" s="127"/>
      <c r="FL8" s="127"/>
      <c r="FM8" s="127"/>
      <c r="FN8" s="127"/>
      <c r="FO8" s="128"/>
      <c r="FP8" s="126" t="str">
        <f>Ene_09</f>
        <v>Ene 09 Drying space</v>
      </c>
      <c r="FQ8" s="127"/>
      <c r="FR8" s="128"/>
      <c r="FS8" s="126" t="str">
        <f>Tra_01</f>
        <v xml:space="preserve">Tra 01 Public Transport Accessibility </v>
      </c>
      <c r="FT8" s="127"/>
      <c r="FU8" s="127"/>
      <c r="FV8" s="127"/>
      <c r="FW8" s="127"/>
      <c r="FX8" s="127"/>
      <c r="FY8" s="128"/>
      <c r="FZ8" s="126" t="str">
        <f>Tra_02</f>
        <v>Tra 02 Proximity to Amenities</v>
      </c>
      <c r="GA8" s="127"/>
      <c r="GB8" s="128"/>
      <c r="GC8" s="126" t="str">
        <f>Tra_03</f>
        <v>Tra 03a Alternative modes of transport</v>
      </c>
      <c r="GD8" s="127"/>
      <c r="GE8" s="127"/>
      <c r="GF8" s="127"/>
      <c r="GG8" s="127"/>
      <c r="GH8" s="127"/>
      <c r="GI8" s="127"/>
      <c r="GJ8" s="126" t="str">
        <f>Tra_04</f>
        <v>Tra 04 Maximum Car Parking Capacity</v>
      </c>
      <c r="GK8" s="127"/>
      <c r="GL8" s="128"/>
      <c r="GM8" s="126" t="str">
        <f>Tra_05</f>
        <v>Tra 05 Travel Plan</v>
      </c>
      <c r="GN8" s="127"/>
      <c r="GO8" s="128"/>
      <c r="GP8" s="126" t="str">
        <f>Wat_01</f>
        <v>Wat 01 Water Consumption</v>
      </c>
      <c r="GQ8" s="127"/>
      <c r="GR8" s="127"/>
      <c r="GS8" s="127"/>
      <c r="GT8" s="127"/>
      <c r="GU8" s="127"/>
      <c r="GV8" s="127"/>
      <c r="GW8" s="127"/>
      <c r="GX8" s="127"/>
      <c r="GY8" s="127"/>
      <c r="GZ8" s="127"/>
      <c r="HA8" s="128"/>
      <c r="HB8" s="126" t="str">
        <f>Wat_02</f>
        <v>Wat 02 Water Monitoring</v>
      </c>
      <c r="HC8" s="127"/>
      <c r="HD8" s="127"/>
      <c r="HE8" s="127"/>
      <c r="HF8" s="127"/>
      <c r="HG8" s="128"/>
      <c r="HH8" s="126" t="str">
        <f>Wat_03</f>
        <v>Wat 03 Water Leak Detection and Prevention</v>
      </c>
      <c r="HI8" s="127"/>
      <c r="HJ8" s="127"/>
      <c r="HK8" s="128"/>
      <c r="HL8" s="126" t="str">
        <f>Wat_04</f>
        <v>Wat 04 Water Efficient Equipment</v>
      </c>
      <c r="HM8" s="127"/>
      <c r="HN8" s="128"/>
    </row>
    <row r="9" spans="1:222" ht="80.099999999999994" customHeight="1" x14ac:dyDescent="0.25">
      <c r="A9" s="136" t="str">
        <f>'Assessment Issue Scoring'!F31</f>
        <v>Total BREEAM credits achieved</v>
      </c>
      <c r="B9" s="136" t="str">
        <f>'Assessment Issue Scoring'!F33</f>
        <v>Total contribution to overall building score</v>
      </c>
      <c r="C9" s="136" t="str">
        <f>'Assessment Issue Scoring'!F35</f>
        <v>Total BREEAM innovation credits achieved</v>
      </c>
      <c r="D9" s="136">
        <f>'Assessment Issue Scoring'!H26</f>
        <v>0</v>
      </c>
      <c r="E9" s="136" t="str">
        <f>'Assessment Issue Scoring'!H27</f>
        <v>Stakeholder consultation (third party)</v>
      </c>
      <c r="F9" s="136" t="str">
        <f>'Assessment Issue Scoring'!H28</f>
        <v>BREEAM-SE AP (design)</v>
      </c>
      <c r="G9" s="136" t="str">
        <f>'Assessment Issue Scoring'!H29</f>
        <v>BREEAM-SE AP (monitoring progress)</v>
      </c>
      <c r="H9" s="136"/>
      <c r="I9" s="136"/>
      <c r="J9" s="136"/>
      <c r="K9" s="136"/>
      <c r="L9" s="136"/>
      <c r="M9" s="136" t="str">
        <f>'Assessment Issue Scoring'!F53</f>
        <v>Total BREEAM credits achieved</v>
      </c>
      <c r="N9" s="136" t="str">
        <f>'Assessment Issue Scoring'!F57</f>
        <v>Total BREEAM innovation credits achieved</v>
      </c>
      <c r="O9" s="136" t="str">
        <f>'Assessment Issue Scoring'!F55</f>
        <v>Total contribution to overall building score</v>
      </c>
      <c r="P9" s="136" t="str">
        <f>'Assessment Issue Scoring'!H48</f>
        <v>Elemental life cycle cost (LCC)</v>
      </c>
      <c r="Q9" s="136" t="str">
        <f>'Assessment Issue Scoring'!H49</f>
        <v>Component level LCC options apraisal</v>
      </c>
      <c r="R9" s="136" t="str">
        <f>'Assessment Issue Scoring'!H50</f>
        <v>Capital cost reporting</v>
      </c>
      <c r="S9" s="136" t="str">
        <f>'Assessment Issue Scoring'!H51</f>
        <v>Capital cost of the project</v>
      </c>
      <c r="T9" s="136" t="str">
        <f>'Assessment Issue Scoring'!F102</f>
        <v>Total BREEAM credits achieved</v>
      </c>
      <c r="U9" s="136" t="str">
        <f>'Assessment Issue Scoring'!F104</f>
        <v>Total contribution to overall building score</v>
      </c>
      <c r="V9" s="136" t="str">
        <f>'Assessment Issue Scoring'!H72</f>
        <v>Environmental Management</v>
      </c>
      <c r="W9" s="136" t="str">
        <f>'Assessment Issue Scoring'!H73</f>
        <v>Construction stage sustainability champion</v>
      </c>
      <c r="X9" s="136" t="str">
        <f>'Assessment Issue Scoring'!H74</f>
        <v>Considerate construction</v>
      </c>
      <c r="Y9" s="136" t="str">
        <f>'Assessment Issue Scoring'!H75</f>
        <v>Monitoring of construction site impact (criterion 10)</v>
      </c>
      <c r="Z9" s="136" t="e">
        <f>'Assessment Issue Scoring'!#REF!</f>
        <v>#REF!</v>
      </c>
      <c r="AA9" s="136" t="e">
        <f>'Assessment Issue Scoring'!#REF!</f>
        <v>#REF!</v>
      </c>
      <c r="AB9" s="136" t="s">
        <v>1272</v>
      </c>
      <c r="AC9" s="136" t="str">
        <f>'Assessment Issue Scoring'!F125</f>
        <v>Total BREEAM credits achieved</v>
      </c>
      <c r="AD9" s="136" t="str">
        <f>'Assessment Issue Scoring'!F127</f>
        <v>Total contribution to overall building score</v>
      </c>
      <c r="AE9" s="136" t="str">
        <f>'Assessment Issue Scoring'!H119</f>
        <v>Commissioning and testing schedule and responsibilities</v>
      </c>
      <c r="AF9" s="136" t="str">
        <f>'Assessment Issue Scoring'!H120</f>
        <v>Commissioning building services</v>
      </c>
      <c r="AG9" s="136" t="str">
        <f>'Assessment Issue Scoring'!H121</f>
        <v>Testing and inspecting building fabric</v>
      </c>
      <c r="AH9" s="136" t="str">
        <f>'Assessment Issue Scoring'!H122</f>
        <v>Handover - Building/Home User Guide been developed prior to handover</v>
      </c>
      <c r="AI9" s="136" t="str">
        <f>'Assessment Issue Scoring'!F148</f>
        <v>Total BREEAM credits achieved</v>
      </c>
      <c r="AJ9" s="136" t="str">
        <f>'Assessment Issue Scoring'!F150</f>
        <v>Total contribution to overall building score</v>
      </c>
      <c r="AK9" s="136" t="str">
        <f>'Assessment Issue Scoring'!H143</f>
        <v>Aftercare support</v>
      </c>
      <c r="AL9" s="136" t="str">
        <f>'Assessment Issue Scoring'!H144</f>
        <v>Seasonal commissioning</v>
      </c>
      <c r="AM9" s="136" t="str">
        <f>'Assessment Issue Scoring'!H145</f>
        <v>Post occupancy evaluation</v>
      </c>
      <c r="AN9" s="136" t="str">
        <f>'Assessment Issue Scoring'!F196</f>
        <v>Total BREEAM credits achieved</v>
      </c>
      <c r="AO9" s="136" t="str">
        <f>'Assessment Issue Scoring'!F198</f>
        <v>Total contribution to overall building score</v>
      </c>
      <c r="AP9" s="136" t="str">
        <f>'Assessment Issue Scoring'!F200</f>
        <v>Total BREEAM innovation credits achieved</v>
      </c>
      <c r="AQ9" s="136" t="str">
        <f>'Assessment Issue Scoring'!H190</f>
        <v xml:space="preserve">Glare control </v>
      </c>
      <c r="AR9" s="136" t="str">
        <f>'Assessment Issue Scoring'!H191</f>
        <v>Daylighting (building type dependant)</v>
      </c>
      <c r="AS9" s="136" t="str">
        <f>'Assessment Issue Scoring'!H192</f>
        <v>View out</v>
      </c>
      <c r="AT9" s="136" t="str">
        <f>'Assessment Issue Scoring'!H193</f>
        <v>Internal and external lighting levels, zoning and controls</v>
      </c>
      <c r="AU9" s="136" t="e">
        <f>'Assessment Issue Scoring'!#REF!</f>
        <v>#REF!</v>
      </c>
      <c r="AV9" s="136" t="e">
        <f>'Assessment Issue Scoring'!#REF!</f>
        <v>#REF!</v>
      </c>
      <c r="AW9" s="136" t="str">
        <f>'Assessment Issue Scoring'!F227</f>
        <v>Total BREEAM credits achieved</v>
      </c>
      <c r="AX9" s="136" t="str">
        <f>'Assessment Issue Scoring'!F229</f>
        <v>Total contribution to overall building score</v>
      </c>
      <c r="AY9" s="136" t="str">
        <f>'Assessment Issue Scoring'!H215</f>
        <v>Indoor air quality (IAQ) plan</v>
      </c>
      <c r="AZ9" s="136" t="str">
        <f>'Assessment Issue Scoring'!H217</f>
        <v>VOCs (products)</v>
      </c>
      <c r="BA9" s="136" t="str">
        <f>'Assessment Issue Scoring'!H218</f>
        <v>VOCs (post-construction)</v>
      </c>
      <c r="BB9" s="136" t="str">
        <f>'Assessment Issue Scoring'!H219</f>
        <v>Adaptability - potential for natural ventilation</v>
      </c>
      <c r="BC9" s="136" t="str">
        <f>'Assessment Issue Scoring'!H221</f>
        <v>Exemplary level VOCs (products)</v>
      </c>
      <c r="BD9" s="136" t="e">
        <f>'Assessment Issue Scoring'!#REF!</f>
        <v>#REF!</v>
      </c>
      <c r="BE9" s="136" t="str">
        <f>'Assessment Issue Scoring'!F248</f>
        <v>Total BREEAM credits achieved</v>
      </c>
      <c r="BF9" s="136" t="str">
        <f>'Assessment Issue Scoring'!F250</f>
        <v>Total contribution to overall building score</v>
      </c>
      <c r="BG9" s="136" t="str">
        <f>'Assessment Issue Scoring'!H245</f>
        <v>Laboratory containment devices and containment areas</v>
      </c>
      <c r="BH9" s="136" t="str">
        <f>'Assessment Issue Scoring'!H246</f>
        <v>Containment level 2 and 3 labs</v>
      </c>
      <c r="BI9" s="136" t="str">
        <f>'Assessment Issue Scoring'!F275</f>
        <v>Total BREEAM credits achieved</v>
      </c>
      <c r="BJ9" s="136" t="str">
        <f>'Assessment Issue Scoring'!F277</f>
        <v>Total contribution to overall building score</v>
      </c>
      <c r="BK9" s="136" t="str">
        <f>'Assessment Issue Scoring'!H266</f>
        <v>Adaptability -  for a projected climate change scenario</v>
      </c>
      <c r="BL9" s="136" t="str">
        <f>'Assessment Issue Scoring'!H268</f>
        <v>Thermal zoning and control</v>
      </c>
      <c r="BM9" s="136" t="str">
        <f>'Assessment Issue Scoring'!H265</f>
        <v>Thermal modelling</v>
      </c>
      <c r="BN9" s="136" t="str">
        <f>'Assessment Issue Scoring'!H272</f>
        <v>Predicted Mean Vote (PMV)</v>
      </c>
      <c r="BO9" s="136" t="str">
        <f>'Assessment Issue Scoring'!H273</f>
        <v>Predicted Percentage Dissatisfied (PPD)</v>
      </c>
      <c r="BP9" s="136" t="str">
        <f>'Assessment Issue Scoring'!F294</f>
        <v>Total BREEAM credits achieved</v>
      </c>
      <c r="BQ9" s="136" t="str">
        <f>'Assessment Issue Scoring'!F296</f>
        <v>Total contribution to overall building score</v>
      </c>
      <c r="BR9" s="136" t="e">
        <f>'Assessment Issue Scoring'!#REF!</f>
        <v>#REF!</v>
      </c>
      <c r="BS9" s="136" t="e">
        <f>'Assessment Issue Scoring'!#REF!</f>
        <v>#REF!</v>
      </c>
      <c r="BT9" s="136" t="str">
        <f>'Assessment Issue Scoring'!F314</f>
        <v>Total BREEAM credits achieved</v>
      </c>
      <c r="BU9" s="136" t="str">
        <f>'Assessment Issue Scoring'!F316</f>
        <v>Total contribution to overall building score</v>
      </c>
      <c r="BV9" s="136" t="str">
        <f>'Assessment Issue Scoring'!H311</f>
        <v>Safe access</v>
      </c>
      <c r="BW9" s="136" t="str">
        <f>'Assessment Issue Scoring'!H312</f>
        <v>Inclusive and accessible design</v>
      </c>
      <c r="BX9" s="125" t="str">
        <f>'Assessment Issue Scoring'!F423</f>
        <v>Total BREEAM credits achieved</v>
      </c>
      <c r="BY9" s="125" t="str">
        <f>'Assessment Issue Scoring'!F425</f>
        <v>Total contribution to overall building score</v>
      </c>
      <c r="BZ9" s="125" t="str">
        <f>'Assessment Issue Scoring'!F427</f>
        <v>Total BREEAM innovation credits achieved</v>
      </c>
      <c r="CA9" s="125" t="s">
        <v>1273</v>
      </c>
      <c r="CB9" s="125" t="str">
        <f>'Assessment Issue Scoring'!N420</f>
        <v>Is the building designed to be 'carbon negative' ?</v>
      </c>
      <c r="CC9" s="125" t="str">
        <f>'Assessment Issue Scoring'!B421</f>
        <v>If the building is defined as 'carbon negative' what is the total (modelled) renewable/carbon neutral energy generated and exported?</v>
      </c>
      <c r="CD9" s="125" t="s">
        <v>1274</v>
      </c>
      <c r="CE9" s="125" t="s">
        <v>1275</v>
      </c>
      <c r="CF9" s="125" t="str">
        <f>'Assessment Issue Scoring'!F404</f>
        <v>Notional building heating and cooling energy demand</v>
      </c>
      <c r="CG9" s="125" t="str">
        <f>'Assessment Issue Scoring'!F405</f>
        <v>Actual building heating and cooling energy demand</v>
      </c>
      <c r="CH9" s="125" t="str">
        <f>'Assessment Issue Scoring'!F406</f>
        <v>Notional building primary energy consumption</v>
      </c>
      <c r="CI9" s="125" t="str">
        <f>'Assessment Issue Scoring'!F407</f>
        <v>Actual building primary energy consumption</v>
      </c>
      <c r="CJ9" s="125" t="str">
        <f>'Assessment Issue Scoring'!F408</f>
        <v>Target emission rate (TER)</v>
      </c>
      <c r="CK9" s="125" t="str">
        <f>'Assessment Issue Scoring'!F409</f>
        <v>Building emission rate (BER)</v>
      </c>
      <c r="CL9" s="125" t="str">
        <f>'Assessment Issue Scoring'!F410</f>
        <v>Building emission rate improvement over TER</v>
      </c>
      <c r="CM9" s="125" t="str">
        <f>'Assessment Issue Scoring'!F411</f>
        <v>Heating &amp; cooling demand energy performance ratio (EPRDEM)</v>
      </c>
      <c r="CN9" s="125" t="str">
        <f>'Assessment Issue Scoring'!F412</f>
        <v>Primary consumption energy performance ratio (EPRPC)</v>
      </c>
      <c r="CO9" s="125" t="str">
        <f>'Assessment Issue Scoring'!F413</f>
        <v>CO2 Energy performance ratio (EPRCO2)</v>
      </c>
      <c r="CP9" s="136" t="str">
        <f>'Assessment Issue Scoring'!F414</f>
        <v>Overall building energy performance ratio (EPRNC)</v>
      </c>
      <c r="CQ9" s="125" t="s">
        <v>1276</v>
      </c>
      <c r="CR9" s="125" t="str">
        <f>'Assessment Details'!H92</f>
        <v>If SAP used, what proportion of the building's total floor area (GIA) does it apply to?</v>
      </c>
      <c r="CS9" s="125" t="str">
        <f>'Assessment Issue Scoring'!F404</f>
        <v>Notional building heating and cooling energy demand</v>
      </c>
      <c r="CT9" s="125" t="str">
        <f>'Assessment Issue Scoring'!F405</f>
        <v>Actual building heating and cooling energy demand</v>
      </c>
      <c r="CU9" s="125" t="str">
        <f>'Assessment Issue Scoring'!F406</f>
        <v>Notional building primary energy consumption</v>
      </c>
      <c r="CV9" s="125" t="str">
        <f>'Assessment Issue Scoring'!F407</f>
        <v>Actual building primary energy consumption</v>
      </c>
      <c r="CW9" s="125" t="str">
        <f>'Assessment Issue Scoring'!F408</f>
        <v>Target emission rate (TER)</v>
      </c>
      <c r="CX9" s="125" t="str">
        <f>'Assessment Issue Scoring'!F409</f>
        <v>Building emission rate (BER)</v>
      </c>
      <c r="CY9" s="125" t="str">
        <f>'Assessment Issue Scoring'!F410</f>
        <v>Building emission rate improvement over TER</v>
      </c>
      <c r="CZ9" s="125" t="str">
        <f>'Assessment Issue Scoring'!F411</f>
        <v>Heating &amp; cooling demand energy performance ratio (EPRDEM)</v>
      </c>
      <c r="DA9" s="125" t="str">
        <f>'Assessment Issue Scoring'!F412</f>
        <v>Primary consumption energy performance ratio (EPRPC)</v>
      </c>
      <c r="DB9" s="125" t="str">
        <f>'Assessment Issue Scoring'!F413</f>
        <v>CO2 Energy performance ratio (EPRCO2)</v>
      </c>
      <c r="DC9" s="136" t="str">
        <f>'Assessment Issue Scoring'!F414</f>
        <v>Overall building energy performance ratio (EPRNC)</v>
      </c>
      <c r="DD9" s="125" t="s">
        <v>1277</v>
      </c>
      <c r="DE9" s="125" t="str">
        <f>'Assessment Issue Scoring'!F443</f>
        <v>Total BREEAM credits achieved</v>
      </c>
      <c r="DF9" s="125" t="str">
        <f>'Assessment Issue Scoring'!F445</f>
        <v>Total contribution to overall building score</v>
      </c>
      <c r="DG9" s="125" t="str">
        <f>'Assessment Issue Scoring'!H440</f>
        <v>Sub-metering of major energy consuming systems</v>
      </c>
      <c r="DH9" s="125" t="str">
        <f>'Assessment Issue Scoring'!H441</f>
        <v>Sub-metering of high energy load and tenancy areas</v>
      </c>
      <c r="DI9" s="125" t="str">
        <f>'Assessment Issue Scoring'!F483</f>
        <v>Total BREEAM credits achieved</v>
      </c>
      <c r="DJ9" s="125" t="str">
        <f>'Assessment Issue Scoring'!F485</f>
        <v>Total contribution to overall building score</v>
      </c>
      <c r="DK9" s="125" t="str">
        <f>'Assessment Issue Scoring'!H480</f>
        <v>External lighting specification</v>
      </c>
      <c r="DL9" s="125" t="str">
        <f>'Assessment Issue Scoring'!F513</f>
        <v>Total BREEAM credits achieved</v>
      </c>
      <c r="DM9" s="125" t="str">
        <f>'Assessment Issue Scoring'!F515</f>
        <v>Total contribution to overall building score</v>
      </c>
      <c r="DN9" s="125" t="str">
        <f>'Assessment Issue Scoring'!F517</f>
        <v>Total BREEAM innovation credits achieved</v>
      </c>
      <c r="DO9" s="125" t="s">
        <v>1278</v>
      </c>
      <c r="DP9" s="125" t="str">
        <f>'Assessment Issue Scoring'!H502</f>
        <v>Low and zero carbon technologies</v>
      </c>
      <c r="DQ9" s="125" t="s">
        <v>1279</v>
      </c>
      <c r="DR9" s="125" t="s">
        <v>1280</v>
      </c>
      <c r="DS9" s="125" t="s">
        <v>1281</v>
      </c>
      <c r="DT9" s="125" t="str">
        <f>'Assessment Issue Scoring'!H511</f>
        <v>Total on-site and/or near-site LZC energy generation</v>
      </c>
      <c r="DU9" s="125" t="str">
        <f>'Assessment Issue Scoring'!H505</f>
        <v>Percentage reduction in the building's CO2 emissions:</v>
      </c>
      <c r="DV9" s="125" t="s">
        <v>1282</v>
      </c>
      <c r="DW9" s="125" t="s">
        <v>1283</v>
      </c>
      <c r="DX9" s="125" t="str">
        <f>'Assessment Issue Scoring'!F535</f>
        <v>Total BREEAM credits achieved</v>
      </c>
      <c r="DY9" s="125" t="str">
        <f>'Assessment Issue Scoring'!F537</f>
        <v>Total contribution to overall building score</v>
      </c>
      <c r="DZ9" s="125" t="str">
        <f>'Assessment Issue Scoring'!F539</f>
        <v>Total BREEAM innovation credits achieved</v>
      </c>
      <c r="EA9" s="125" t="str">
        <f>'Assessment Issue Scoring'!H531</f>
        <v>Energy efficient design, installation and commissioning:</v>
      </c>
      <c r="EB9" s="125" t="str">
        <f>'Assessment Issue Scoring'!H533</f>
        <v>Indirect greenhouse gas emissions</v>
      </c>
      <c r="EC9" s="125" t="e">
        <f>'Assessment Issue Scoring'!#REF!</f>
        <v>#REF!</v>
      </c>
      <c r="ED9" s="125" t="str">
        <f>'Assessment Issue Scoring'!F555</f>
        <v>Total BREEAM credits achieved</v>
      </c>
      <c r="EE9" s="125" t="str">
        <f>'Assessment Issue Scoring'!F557</f>
        <v>Total contribution to overall building score</v>
      </c>
      <c r="EF9" s="125" t="str">
        <f>'Assessment Issue Scoring'!H552</f>
        <v>Energy consumption</v>
      </c>
      <c r="EG9" s="125" t="e">
        <f>'Assessment Issue Scoring'!#REF!</f>
        <v>#REF!</v>
      </c>
      <c r="EH9" s="125" t="str">
        <f>'Assessment Issue Scoring'!F588</f>
        <v>Total BREEAM credits achieved</v>
      </c>
      <c r="EI9" s="125" t="str">
        <f>'Assessment Issue Scoring'!F590</f>
        <v>Total contribution to overall building score</v>
      </c>
      <c r="EJ9" s="125" t="str">
        <f>'Assessment Issue Scoring'!H573</f>
        <v xml:space="preserve">Design specification </v>
      </c>
      <c r="EK9" s="125" t="str">
        <f>'Assessment Issue Scoring'!H575</f>
        <v>Best Practice Energy Practices in Laboratories (table 27)</v>
      </c>
      <c r="EL9" s="125" t="str">
        <f>'Assessment Issue Scoring'!H576</f>
        <v>Item b) Fan power</v>
      </c>
      <c r="EM9" s="125" t="str">
        <f>'Assessment Issue Scoring'!H577</f>
        <v>Item c) Fume cupboard volume flow rates</v>
      </c>
      <c r="EN9" s="125" t="str">
        <f>'Assessment Issue Scoring'!H578</f>
        <v xml:space="preserve">Item d) Grouping / isolation of high filtration/ventilation activities </v>
      </c>
      <c r="EO9" s="125" t="str">
        <f>'Assessment Issue Scoring'!H579</f>
        <v xml:space="preserve">Item e) Energy recovery - heat </v>
      </c>
      <c r="EP9" s="125" t="str">
        <f>'Assessment Issue Scoring'!H580</f>
        <v>Item f) Energy recovery - cooling</v>
      </c>
      <c r="EQ9" s="125" t="str">
        <f>'Assessment Issue Scoring'!H581</f>
        <v xml:space="preserve">Item g) Grouping of cooling loads </v>
      </c>
      <c r="ER9" s="125" t="str">
        <f>'Assessment Issue Scoring'!H582</f>
        <v>Item h) Free cooling</v>
      </c>
      <c r="ES9" s="125" t="str">
        <f>'Assessment Issue Scoring'!H583</f>
        <v>Item i) Load responsiveness</v>
      </c>
      <c r="ET9" s="125" t="str">
        <f>'Assessment Issue Scoring'!H584</f>
        <v>Item j) Cleanrooms</v>
      </c>
      <c r="EU9" s="125" t="str">
        <f>'Assessment Issue Scoring'!H585</f>
        <v>Item k) Diversity</v>
      </c>
      <c r="EV9" s="125" t="str">
        <f>'Assessment Issue Scoring'!H586</f>
        <v>Item l) Room air-change rates</v>
      </c>
      <c r="EW9" s="125" t="str">
        <f>'Assessment Issue Scoring'!F618</f>
        <v>Total BREEAM credits achieved</v>
      </c>
      <c r="EX9" s="125" t="str">
        <f>'Assessment Issue Scoring'!F620</f>
        <v>Total contribution to overall building score</v>
      </c>
      <c r="EY9" s="125" t="str">
        <f>'Assessment Issue Scoring'!H616</f>
        <v>Significant majority contributors BREEAM compliant</v>
      </c>
      <c r="EZ9" s="125" t="str">
        <f>'Assessment Issue Scoring'!H606</f>
        <v>Ref A Small power and plug in equipment</v>
      </c>
      <c r="FA9" s="125" t="str">
        <f>'Assessment Issue Scoring'!H607</f>
        <v>Ref B Swimming pool</v>
      </c>
      <c r="FB9" s="125" t="str">
        <f>'Assessment Issue Scoring'!H608</f>
        <v>Ref C Communal laundry</v>
      </c>
      <c r="FC9" s="125" t="str">
        <f>'Assessment Issue Scoring'!H609</f>
        <v>Ref D Data centre</v>
      </c>
      <c r="FD9" s="125" t="str">
        <f>'Assessment Issue Scoring'!H610</f>
        <v>Ref E IT-intensive operating areas</v>
      </c>
      <c r="FE9" s="125" t="str">
        <f>'Assessment Issue Scoring'!H611</f>
        <v>Ref F Residential areas</v>
      </c>
      <c r="FF9" s="125" t="str">
        <f>'Assessment Issue Scoring'!H612</f>
        <v>Ref G Healthcare</v>
      </c>
      <c r="FG9" s="125" t="str">
        <f>'Assessment Issue Scoring'!H613</f>
        <v>Ref G Kitchen and catering facilities</v>
      </c>
      <c r="FH9" s="125" t="str">
        <f>'Assessment Issue Scoring'!H606</f>
        <v>Ref A Small power and plug in equipment</v>
      </c>
      <c r="FI9" s="125" t="str">
        <f>'Assessment Issue Scoring'!H607</f>
        <v>Ref B Swimming pool</v>
      </c>
      <c r="FJ9" s="125" t="str">
        <f>'Assessment Issue Scoring'!H608</f>
        <v>Ref C Communal laundry</v>
      </c>
      <c r="FK9" s="125" t="str">
        <f>'Assessment Issue Scoring'!H609</f>
        <v>Ref D Data centre</v>
      </c>
      <c r="FL9" s="125" t="str">
        <f>'Assessment Issue Scoring'!H610</f>
        <v>Ref E IT-intensive operating areas</v>
      </c>
      <c r="FM9" s="125" t="str">
        <f>'Assessment Issue Scoring'!H611</f>
        <v>Ref F Residential areas</v>
      </c>
      <c r="FN9" s="125" t="str">
        <f>'Assessment Issue Scoring'!H612</f>
        <v>Ref G Healthcare</v>
      </c>
      <c r="FO9" s="125" t="str">
        <f>'Assessment Issue Scoring'!H613</f>
        <v>Ref G Kitchen and catering facilities</v>
      </c>
      <c r="FP9" s="125" t="str">
        <f>'Assessment Issue Scoring'!F638</f>
        <v>Total BREEAM credits achieved</v>
      </c>
      <c r="FQ9" s="125" t="str">
        <f>'Assessment Issue Scoring'!F640</f>
        <v>Total contribution to overall building score</v>
      </c>
      <c r="FR9" s="125" t="str">
        <f>'Assessment Issue Scoring'!H635</f>
        <v>Is there a risk of ligature for residents?</v>
      </c>
      <c r="FS9" s="125" t="str">
        <f>'Assessment Issue Scoring'!F663</f>
        <v>Total BREEAM credits achieved</v>
      </c>
      <c r="FT9" s="125" t="str">
        <f>'Assessment Issue Scoring'!F665</f>
        <v>Total contribution to overall building score</v>
      </c>
      <c r="FU9" s="125" t="str">
        <f>'Assessment Issue Scoring'!H657</f>
        <v>Building type category (for purpose of Tra01 issue assessment)</v>
      </c>
      <c r="FV9" s="125" t="str">
        <f>'Assessment Issue Scoring'!H660</f>
        <v>Public transport accessibility index</v>
      </c>
      <c r="FW9" s="125" t="str">
        <f>'Assessment Issue Scoring'!H660</f>
        <v>Public transport accessibility index</v>
      </c>
      <c r="FX9" s="125" t="str">
        <f>'Assessment Issue Scoring'!H661</f>
        <v>Building dedicated bus service</v>
      </c>
      <c r="FY9" s="125" t="str">
        <f>'Assessment Issue Scoring'!H661</f>
        <v>Building dedicated bus service</v>
      </c>
      <c r="FZ9" s="125" t="str">
        <f>'Assessment Issue Scoring'!F682</f>
        <v>Total BREEAM credits achieved</v>
      </c>
      <c r="GA9" s="125" t="str">
        <f>'Assessment Issue Scoring'!F684</f>
        <v>Total contribution to overall building score</v>
      </c>
      <c r="GB9" s="125" t="str">
        <f>'Assessment Issue Scoring'!H680</f>
        <v>Close proximity and accessible to applicable amenities</v>
      </c>
      <c r="GC9" s="125" t="str">
        <f>'Assessment Issue Scoring'!F709</f>
        <v>Total BREEAM credits achieved</v>
      </c>
      <c r="GD9" s="125" t="str">
        <f>'Assessment Issue Scoring'!F711</f>
        <v>Total contribution to overall building score</v>
      </c>
      <c r="GE9" s="125" t="str">
        <f>'Assessment Issue Scoring'!H698</f>
        <v>Building type category (for purpose of Tra03 issue assessment)</v>
      </c>
      <c r="GF9" s="125" t="str">
        <f>'Assessment Issue Scoring'!H702</f>
        <v>Number of compliant cycle storage spaces provided</v>
      </c>
      <c r="GG9" s="125" t="str">
        <f>'Assessment Issue Scoring'!H705</f>
        <v xml:space="preserve">Cyclist facilities provided </v>
      </c>
      <c r="GH9" s="125" t="e">
        <f>'Assessment Issue Scoring'!#REF!</f>
        <v>#REF!</v>
      </c>
      <c r="GI9" s="125" t="e">
        <f>'Assessment Issue Scoring'!#REF!</f>
        <v>#REF!</v>
      </c>
      <c r="GJ9" s="136" t="str">
        <f>'Assessment Issue Scoring'!F759</f>
        <v>Total BREEAM credits achieved</v>
      </c>
      <c r="GK9" s="136" t="str">
        <f>'Assessment Issue Scoring'!F761</f>
        <v>Total contribution to overall building score</v>
      </c>
      <c r="GL9" s="136" t="str">
        <f>'Assessment Issue Scoring'!H757</f>
        <v>Maximum parking capacity</v>
      </c>
      <c r="GM9" s="125" t="str">
        <f>'Assessment Issue Scoring'!F778</f>
        <v>Total BREEAM credits achieved</v>
      </c>
      <c r="GN9" s="125" t="str">
        <f>'Assessment Issue Scoring'!F780</f>
        <v>Total contribution to overall building score</v>
      </c>
      <c r="GO9" s="125" t="str">
        <f>'Assessment Issue Scoring'!H776</f>
        <v>Transport plan based on site specific travel survey/assessment</v>
      </c>
      <c r="GP9" s="125" t="str">
        <f>'Assessment Issue Scoring'!F836</f>
        <v>Total BREEAM credits achieved</v>
      </c>
      <c r="GQ9" s="125" t="str">
        <f>'Assessment Issue Scoring'!F838</f>
        <v>Total contribution to overall building score</v>
      </c>
      <c r="GR9" s="125" t="str">
        <f>'Assessment Issue Scoring'!F840</f>
        <v>Total BREEAM innovation credits achieved</v>
      </c>
      <c r="GS9" s="125" t="s">
        <v>1284</v>
      </c>
      <c r="GT9" s="125" t="str">
        <f>'Assessment Issue Scoring'!H821</f>
        <v xml:space="preserve">Water Consumption from building micro-components </v>
      </c>
      <c r="GU9" s="125" t="str">
        <f>'Assessment Issue Scoring'!H822</f>
        <v>Water demand met via greywater/rainwater sources</v>
      </c>
      <c r="GV9" s="125" t="str">
        <f>'Assessment Issue Scoring'!H823</f>
        <v>Total net water consumption</v>
      </c>
      <c r="GW9" s="125" t="str">
        <f>'Assessment Issue Scoring'!H824</f>
        <v>Improvement on baseline performance</v>
      </c>
      <c r="GX9" s="125" t="str">
        <f>'Assessment Issue Scoring'!H827</f>
        <v xml:space="preserve">Total net Water Consumption </v>
      </c>
      <c r="GY9" s="125" t="str">
        <f>'Assessment Issue Scoring'!H828</f>
        <v>Default building occupancy</v>
      </c>
      <c r="GZ9" s="125" t="str">
        <f>'Assessment Issue Scoring'!H832</f>
        <v xml:space="preserve">Overall microcomponent performance level achieved </v>
      </c>
      <c r="HA9" s="125">
        <f>'Assessment Issue Scoring'!H833</f>
        <v>0</v>
      </c>
      <c r="HB9" s="125" t="str">
        <f>'Assessment Issue Scoring'!F858</f>
        <v>Total BREEAM credits achieved</v>
      </c>
      <c r="HC9" s="125" t="str">
        <f>'Assessment Issue Scoring'!F860</f>
        <v>Total contribution to overall building score</v>
      </c>
      <c r="HD9" s="125" t="str">
        <f>'Assessment Issue Scoring'!H853</f>
        <v>Water meter on the mains water supply to the building(s)</v>
      </c>
      <c r="HE9" s="125" t="str">
        <f>'Assessment Issue Scoring'!H854</f>
        <v>Metering/monitoring equipment on supply to plant/building areas</v>
      </c>
      <c r="HF9" s="125" t="str">
        <f>'Assessment Issue Scoring'!H855</f>
        <v>Pulsed output or other open protocol communication output</v>
      </c>
      <c r="HG9" s="125" t="str">
        <f>'Assessment Issue Scoring'!H856</f>
        <v>Existing BMS connection</v>
      </c>
      <c r="HH9" s="125" t="str">
        <f>'Assessment Issue Scoring'!F879</f>
        <v>Total BREEAM credits achieved</v>
      </c>
      <c r="HI9" s="125" t="str">
        <f>'Assessment Issue Scoring'!F881</f>
        <v>Total contribution to overall building score</v>
      </c>
      <c r="HJ9" s="125" t="str">
        <f>'Assessment Issue Scoring'!H875</f>
        <v>Leak detection on building's mains water supply</v>
      </c>
      <c r="HK9" s="125" t="str">
        <f>'Assessment Issue Scoring'!H877</f>
        <v>Leak isolation</v>
      </c>
      <c r="HL9" s="125" t="str">
        <f>'Assessment Issue Scoring'!F900</f>
        <v>Total BREEAM credits achieved</v>
      </c>
      <c r="HM9" s="125" t="str">
        <f>'Assessment Issue Scoring'!F902</f>
        <v>Total contribution to overall building score</v>
      </c>
      <c r="HN9" s="125" t="str">
        <f>'Assessment Issue Scoring'!H898</f>
        <v>Has a meaningful reduction in unregulated water demand been achieved?</v>
      </c>
    </row>
    <row r="10" spans="1:222" ht="30" customHeight="1" x14ac:dyDescent="0.25">
      <c r="A10" s="136" t="s">
        <v>1285</v>
      </c>
      <c r="B10" s="136" t="s">
        <v>231</v>
      </c>
      <c r="C10" s="136" t="s">
        <v>1285</v>
      </c>
      <c r="D10" s="136" t="s">
        <v>1285</v>
      </c>
      <c r="E10" s="136" t="s">
        <v>1285</v>
      </c>
      <c r="F10" s="136" t="s">
        <v>1285</v>
      </c>
      <c r="G10" s="136" t="s">
        <v>1285</v>
      </c>
      <c r="H10" s="136"/>
      <c r="I10" s="136"/>
      <c r="J10" s="136"/>
      <c r="K10" s="136"/>
      <c r="L10" s="136"/>
      <c r="M10" s="136" t="s">
        <v>1285</v>
      </c>
      <c r="N10" s="136" t="s">
        <v>1285</v>
      </c>
      <c r="O10" s="136" t="s">
        <v>231</v>
      </c>
      <c r="P10" s="136" t="s">
        <v>1266</v>
      </c>
      <c r="Q10" s="136" t="s">
        <v>1266</v>
      </c>
      <c r="R10" s="136" t="s">
        <v>1266</v>
      </c>
      <c r="S10" s="136" t="str">
        <f>'Assessment Issue Scoring'!L51</f>
        <v>SEK/m2</v>
      </c>
      <c r="T10" s="136" t="s">
        <v>1285</v>
      </c>
      <c r="U10" s="136" t="s">
        <v>231</v>
      </c>
      <c r="V10" s="136" t="s">
        <v>1285</v>
      </c>
      <c r="W10" s="136" t="s">
        <v>1285</v>
      </c>
      <c r="X10" s="136" t="s">
        <v>1285</v>
      </c>
      <c r="Y10" s="136" t="s">
        <v>1285</v>
      </c>
      <c r="Z10" s="136" t="s">
        <v>1286</v>
      </c>
      <c r="AA10" s="136" t="s">
        <v>1286</v>
      </c>
      <c r="AB10" s="136" t="s">
        <v>1285</v>
      </c>
      <c r="AC10" s="136" t="s">
        <v>1285</v>
      </c>
      <c r="AD10" s="136" t="s">
        <v>231</v>
      </c>
      <c r="AE10" s="136" t="s">
        <v>1285</v>
      </c>
      <c r="AF10" s="136" t="s">
        <v>1285</v>
      </c>
      <c r="AG10" s="136" t="s">
        <v>1285</v>
      </c>
      <c r="AH10" s="136" t="s">
        <v>1285</v>
      </c>
      <c r="AI10" s="136" t="s">
        <v>1267</v>
      </c>
      <c r="AJ10" s="136" t="s">
        <v>231</v>
      </c>
      <c r="AK10" s="136" t="s">
        <v>1285</v>
      </c>
      <c r="AL10" s="136" t="s">
        <v>1285</v>
      </c>
      <c r="AM10" s="136" t="s">
        <v>1285</v>
      </c>
      <c r="AN10" s="136" t="s">
        <v>1285</v>
      </c>
      <c r="AO10" s="136" t="s">
        <v>231</v>
      </c>
      <c r="AP10" s="136" t="s">
        <v>1285</v>
      </c>
      <c r="AQ10" s="136" t="s">
        <v>1286</v>
      </c>
      <c r="AR10" s="136" t="s">
        <v>1285</v>
      </c>
      <c r="AS10" s="136" t="s">
        <v>1285</v>
      </c>
      <c r="AT10" s="136" t="s">
        <v>1285</v>
      </c>
      <c r="AU10" s="136" t="s">
        <v>1285</v>
      </c>
      <c r="AV10" s="136" t="s">
        <v>1285</v>
      </c>
      <c r="AW10" s="136" t="s">
        <v>1285</v>
      </c>
      <c r="AX10" s="136" t="s">
        <v>231</v>
      </c>
      <c r="AY10" s="136" t="s">
        <v>1285</v>
      </c>
      <c r="AZ10" s="136" t="s">
        <v>1285</v>
      </c>
      <c r="BA10" s="136" t="s">
        <v>1285</v>
      </c>
      <c r="BB10" s="136" t="s">
        <v>1285</v>
      </c>
      <c r="BC10" s="136" t="s">
        <v>1285</v>
      </c>
      <c r="BD10" s="136" t="s">
        <v>1285</v>
      </c>
      <c r="BE10" s="136" t="s">
        <v>1285</v>
      </c>
      <c r="BF10" s="136" t="s">
        <v>231</v>
      </c>
      <c r="BG10" s="136" t="s">
        <v>1285</v>
      </c>
      <c r="BH10" s="136" t="s">
        <v>1285</v>
      </c>
      <c r="BI10" s="136" t="s">
        <v>1285</v>
      </c>
      <c r="BJ10" s="136" t="s">
        <v>231</v>
      </c>
      <c r="BK10" s="136" t="s">
        <v>1286</v>
      </c>
      <c r="BL10" s="136" t="s">
        <v>1286</v>
      </c>
      <c r="BM10" s="136" t="s">
        <v>1285</v>
      </c>
      <c r="BN10" s="136" t="s">
        <v>1287</v>
      </c>
      <c r="BO10" s="136" t="s">
        <v>231</v>
      </c>
      <c r="BP10" s="136" t="s">
        <v>1285</v>
      </c>
      <c r="BQ10" s="136" t="s">
        <v>231</v>
      </c>
      <c r="BR10" s="136" t="s">
        <v>1286</v>
      </c>
      <c r="BS10" s="136" t="s">
        <v>1285</v>
      </c>
      <c r="BT10" s="136" t="s">
        <v>1285</v>
      </c>
      <c r="BU10" s="136" t="s">
        <v>231</v>
      </c>
      <c r="BV10" s="136" t="s">
        <v>1285</v>
      </c>
      <c r="BW10" s="136" t="s">
        <v>1285</v>
      </c>
      <c r="BX10" s="136" t="s">
        <v>1285</v>
      </c>
      <c r="BY10" s="136" t="s">
        <v>231</v>
      </c>
      <c r="BZ10" s="136" t="s">
        <v>1285</v>
      </c>
      <c r="CA10" s="136" t="s">
        <v>231</v>
      </c>
      <c r="CB10" s="136" t="s">
        <v>1266</v>
      </c>
      <c r="CC10" s="136" t="s">
        <v>204</v>
      </c>
      <c r="CD10" s="136" t="s">
        <v>1266</v>
      </c>
      <c r="CE10" s="136" t="s">
        <v>231</v>
      </c>
      <c r="CF10" s="136" t="s">
        <v>1288</v>
      </c>
      <c r="CG10" s="136" t="s">
        <v>1288</v>
      </c>
      <c r="CH10" s="136" t="s">
        <v>1289</v>
      </c>
      <c r="CI10" s="136" t="s">
        <v>1289</v>
      </c>
      <c r="CJ10" s="136" t="s">
        <v>1290</v>
      </c>
      <c r="CK10" s="136" t="s">
        <v>1290</v>
      </c>
      <c r="CL10" s="136" t="s">
        <v>231</v>
      </c>
      <c r="CM10" s="136" t="s">
        <v>1291</v>
      </c>
      <c r="CN10" s="136" t="s">
        <v>1291</v>
      </c>
      <c r="CO10" s="136" t="s">
        <v>1291</v>
      </c>
      <c r="CP10" s="136" t="s">
        <v>1291</v>
      </c>
      <c r="CQ10" s="136" t="s">
        <v>1285</v>
      </c>
      <c r="CR10" s="136" t="s">
        <v>231</v>
      </c>
      <c r="CS10" s="136" t="s">
        <v>1288</v>
      </c>
      <c r="CT10" s="136" t="s">
        <v>1288</v>
      </c>
      <c r="CU10" s="136" t="s">
        <v>1289</v>
      </c>
      <c r="CV10" s="136" t="s">
        <v>1289</v>
      </c>
      <c r="CW10" s="136" t="s">
        <v>1290</v>
      </c>
      <c r="CX10" s="136" t="s">
        <v>1290</v>
      </c>
      <c r="CY10" s="136" t="s">
        <v>231</v>
      </c>
      <c r="CZ10" s="136" t="s">
        <v>1291</v>
      </c>
      <c r="DA10" s="136" t="s">
        <v>1291</v>
      </c>
      <c r="DB10" s="136" t="s">
        <v>1291</v>
      </c>
      <c r="DC10" s="136" t="s">
        <v>1291</v>
      </c>
      <c r="DD10" s="136" t="s">
        <v>1285</v>
      </c>
      <c r="DE10" s="136" t="s">
        <v>1285</v>
      </c>
      <c r="DF10" s="136" t="s">
        <v>231</v>
      </c>
      <c r="DG10" s="136" t="s">
        <v>1285</v>
      </c>
      <c r="DH10" s="136" t="s">
        <v>1285</v>
      </c>
      <c r="DI10" s="136" t="s">
        <v>1285</v>
      </c>
      <c r="DJ10" s="136" t="s">
        <v>231</v>
      </c>
      <c r="DK10" s="136" t="s">
        <v>1285</v>
      </c>
      <c r="DL10" s="136" t="s">
        <v>1285</v>
      </c>
      <c r="DM10" s="136" t="s">
        <v>231</v>
      </c>
      <c r="DN10" s="136" t="s">
        <v>1285</v>
      </c>
      <c r="DO10" s="136" t="s">
        <v>1266</v>
      </c>
      <c r="DP10" s="136" t="s">
        <v>1266</v>
      </c>
      <c r="DQ10" s="136" t="s">
        <v>1285</v>
      </c>
      <c r="DR10" s="136" t="s">
        <v>231</v>
      </c>
      <c r="DS10" s="136" t="s">
        <v>1285</v>
      </c>
      <c r="DT10" s="136" t="str">
        <f>Ene04_23</f>
        <v>kWh/yr</v>
      </c>
      <c r="DU10" s="136" t="s">
        <v>1266</v>
      </c>
      <c r="DV10" s="136" t="s">
        <v>1266</v>
      </c>
      <c r="DW10" s="136" t="s">
        <v>1285</v>
      </c>
      <c r="DX10" s="136" t="s">
        <v>1285</v>
      </c>
      <c r="DY10" s="136" t="s">
        <v>231</v>
      </c>
      <c r="DZ10" s="136" t="s">
        <v>1285</v>
      </c>
      <c r="EA10" s="136" t="s">
        <v>1285</v>
      </c>
      <c r="EB10" s="136" t="s">
        <v>1285</v>
      </c>
      <c r="EC10" s="136" t="s">
        <v>1285</v>
      </c>
      <c r="ED10" s="136" t="s">
        <v>1285</v>
      </c>
      <c r="EE10" s="136" t="s">
        <v>231</v>
      </c>
      <c r="EF10" s="136" t="s">
        <v>1285</v>
      </c>
      <c r="EG10" s="136" t="s">
        <v>1285</v>
      </c>
      <c r="EH10" s="136" t="s">
        <v>1285</v>
      </c>
      <c r="EI10" s="136" t="s">
        <v>231</v>
      </c>
      <c r="EJ10" s="136" t="s">
        <v>1285</v>
      </c>
      <c r="EK10" s="136" t="s">
        <v>1285</v>
      </c>
      <c r="EL10" s="136" t="s">
        <v>1286</v>
      </c>
      <c r="EM10" s="136" t="s">
        <v>1286</v>
      </c>
      <c r="EN10" s="136" t="s">
        <v>1286</v>
      </c>
      <c r="EO10" s="136" t="s">
        <v>1286</v>
      </c>
      <c r="EP10" s="136" t="s">
        <v>1286</v>
      </c>
      <c r="EQ10" s="136" t="s">
        <v>1286</v>
      </c>
      <c r="ER10" s="136" t="s">
        <v>1286</v>
      </c>
      <c r="ES10" s="136" t="s">
        <v>1286</v>
      </c>
      <c r="ET10" s="136" t="s">
        <v>1286</v>
      </c>
      <c r="EU10" s="136" t="s">
        <v>1286</v>
      </c>
      <c r="EV10" s="136" t="s">
        <v>1286</v>
      </c>
      <c r="EW10" s="136" t="s">
        <v>1285</v>
      </c>
      <c r="EX10" s="136" t="s">
        <v>1285</v>
      </c>
      <c r="EY10" s="136" t="s">
        <v>1285</v>
      </c>
      <c r="EZ10" s="136" t="s">
        <v>1292</v>
      </c>
      <c r="FA10" s="136" t="s">
        <v>1292</v>
      </c>
      <c r="FB10" s="136" t="s">
        <v>1292</v>
      </c>
      <c r="FC10" s="136" t="s">
        <v>1292</v>
      </c>
      <c r="FD10" s="136" t="s">
        <v>1292</v>
      </c>
      <c r="FE10" s="136" t="s">
        <v>1292</v>
      </c>
      <c r="FF10" s="136" t="s">
        <v>1292</v>
      </c>
      <c r="FG10" s="136" t="s">
        <v>1292</v>
      </c>
      <c r="FH10" s="136" t="s">
        <v>1293</v>
      </c>
      <c r="FI10" s="136" t="s">
        <v>1293</v>
      </c>
      <c r="FJ10" s="136" t="s">
        <v>1293</v>
      </c>
      <c r="FK10" s="136" t="s">
        <v>1293</v>
      </c>
      <c r="FL10" s="136" t="s">
        <v>1293</v>
      </c>
      <c r="FM10" s="136" t="s">
        <v>1293</v>
      </c>
      <c r="FN10" s="136" t="s">
        <v>1293</v>
      </c>
      <c r="FO10" s="136" t="s">
        <v>1293</v>
      </c>
      <c r="FP10" s="136" t="s">
        <v>1285</v>
      </c>
      <c r="FQ10" s="136" t="s">
        <v>231</v>
      </c>
      <c r="FR10" s="136" t="s">
        <v>1286</v>
      </c>
      <c r="FS10" s="136" t="s">
        <v>1285</v>
      </c>
      <c r="FT10" s="136" t="s">
        <v>231</v>
      </c>
      <c r="FU10" s="136" t="s">
        <v>1266</v>
      </c>
      <c r="FV10" s="136" t="s">
        <v>1294</v>
      </c>
      <c r="FW10" s="136" t="s">
        <v>1285</v>
      </c>
      <c r="FX10" s="136" t="s">
        <v>1286</v>
      </c>
      <c r="FY10" s="136" t="s">
        <v>1285</v>
      </c>
      <c r="FZ10" s="136" t="s">
        <v>1285</v>
      </c>
      <c r="GA10" s="136" t="s">
        <v>231</v>
      </c>
      <c r="GB10" s="136" t="s">
        <v>1286</v>
      </c>
      <c r="GC10" s="136" t="s">
        <v>1285</v>
      </c>
      <c r="GD10" s="136" t="s">
        <v>231</v>
      </c>
      <c r="GE10" s="136" t="s">
        <v>1295</v>
      </c>
      <c r="GF10" s="136" t="s">
        <v>1267</v>
      </c>
      <c r="GG10" s="136" t="s">
        <v>1295</v>
      </c>
      <c r="GH10" s="136" t="s">
        <v>1286</v>
      </c>
      <c r="GI10" s="136" t="s">
        <v>1286</v>
      </c>
      <c r="GJ10" s="136" t="s">
        <v>1285</v>
      </c>
      <c r="GK10" s="136" t="s">
        <v>231</v>
      </c>
      <c r="GL10" s="136" t="s">
        <v>1285</v>
      </c>
      <c r="GM10" s="136" t="s">
        <v>1285</v>
      </c>
      <c r="GN10" s="136" t="s">
        <v>231</v>
      </c>
      <c r="GO10" s="136" t="s">
        <v>1285</v>
      </c>
      <c r="GP10" s="136" t="s">
        <v>1285</v>
      </c>
      <c r="GQ10" s="136" t="s">
        <v>231</v>
      </c>
      <c r="GR10" s="136" t="s">
        <v>1285</v>
      </c>
      <c r="GS10" s="136" t="s">
        <v>1266</v>
      </c>
      <c r="GT10" s="136" t="str">
        <f>IF(Wat01_01=AIS_option10,AIS_NA,'Assessment Issue Scoring'!L821)</f>
        <v>L/person/day</v>
      </c>
      <c r="GU10" s="136" t="str">
        <f>IF(Wat01_01=AIS_option10,AIS_NA,'Assessment Issue Scoring'!L822)</f>
        <v>L/person/day</v>
      </c>
      <c r="GV10" s="136" t="str">
        <f>IF(Wat01_01=AIS_option10,AIS_NA,'Assessment Issue Scoring'!L823)</f>
        <v>L/person/day</v>
      </c>
      <c r="GW10" s="136" t="str">
        <f>IF(Wat01_01=AIS_option10,AIS_NA,'Assessment Issue Scoring'!L824)</f>
        <v>%</v>
      </c>
      <c r="GX10" s="136" t="str">
        <f>IF(Wat01_01=AIS_option10,AIS_NA,'Assessment Issue Scoring'!L827)</f>
        <v>m3/person/yr</v>
      </c>
      <c r="GY10" s="136" t="str">
        <f>IF(Wat01_01=AIS_option10,AIS_NA,"No. (people)")</f>
        <v>No. (people)</v>
      </c>
      <c r="GZ10" s="136" t="s">
        <v>1266</v>
      </c>
      <c r="HA10" s="136" t="s">
        <v>231</v>
      </c>
      <c r="HB10" s="136" t="s">
        <v>1285</v>
      </c>
      <c r="HC10" s="136" t="s">
        <v>231</v>
      </c>
      <c r="HD10" s="136" t="s">
        <v>1286</v>
      </c>
      <c r="HE10" s="136" t="s">
        <v>1286</v>
      </c>
      <c r="HF10" s="136" t="s">
        <v>1286</v>
      </c>
      <c r="HG10" s="136" t="s">
        <v>1286</v>
      </c>
      <c r="HH10" s="136" t="s">
        <v>1285</v>
      </c>
      <c r="HI10" s="136" t="s">
        <v>231</v>
      </c>
      <c r="HJ10" s="136" t="s">
        <v>1285</v>
      </c>
      <c r="HK10" s="136" t="s">
        <v>1285</v>
      </c>
      <c r="HL10" s="136" t="s">
        <v>1285</v>
      </c>
      <c r="HM10" s="136" t="s">
        <v>231</v>
      </c>
      <c r="HN10" s="136" t="s">
        <v>1285</v>
      </c>
    </row>
    <row r="11" spans="1:222" ht="39.950000000000003" customHeight="1" x14ac:dyDescent="0.25">
      <c r="A11" s="111">
        <f>Man01_Tot</f>
        <v>0</v>
      </c>
      <c r="B11" s="113">
        <f>Man01_39</f>
        <v>0</v>
      </c>
      <c r="C11" s="111">
        <f>Man01_Exemp</f>
        <v>0</v>
      </c>
      <c r="D11" s="111">
        <f>Man01_19</f>
        <v>0</v>
      </c>
      <c r="E11" s="111">
        <f>Man01_20</f>
        <v>0</v>
      </c>
      <c r="F11" s="111">
        <f>Man01_21</f>
        <v>0</v>
      </c>
      <c r="G11" s="111">
        <f>Man01_22</f>
        <v>0</v>
      </c>
      <c r="H11" s="111"/>
      <c r="I11" s="111"/>
      <c r="J11" s="111"/>
      <c r="K11" s="111"/>
      <c r="L11" s="111"/>
      <c r="M11" s="111">
        <f>Man02_Tot</f>
        <v>0</v>
      </c>
      <c r="N11" s="111">
        <f>Man02_Exemp</f>
        <v>0</v>
      </c>
      <c r="O11" s="113">
        <f>Man02_12</f>
        <v>0</v>
      </c>
      <c r="P11" s="111">
        <f>Man02_01</f>
        <v>0</v>
      </c>
      <c r="Q11" s="111">
        <f>Man02_14</f>
        <v>0</v>
      </c>
      <c r="R11" s="111">
        <f>Man02_15</f>
        <v>0</v>
      </c>
      <c r="S11" s="111">
        <f>Man02_16</f>
        <v>0</v>
      </c>
      <c r="T11" s="111">
        <f>Man03_Tot</f>
        <v>0</v>
      </c>
      <c r="U11" s="113">
        <f>Man03_18</f>
        <v>0</v>
      </c>
      <c r="V11" s="111">
        <f>Man03_13</f>
        <v>0</v>
      </c>
      <c r="W11" s="111">
        <f>Man03_14</f>
        <v>0</v>
      </c>
      <c r="X11" s="111">
        <f>Man03_15</f>
        <v>0</v>
      </c>
      <c r="Y11" s="111">
        <f>Man03_16</f>
        <v>0</v>
      </c>
      <c r="Z11" s="111" t="e">
        <f>Man03_05</f>
        <v>#REF!</v>
      </c>
      <c r="AA11" s="111" t="e">
        <f>Man03_11</f>
        <v>#REF!</v>
      </c>
      <c r="AB11" s="111" t="e">
        <f>Man03_17</f>
        <v>#REF!</v>
      </c>
      <c r="AC11" s="111">
        <f>Man04_tot</f>
        <v>0</v>
      </c>
      <c r="AD11" s="113">
        <f>'Assessment Issue Scoring'!H127</f>
        <v>0</v>
      </c>
      <c r="AE11" s="111">
        <f>Man04_09</f>
        <v>0</v>
      </c>
      <c r="AF11" s="111">
        <f>Man04_10</f>
        <v>0</v>
      </c>
      <c r="AG11" s="111">
        <f>Man04_11</f>
        <v>0</v>
      </c>
      <c r="AH11" s="111">
        <f>Man04_12</f>
        <v>0</v>
      </c>
      <c r="AI11" s="111">
        <f>Man05_tot</f>
        <v>0</v>
      </c>
      <c r="AJ11" s="113">
        <f>'Assessment Issue Scoring'!H150</f>
        <v>0</v>
      </c>
      <c r="AK11" s="111">
        <f>Man05_07</f>
        <v>0</v>
      </c>
      <c r="AL11" s="111">
        <f>Man05_08</f>
        <v>0</v>
      </c>
      <c r="AM11" s="111">
        <f>Man05_09</f>
        <v>0</v>
      </c>
      <c r="AN11" s="111">
        <f>Hea01_tot</f>
        <v>0</v>
      </c>
      <c r="AO11" s="113">
        <f>Hea01_27</f>
        <v>0</v>
      </c>
      <c r="AP11" s="111" t="str">
        <f>Hea01_25</f>
        <v>N/A</v>
      </c>
      <c r="AQ11" s="111">
        <f>Hea01_01</f>
        <v>0</v>
      </c>
      <c r="AR11" s="111">
        <f>Hea01_13</f>
        <v>0</v>
      </c>
      <c r="AS11" s="111">
        <f>Hea01_14</f>
        <v>0</v>
      </c>
      <c r="AT11" s="111">
        <f>Hea01_15</f>
        <v>0</v>
      </c>
      <c r="AU11" s="111" t="e">
        <f>IF(Hea01_10=AIS_NA,AIS_NA,Hea01_16)</f>
        <v>#REF!</v>
      </c>
      <c r="AV11" s="111" t="e">
        <f>Hea01_17</f>
        <v>#REF!</v>
      </c>
      <c r="AW11" s="111">
        <f>Hea02_tot</f>
        <v>0</v>
      </c>
      <c r="AX11" s="113">
        <f>Hea02_26</f>
        <v>0</v>
      </c>
      <c r="AY11" s="111">
        <f>Hea02_13</f>
        <v>0</v>
      </c>
      <c r="AZ11" s="111">
        <f>Hea02_14</f>
        <v>0</v>
      </c>
      <c r="BA11" s="111">
        <f>Hea02_15</f>
        <v>0</v>
      </c>
      <c r="BB11" s="111">
        <f>Hea02_16</f>
        <v>0</v>
      </c>
      <c r="BC11" s="111">
        <f>Hea02_17</f>
        <v>0</v>
      </c>
      <c r="BD11" s="111" t="e">
        <f>Hea02_18</f>
        <v>#REF!</v>
      </c>
      <c r="BE11" s="111" t="str">
        <f>Hea03_tot</f>
        <v>N/A</v>
      </c>
      <c r="BF11" s="113" t="str">
        <f>'Assessment Issue Scoring'!H250</f>
        <v>N/A</v>
      </c>
      <c r="BG11" s="111">
        <f>Hea03_05</f>
        <v>0</v>
      </c>
      <c r="BH11" s="111">
        <f>Hea03_06</f>
        <v>0</v>
      </c>
      <c r="BI11" s="111">
        <f>Hea04_tot</f>
        <v>0</v>
      </c>
      <c r="BJ11" s="113">
        <f>Hea04_13</f>
        <v>0</v>
      </c>
      <c r="BK11" s="111">
        <f>Hea04_01</f>
        <v>0</v>
      </c>
      <c r="BL11" s="111">
        <f>Hea04_02</f>
        <v>0</v>
      </c>
      <c r="BM11" s="111">
        <f>Hea04_03a</f>
        <v>0</v>
      </c>
      <c r="BN11" s="111">
        <f>Hea04_15</f>
        <v>0</v>
      </c>
      <c r="BO11" s="111">
        <f>Hea04_16</f>
        <v>0</v>
      </c>
      <c r="BP11" s="111">
        <f>Hea05_tot</f>
        <v>2</v>
      </c>
      <c r="BQ11" s="113">
        <f>Hea05_08</f>
        <v>0</v>
      </c>
      <c r="BR11" s="111">
        <f>Hea05_01</f>
        <v>2</v>
      </c>
      <c r="BS11" s="111" t="e">
        <f ca="1">Hea05_06</f>
        <v>#REF!</v>
      </c>
      <c r="BT11" s="111">
        <f>Hea06_tot</f>
        <v>0</v>
      </c>
      <c r="BU11" s="113">
        <f>Hea07_08</f>
        <v>0</v>
      </c>
      <c r="BV11" s="111">
        <f>Hea06_05</f>
        <v>0</v>
      </c>
      <c r="BW11" s="111">
        <f>Hea06_06</f>
        <v>0</v>
      </c>
      <c r="BX11" s="111" t="e">
        <f>Ene01_tot</f>
        <v>#REF!</v>
      </c>
      <c r="BY11" s="113" t="e">
        <f>Ene01_42</f>
        <v>#N/A</v>
      </c>
      <c r="BZ11" s="111" t="str">
        <f>Ene01_27</f>
        <v>N/A</v>
      </c>
      <c r="CA11" s="113">
        <f>Ene01_36</f>
        <v>0</v>
      </c>
      <c r="CB11" s="111">
        <f>Ene01_37</f>
        <v>0</v>
      </c>
      <c r="CC11" s="111">
        <f>Ene01_40</f>
        <v>0</v>
      </c>
      <c r="CD11" s="111" t="str">
        <f>Ene01_80</f>
        <v>SBEM only</v>
      </c>
      <c r="CE11" s="113">
        <f>IF(CD11=Ene01_80,Ene01_67,AIS_NA)</f>
        <v>0</v>
      </c>
      <c r="CF11" s="111">
        <f>Ene01_02</f>
        <v>0</v>
      </c>
      <c r="CG11" s="111">
        <f>Ene01_03</f>
        <v>0</v>
      </c>
      <c r="CH11" s="111">
        <f>Ene01_04</f>
        <v>0</v>
      </c>
      <c r="CI11" s="111">
        <f>Ene01_05</f>
        <v>0</v>
      </c>
      <c r="CJ11" s="111">
        <f>Ene01_06</f>
        <v>0</v>
      </c>
      <c r="CK11" s="111">
        <f>Ene01_07</f>
        <v>0</v>
      </c>
      <c r="CL11" s="113" t="str">
        <f>Ene01_08</f>
        <v/>
      </c>
      <c r="CM11" s="111" t="str">
        <f>Ene01_33</f>
        <v/>
      </c>
      <c r="CN11" s="111" t="str">
        <f>Ene01_34</f>
        <v/>
      </c>
      <c r="CO11" s="111" t="str">
        <f>Ene01_35</f>
        <v/>
      </c>
      <c r="CP11" s="111" t="e">
        <f>Ene01_09</f>
        <v>#VALUE!</v>
      </c>
      <c r="CQ11" s="111">
        <f>IF(CD11=Ene01_80,Ene01_89,AIS_NA)</f>
        <v>0</v>
      </c>
      <c r="CR11" s="113" t="str">
        <f>IF(Ene01_80=AIS_statement90,AIS_NA,AD_MultiRes_option02)</f>
        <v>N/A</v>
      </c>
      <c r="CS11" s="112" t="str">
        <f>IF(Ene01_80=AIS_statement90,AIS_NA,Ene01_44)</f>
        <v>N/A</v>
      </c>
      <c r="CT11" s="112" t="str">
        <f>IF(Ene01_80=AIS_statement90,AIS_NA,Ene01_45)</f>
        <v>N/A</v>
      </c>
      <c r="CU11" s="112" t="str">
        <f>IF(Ene01_80=AIS_statement90,AIS_NA,Ene01_46)</f>
        <v>N/A</v>
      </c>
      <c r="CV11" s="112" t="str">
        <f>IF(Ene01_80=AIS_statement90,AIS_NA,Ene01_47)</f>
        <v>N/A</v>
      </c>
      <c r="CW11" s="112" t="str">
        <f>IF(Ene01_80=AIS_statement90,AIS_NA,Ene01_48)</f>
        <v>N/A</v>
      </c>
      <c r="CX11" s="112" t="str">
        <f>IF(Ene01_80=AIS_statement90,AIS_NA,Ene01_49)</f>
        <v>N/A</v>
      </c>
      <c r="CY11" s="113" t="str">
        <f>IF(Ene01_80=AIS_statement90,AIS_NA,Ene01_50)</f>
        <v>N/A</v>
      </c>
      <c r="CZ11" s="112" t="str">
        <f>IF(Ene01_80=AIS_statement90,AIS_NA,Ene01_51)</f>
        <v>N/A</v>
      </c>
      <c r="DA11" s="112" t="str">
        <f>IF(Ene01_80=AIS_statement90,AIS_NA,Ene01_52)</f>
        <v>N/A</v>
      </c>
      <c r="DB11" s="112" t="str">
        <f>IF(Ene01_80=AIS_statement90,AIS_NA,Ene01_53)</f>
        <v>N/A</v>
      </c>
      <c r="DC11" s="112" t="str">
        <f>IF(Ene01_80=AIS_statement90,AIS_NA,'Assessment Issue Scoring'!L414)</f>
        <v>N/A</v>
      </c>
      <c r="DD11" s="111">
        <f>IF(CD11=Ene01_80,Ene01_55,AIS_NA)</f>
        <v>0</v>
      </c>
      <c r="DE11" s="111">
        <f>Ene02_tot</f>
        <v>0</v>
      </c>
      <c r="DF11" s="113" t="e">
        <f>Ene02_13</f>
        <v>#N/A</v>
      </c>
      <c r="DG11" s="111">
        <f>Ene02_06</f>
        <v>0</v>
      </c>
      <c r="DH11" s="111">
        <f>Ene02_07</f>
        <v>0</v>
      </c>
      <c r="DI11" s="111">
        <f>Ene03_tot</f>
        <v>0</v>
      </c>
      <c r="DJ11" s="113" t="e">
        <f>Ene03_06</f>
        <v>#N/A</v>
      </c>
      <c r="DK11" s="111">
        <f>Ene03_03</f>
        <v>0</v>
      </c>
      <c r="DL11" s="111">
        <f>Ene04_tot</f>
        <v>0</v>
      </c>
      <c r="DM11" s="113">
        <f>Ene04_20</f>
        <v>0</v>
      </c>
      <c r="DN11" s="111">
        <f>Ene04_15</f>
        <v>0</v>
      </c>
      <c r="DO11" s="111" t="b">
        <f>IF(ENE04_01=AIS_option15,AIS_option15,IF(ENE04_01=AIS_option14,AIS_option14,IF(ENE04_01=AIS_option13,AIS_option13)))</f>
        <v>0</v>
      </c>
      <c r="DP11" s="111">
        <f>IF(OR(ENE04_01=AIS_option15,ENE04_01=AIS_option14),AIS_NA,ENE04_02)</f>
        <v>0</v>
      </c>
      <c r="DQ11" s="111">
        <f>Ene04_11</f>
        <v>0</v>
      </c>
      <c r="DR11" s="113">
        <f>ENE04_05</f>
        <v>0</v>
      </c>
      <c r="DS11" s="111" t="e">
        <f>Ene04_12</f>
        <v>#REF!</v>
      </c>
      <c r="DT11" s="111">
        <f>Ene04_KPI01</f>
        <v>0</v>
      </c>
      <c r="DU11" s="111">
        <f>ENE04_06</f>
        <v>0</v>
      </c>
      <c r="DV11" s="111">
        <f>Ene04_10</f>
        <v>0</v>
      </c>
      <c r="DW11" s="111" t="e">
        <f>Ene04_09</f>
        <v>#NAME?</v>
      </c>
      <c r="DX11" s="111">
        <f>Ene05_tot</f>
        <v>0</v>
      </c>
      <c r="DY11" s="113" t="e">
        <f>Ene05_21</f>
        <v>#N/A</v>
      </c>
      <c r="DZ11" s="111" t="str">
        <f>Ene05_14</f>
        <v>N/A</v>
      </c>
      <c r="EA11" s="111">
        <f>Ene05_07</f>
        <v>0</v>
      </c>
      <c r="EB11" s="111">
        <f>Ene05_08</f>
        <v>0</v>
      </c>
      <c r="EC11" s="111">
        <f>Ene05_09</f>
        <v>0</v>
      </c>
      <c r="ED11" s="111">
        <f>Ene06_tot</f>
        <v>0</v>
      </c>
      <c r="EE11" s="113" t="e">
        <f>Ene06_12</f>
        <v>#N/A</v>
      </c>
      <c r="EF11" s="111">
        <f>Ene06_05</f>
        <v>0</v>
      </c>
      <c r="EG11" s="111" t="e">
        <f>Ene06_06</f>
        <v>#NAME?</v>
      </c>
      <c r="EH11" s="111" t="str">
        <f>Ene07_tot</f>
        <v>N/A</v>
      </c>
      <c r="EI11" s="113" t="str">
        <f>Ene07_25</f>
        <v>N/A</v>
      </c>
      <c r="EJ11" s="111">
        <f>Ene07_05</f>
        <v>0</v>
      </c>
      <c r="EK11" s="111" t="str">
        <f>Ene07_09</f>
        <v>N/A</v>
      </c>
      <c r="EL11" s="111" t="str">
        <f>IF(EH11=AIS_NA,AIS_NA,Ene07_10)</f>
        <v>N/A</v>
      </c>
      <c r="EM11" s="111" t="str">
        <f>IF(EH11=AIS_NA,AIS_NA,Ene07_11)</f>
        <v>N/A</v>
      </c>
      <c r="EN11" s="111" t="str">
        <f>IF(EH11=AIS_NA,AIS_NA,Ene07_12)</f>
        <v>N/A</v>
      </c>
      <c r="EO11" s="111" t="str">
        <f>IF(EH11=AIS_NA,AIS_NA,Ene07_13)</f>
        <v>N/A</v>
      </c>
      <c r="EP11" s="111" t="str">
        <f>IF(EH11=AIS_NA,AIS_NA,Ene07_14)</f>
        <v>N/A</v>
      </c>
      <c r="EQ11" s="111" t="str">
        <f>IF(EH11=AIS_NA,AIS_NA,Ene07_15)</f>
        <v>N/A</v>
      </c>
      <c r="ER11" s="111" t="str">
        <f>IF(EH11=AIS_NA,AIS_NA,Ene07_16)</f>
        <v>N/A</v>
      </c>
      <c r="ES11" s="111" t="str">
        <f>IF(EH11=AIS_NA,AIS_NA,Ene07_17)</f>
        <v>N/A</v>
      </c>
      <c r="ET11" s="111" t="str">
        <f>IF(EH11=AIS_NA,AIS_NA,Ene07_18)</f>
        <v>N/A</v>
      </c>
      <c r="EU11" s="111" t="str">
        <f>IF(EH11=AIS_NA,AIS_NA,Ene07_19)</f>
        <v>N/A</v>
      </c>
      <c r="EV11" s="111" t="str">
        <f>IF(EH11=AIS_NA,AIS_NA,Ene07_20)</f>
        <v>N/A</v>
      </c>
      <c r="EW11" s="111" t="str">
        <f>Ene08_tot</f>
        <v>N/A</v>
      </c>
      <c r="EX11" s="111" t="str">
        <f>Ene08_29</f>
        <v>N/A</v>
      </c>
      <c r="EY11" s="111" t="str">
        <f>Ene08_19</f>
        <v>N/A</v>
      </c>
      <c r="EZ11" s="111">
        <f>Ene08_01</f>
        <v>0</v>
      </c>
      <c r="FA11" s="111">
        <f>Ene08_02</f>
        <v>0</v>
      </c>
      <c r="FB11" s="111">
        <f>Ene08_03</f>
        <v>0</v>
      </c>
      <c r="FC11" s="111">
        <f>Ene08_04</f>
        <v>0</v>
      </c>
      <c r="FD11" s="111">
        <f>Ene08_05</f>
        <v>0</v>
      </c>
      <c r="FE11" s="111">
        <f>Ene08_06</f>
        <v>0</v>
      </c>
      <c r="FF11" s="111">
        <f>Ene08_07</f>
        <v>0</v>
      </c>
      <c r="FG11" s="111">
        <f>Ene08_08</f>
        <v>0</v>
      </c>
      <c r="FH11" s="111">
        <f>Ene08_09</f>
        <v>0</v>
      </c>
      <c r="FI11" s="111">
        <f>Ene08_10</f>
        <v>0</v>
      </c>
      <c r="FJ11" s="111">
        <f>Ene08_11</f>
        <v>0</v>
      </c>
      <c r="FK11" s="111">
        <f>Ene08_12</f>
        <v>0</v>
      </c>
      <c r="FL11" s="111">
        <f>Ene08_13</f>
        <v>0</v>
      </c>
      <c r="FM11" s="111">
        <f>Ene08_14</f>
        <v>0</v>
      </c>
      <c r="FN11" s="111">
        <f>Ene08_15</f>
        <v>0</v>
      </c>
      <c r="FO11" s="111">
        <f>Ene08_16</f>
        <v>0</v>
      </c>
      <c r="FP11" s="111" t="str">
        <f>Ene09_tot</f>
        <v>N/A</v>
      </c>
      <c r="FQ11" s="113" t="str">
        <f>Ene09_10</f>
        <v>N/A</v>
      </c>
      <c r="FR11" s="111" t="str">
        <f>IF(FP11=AIS_NA,AIS_NA,Ene09_01)</f>
        <v>N/A</v>
      </c>
      <c r="FS11" s="111" t="str">
        <f>Tra01_tot</f>
        <v/>
      </c>
      <c r="FT11" s="113" t="str">
        <f>TRa01_08</f>
        <v>See instruction</v>
      </c>
      <c r="FU11" s="111" t="str">
        <f>AD_tra01type</f>
        <v>Please select</v>
      </c>
      <c r="FV11" s="111">
        <f>Tra01_03</f>
        <v>0</v>
      </c>
      <c r="FW11" s="111" t="str">
        <f>Tra01_05</f>
        <v/>
      </c>
      <c r="FX11" s="111">
        <f>IF(Tra01_03&gt;0,AIS_NA,Tra01_04)</f>
        <v>0</v>
      </c>
      <c r="FY11" s="111" t="str">
        <f>Tra01_06</f>
        <v>N/A</v>
      </c>
      <c r="FZ11" s="111">
        <f>Tra02_tot</f>
        <v>0</v>
      </c>
      <c r="GA11" s="113" t="str">
        <f>Tra02_07</f>
        <v>See instruction</v>
      </c>
      <c r="GB11" s="111">
        <f>Tra02_01</f>
        <v>0</v>
      </c>
      <c r="GC11" s="111">
        <f>Tra03_tot</f>
        <v>0</v>
      </c>
      <c r="GD11" s="113" t="str">
        <f>Tra03_14</f>
        <v>See instruction</v>
      </c>
      <c r="GE11" s="111" t="str">
        <f>Tra03_02</f>
        <v>Please select</v>
      </c>
      <c r="GF11" s="111">
        <f>Tra03_03</f>
        <v>0</v>
      </c>
      <c r="GG11" s="111">
        <f>Tra03_04</f>
        <v>0</v>
      </c>
      <c r="GH11" s="111" t="e">
        <f>Tra03_05</f>
        <v>#REF!</v>
      </c>
      <c r="GI11" s="111" t="e">
        <f>Tra03_06</f>
        <v>#REF!</v>
      </c>
      <c r="GJ11" s="111">
        <f>Tra04_tot</f>
        <v>0</v>
      </c>
      <c r="GK11" s="113" t="str">
        <f>Tra04_10</f>
        <v>See instruction</v>
      </c>
      <c r="GL11" s="111">
        <f>Tra04_04</f>
        <v>0</v>
      </c>
      <c r="GM11" s="111">
        <f>Tra05_tot</f>
        <v>0</v>
      </c>
      <c r="GN11" s="113" t="str">
        <f>Tra05_05</f>
        <v>See instruction</v>
      </c>
      <c r="GO11" s="111">
        <f>Tra05_03</f>
        <v>0</v>
      </c>
      <c r="GP11" s="111">
        <f>Wat01_tot</f>
        <v>0</v>
      </c>
      <c r="GQ11" s="113">
        <f>Wat01_15</f>
        <v>0</v>
      </c>
      <c r="GR11" s="111">
        <f>Wat01_08</f>
        <v>0</v>
      </c>
      <c r="GS11" s="111" t="str">
        <f>Wat01_01</f>
        <v>Standard approach</v>
      </c>
      <c r="GT11" s="111">
        <f>IF(Wat01_01=AIS_option10,AIS_NA,Wat01_02)</f>
        <v>0</v>
      </c>
      <c r="GU11" s="111">
        <f>IF(Wat01_01=AIS_option10,AIS_NA,Wat01_03)</f>
        <v>0</v>
      </c>
      <c r="GV11" s="111">
        <f>IF(Wat01_01=AIS_option10,AIS_NA,Wat01_04)</f>
        <v>0</v>
      </c>
      <c r="GW11" s="113">
        <f>IF(Wat01_01=AIS_option10,AIS_NA,Wat01_05)</f>
        <v>0</v>
      </c>
      <c r="GX11" s="111">
        <f>IF(Wat01_01=AIS_option10,AIS_NA,Wat01_KPI01)</f>
        <v>0</v>
      </c>
      <c r="GY11" s="111">
        <f>IF(Wat01_01=AIS_option10,AIS_NA,Wat01_KPI02)</f>
        <v>0</v>
      </c>
      <c r="GZ11" s="111" t="str">
        <f>IF(Wat01_01=AIS_option10,Wat01_10,AIS_NA)</f>
        <v>N/A</v>
      </c>
      <c r="HA11" s="113" t="str">
        <f>IF(Wat01_01=AIS_option10,Wat01_11,AIS_NA)</f>
        <v>N/A</v>
      </c>
      <c r="HB11" s="111">
        <f>Wat02_tot</f>
        <v>0</v>
      </c>
      <c r="HC11" s="113">
        <f>Wat02_13</f>
        <v>0</v>
      </c>
      <c r="HD11" s="111">
        <f>Wat02_02</f>
        <v>0</v>
      </c>
      <c r="HE11" s="111">
        <f>Wat02_03</f>
        <v>0</v>
      </c>
      <c r="HF11" s="111">
        <f>Wat02_04</f>
        <v>0</v>
      </c>
      <c r="HG11" s="111">
        <f>Wat02_05</f>
        <v>0</v>
      </c>
      <c r="HH11" s="111">
        <f>Wat03_tot</f>
        <v>0</v>
      </c>
      <c r="HI11" s="113">
        <f>Wat03_10</f>
        <v>0</v>
      </c>
      <c r="HJ11" s="111">
        <f>Wat03_05</f>
        <v>0</v>
      </c>
      <c r="HK11" s="111" t="str">
        <f>Wat03_06</f>
        <v>N/A</v>
      </c>
      <c r="HL11" s="111">
        <f>Wat04_tot</f>
        <v>0</v>
      </c>
      <c r="HM11" s="113">
        <f>Wat04_06</f>
        <v>0</v>
      </c>
      <c r="HN11" s="111">
        <f>Wat04_04</f>
        <v>0</v>
      </c>
    </row>
    <row r="12" spans="1:222" x14ac:dyDescent="0.25">
      <c r="H12" s="53"/>
    </row>
    <row r="13" spans="1:222" ht="39.950000000000003" customHeight="1" x14ac:dyDescent="0.2">
      <c r="A13" s="126" t="str">
        <f>'Assessment Issue Scoring'!B913</f>
        <v>Mat 01 Life Cycle Impacts</v>
      </c>
      <c r="B13" s="126"/>
      <c r="C13" s="127"/>
      <c r="D13" s="127"/>
      <c r="E13" s="127"/>
      <c r="F13" s="127"/>
      <c r="G13" s="127"/>
      <c r="H13" s="128"/>
      <c r="I13" s="145" t="str">
        <f>'Assessment Issue Scoring'!H927</f>
        <v>External walls</v>
      </c>
      <c r="J13" s="127"/>
      <c r="K13" s="144"/>
      <c r="L13" s="142" t="str">
        <f>'Assessment Issue Scoring'!H928</f>
        <v>Windows</v>
      </c>
      <c r="M13" s="143"/>
      <c r="N13" s="144"/>
      <c r="O13" s="142" t="str">
        <f>'Assessment Issue Scoring'!H929</f>
        <v>Roof</v>
      </c>
      <c r="P13" s="143"/>
      <c r="Q13" s="144"/>
      <c r="R13" s="143"/>
      <c r="S13" s="143"/>
      <c r="T13" s="134" t="str">
        <f>'Assessment Issue Scoring'!H930</f>
        <v>Upper floor construction</v>
      </c>
      <c r="U13" s="143"/>
      <c r="V13" s="144"/>
      <c r="W13" s="142" t="str">
        <f>'Assessment Issue Scoring'!H931</f>
        <v>Internal wall</v>
      </c>
      <c r="X13" s="143"/>
      <c r="Y13" s="144"/>
      <c r="Z13" s="134" t="str">
        <f>'Assessment Issue Scoring'!H932</f>
        <v>Floor finishes/coverings</v>
      </c>
      <c r="AA13" s="127"/>
      <c r="AB13" s="128"/>
      <c r="AC13" s="126" t="str">
        <f>'Assessment Issue Scoring'!B948</f>
        <v>Mat 02 Hard Landscaping and Boundary Protection</v>
      </c>
      <c r="AD13" s="127"/>
      <c r="AE13" s="128"/>
      <c r="AF13" s="126" t="str">
        <f>'Assessment Issue Scoring'!B967</f>
        <v>Mat 03 Responsible Sourcing</v>
      </c>
      <c r="AG13" s="127"/>
      <c r="AH13" s="127"/>
      <c r="AI13" s="127"/>
      <c r="AJ13" s="127"/>
      <c r="AK13" s="127"/>
      <c r="AL13" s="147"/>
      <c r="AM13" s="148"/>
      <c r="AN13" s="149"/>
      <c r="AO13" s="840" t="str">
        <f>Mat_04</f>
        <v>Mat 04 Insulation</v>
      </c>
      <c r="AP13" s="841"/>
      <c r="AQ13" s="841"/>
      <c r="AR13" s="148"/>
      <c r="AS13" s="840" t="str">
        <f>Mat_05</f>
        <v>Mat 05 Designing for durability and resilience</v>
      </c>
      <c r="AT13" s="841"/>
      <c r="AU13" s="841"/>
      <c r="AV13" s="842"/>
      <c r="AW13" s="840" t="str">
        <f>Mat_06</f>
        <v>Mat 06 Material efficiency</v>
      </c>
      <c r="AX13" s="841"/>
      <c r="AY13" s="841"/>
      <c r="AZ13" s="842"/>
      <c r="BA13" s="150"/>
      <c r="BB13" s="151"/>
      <c r="BC13" s="149"/>
      <c r="BD13" s="148"/>
      <c r="BE13" s="148"/>
      <c r="BF13" s="148"/>
      <c r="BG13" s="148"/>
      <c r="BH13" s="148"/>
      <c r="BI13" s="151"/>
      <c r="BJ13" s="151"/>
      <c r="BK13" s="148"/>
      <c r="BL13" s="143"/>
      <c r="BM13" s="144"/>
      <c r="BN13" s="143"/>
      <c r="BO13" s="143"/>
      <c r="BP13" s="126"/>
      <c r="BQ13" s="143"/>
      <c r="BR13" s="143"/>
      <c r="BS13" s="143"/>
      <c r="BT13" s="143"/>
      <c r="BU13" s="558"/>
      <c r="BV13" s="559"/>
      <c r="BW13" s="559" t="str">
        <f>Wst_01</f>
        <v>Wst 01 Construction Waste Management</v>
      </c>
      <c r="BX13" s="559"/>
      <c r="BY13" s="559"/>
      <c r="BZ13" s="559"/>
      <c r="CA13" s="127"/>
      <c r="CB13" s="127"/>
      <c r="CC13" s="127"/>
      <c r="CD13" s="127"/>
      <c r="CE13" s="127"/>
      <c r="CF13" s="127"/>
      <c r="CG13" s="127"/>
      <c r="CH13" s="127"/>
      <c r="CI13" s="127"/>
      <c r="CJ13" s="127"/>
      <c r="CK13" s="127"/>
      <c r="CL13" s="127"/>
      <c r="CM13" s="127"/>
      <c r="CN13" s="128"/>
      <c r="CO13" s="126" t="str">
        <f>Wst_02</f>
        <v>Wst 02 Recycled Aggregates</v>
      </c>
      <c r="CP13" s="127"/>
      <c r="CQ13" s="127"/>
      <c r="CR13" s="127"/>
      <c r="CS13" s="127"/>
      <c r="CT13" s="127"/>
      <c r="CU13" s="127"/>
      <c r="CV13" s="127"/>
      <c r="CW13" s="127"/>
      <c r="CX13" s="127"/>
      <c r="CY13" s="127"/>
      <c r="CZ13" s="128"/>
      <c r="DA13" s="126" t="str">
        <f>Wst_03</f>
        <v>Wst 03a Operational Waste</v>
      </c>
      <c r="DB13" s="127"/>
      <c r="DC13" s="127"/>
      <c r="DD13" s="127"/>
      <c r="DE13" s="128"/>
      <c r="DF13" s="126" t="str">
        <f>Wst_04</f>
        <v>Wst 04 Speculative Floor and Ceiling Finishes</v>
      </c>
      <c r="DG13" s="127"/>
      <c r="DH13" s="128"/>
      <c r="DI13" s="126" t="str">
        <f>LE_01</f>
        <v>LE 01 Site Selection</v>
      </c>
      <c r="DJ13" s="127"/>
      <c r="DK13" s="127"/>
      <c r="DL13" s="128"/>
      <c r="DM13" s="126" t="str">
        <f>LE_02</f>
        <v>LE 02 Ecological Value of Site and Protection of Ecological Features</v>
      </c>
      <c r="DN13" s="127"/>
      <c r="DO13" s="127"/>
      <c r="DP13" s="127"/>
      <c r="DQ13" s="128"/>
      <c r="DR13" s="126" t="str">
        <f>'Assessment Issue Scoring'!B1311</f>
        <v>LE 03 Mitigating Ecological Impact</v>
      </c>
      <c r="DS13" s="127"/>
      <c r="DT13" s="127"/>
      <c r="DU13" s="128"/>
      <c r="DV13" s="126" t="str">
        <f>LE_04</f>
        <v>LE 04 Enhancing Site Ecology</v>
      </c>
      <c r="DW13" s="127"/>
      <c r="DX13" s="127"/>
      <c r="DY13" s="127"/>
      <c r="DZ13" s="128"/>
      <c r="EA13" s="126" t="str">
        <f>LE_05</f>
        <v>LE 05 Long Term Impact on Biodiversity</v>
      </c>
      <c r="EB13" s="127"/>
      <c r="EC13" s="127"/>
      <c r="ED13" s="127"/>
      <c r="EE13" s="127"/>
      <c r="EF13" s="127"/>
      <c r="EG13" s="127"/>
      <c r="EH13" s="128"/>
      <c r="EI13" s="126" t="str">
        <f>Pol_01</f>
        <v>Pol 01 Impact of Refrigerants</v>
      </c>
      <c r="EJ13" s="127"/>
      <c r="EK13" s="127"/>
      <c r="EL13" s="127"/>
      <c r="EM13" s="127"/>
      <c r="EN13" s="127"/>
      <c r="EO13" s="127"/>
      <c r="EP13" s="128"/>
      <c r="EQ13" s="126" t="str">
        <f>Pol_02</f>
        <v>Pol 02 NOx Emissions</v>
      </c>
      <c r="ER13" s="127"/>
      <c r="ES13" s="127"/>
      <c r="ET13" s="127"/>
      <c r="EU13" s="127"/>
      <c r="EV13" s="127"/>
      <c r="EW13" s="128"/>
      <c r="EX13" s="126" t="str">
        <f>Pol_03</f>
        <v>Pol 03 Surface Water Run off</v>
      </c>
      <c r="EY13" s="127"/>
      <c r="EZ13" s="127"/>
      <c r="FA13" s="127"/>
      <c r="FB13" s="127"/>
      <c r="FC13" s="127"/>
      <c r="FD13" s="127"/>
      <c r="FE13" s="128"/>
      <c r="FF13" s="126" t="str">
        <f>Pol_04</f>
        <v>Pol 04 Reduction of Night Time Light Pollution</v>
      </c>
      <c r="FG13" s="127"/>
      <c r="FH13" s="128"/>
      <c r="FI13" s="126" t="str">
        <f>Pol_05</f>
        <v>Pol 05 Noise Attenuation</v>
      </c>
      <c r="FJ13" s="127"/>
      <c r="FK13" s="127"/>
      <c r="FL13" s="128"/>
      <c r="FM13" s="126" t="str">
        <f>Inn_01</f>
        <v>Inn 01 Innovation</v>
      </c>
      <c r="FN13" s="127"/>
      <c r="FO13" s="127"/>
      <c r="FP13" s="127"/>
      <c r="FQ13" s="127"/>
      <c r="FR13" s="127"/>
      <c r="FS13" s="127"/>
      <c r="FT13" s="127"/>
      <c r="FU13" s="127"/>
      <c r="FV13" s="127"/>
      <c r="FW13" s="127"/>
      <c r="FX13" s="127"/>
      <c r="FY13" s="127"/>
      <c r="FZ13" s="128"/>
    </row>
    <row r="14" spans="1:222" ht="80.099999999999994" customHeight="1" x14ac:dyDescent="0.25">
      <c r="A14" s="125" t="str">
        <f>'Assessment Issue Scoring'!F938</f>
        <v>Total BREEAM credits achieved</v>
      </c>
      <c r="B14" s="125" t="str">
        <f>'Assessment Issue Scoring'!F940</f>
        <v>Total contribution to overall building score</v>
      </c>
      <c r="C14" s="125" t="str">
        <f>'Assessment Issue Scoring'!F942</f>
        <v>Total BREEAM innovation credits achieved</v>
      </c>
      <c r="D14" s="125" t="str">
        <f>'Assessment Issue Scoring'!H920</f>
        <v>Percentage of BREEAM Mat 01 Calculator points achieved</v>
      </c>
      <c r="E14" s="125" t="e">
        <f>'Assessment Issue Scoring'!#REF!</f>
        <v>#REF!</v>
      </c>
      <c r="F14" s="125" t="str">
        <f>'Assessment Issue Scoring'!H935</f>
        <v>Total embodied green house gas emissions for building (by assessed elements)</v>
      </c>
      <c r="G14" s="125" t="str">
        <f>'Assessment Issue Scoring'!H935</f>
        <v>Total embodied green house gas emissions for building (by assessed elements)</v>
      </c>
      <c r="H14" s="125" t="str">
        <f>'Assessment Issue Scoring'!H936</f>
        <v>Proportion of applicable building elements that data reported covers</v>
      </c>
      <c r="I14" s="125" t="str">
        <f>'Assessment Issue Scoring'!J925</f>
        <v>Total area of element m2</v>
      </c>
      <c r="J14" s="125" t="str">
        <f>'Assessment Issue Scoring'!L925</f>
        <v>Total impact
kgCO2 eq.</v>
      </c>
      <c r="K14" s="125" t="str">
        <f>'Assessment Issue Scoring'!N925</f>
        <v>Area of element impact data relevant to m2</v>
      </c>
      <c r="L14" s="125" t="str">
        <f t="shared" ref="L14:Q14" si="0">I14</f>
        <v>Total area of element m2</v>
      </c>
      <c r="M14" s="125" t="str">
        <f t="shared" si="0"/>
        <v>Total impact
kgCO2 eq.</v>
      </c>
      <c r="N14" s="125" t="str">
        <f t="shared" si="0"/>
        <v>Area of element impact data relevant to m2</v>
      </c>
      <c r="O14" s="125" t="str">
        <f t="shared" si="0"/>
        <v>Total area of element m2</v>
      </c>
      <c r="P14" s="125" t="str">
        <f t="shared" si="0"/>
        <v>Total impact
kgCO2 eq.</v>
      </c>
      <c r="Q14" s="125" t="str">
        <f t="shared" si="0"/>
        <v>Area of element impact data relevant to m2</v>
      </c>
      <c r="R14" s="125"/>
      <c r="S14" s="125"/>
      <c r="T14" s="125" t="str">
        <f>O14</f>
        <v>Total area of element m2</v>
      </c>
      <c r="U14" s="125" t="str">
        <f>P14</f>
        <v>Total impact
kgCO2 eq.</v>
      </c>
      <c r="V14" s="125" t="str">
        <f>Q14</f>
        <v>Area of element impact data relevant to m2</v>
      </c>
      <c r="W14" s="125" t="str">
        <f t="shared" ref="W14:AB14" si="1">T14</f>
        <v>Total area of element m2</v>
      </c>
      <c r="X14" s="125" t="str">
        <f t="shared" si="1"/>
        <v>Total impact
kgCO2 eq.</v>
      </c>
      <c r="Y14" s="125" t="str">
        <f t="shared" si="1"/>
        <v>Area of element impact data relevant to m2</v>
      </c>
      <c r="Z14" s="125" t="str">
        <f t="shared" si="1"/>
        <v>Total area of element m2</v>
      </c>
      <c r="AA14" s="125" t="str">
        <f t="shared" si="1"/>
        <v>Total impact
kgCO2 eq.</v>
      </c>
      <c r="AB14" s="125" t="str">
        <f t="shared" si="1"/>
        <v>Area of element impact data relevant to m2</v>
      </c>
      <c r="AC14" s="125" t="str">
        <f>'Assessment Issue Scoring'!F957</f>
        <v>Total BREEAM credits achieved</v>
      </c>
      <c r="AD14" s="125" t="str">
        <f>'Assessment Issue Scoring'!F959</f>
        <v>Total contribution to overall building score</v>
      </c>
      <c r="AE14" s="125" t="str">
        <f>'Assessment Issue Scoring'!H955</f>
        <v>External hard landscaping and boundary protection</v>
      </c>
      <c r="AF14" s="125" t="str">
        <f>'Assessment Issue Scoring'!F981</f>
        <v>Total BREEAM credits achieved</v>
      </c>
      <c r="AG14" s="125" t="str">
        <f>'Assessment Issue Scoring'!F983</f>
        <v>Total contribution to overall building score</v>
      </c>
      <c r="AH14" s="125" t="str">
        <f>'Assessment Issue Scoring'!F985</f>
        <v>Total BREEAM innovation credits achieved</v>
      </c>
      <c r="AI14" s="125" t="str">
        <f>'Assessment Issue Scoring'!H977</f>
        <v>Percentage of available responsible sourcing of materials points achieved</v>
      </c>
      <c r="AJ14" s="125" t="str">
        <f>'Assessment Issue Scoring'!B974</f>
        <v>All timber and timber based products are 'Legally harvested timber'</v>
      </c>
      <c r="AK14" s="125" t="s">
        <v>1296</v>
      </c>
      <c r="AL14" s="125"/>
      <c r="AM14" s="125"/>
      <c r="AN14" s="125"/>
      <c r="AO14" s="125" t="str">
        <f>'Assessment Issue Scoring'!F1000</f>
        <v>Total BREEAM credits achieved</v>
      </c>
      <c r="AP14" s="125" t="str">
        <f>'Assessment Issue Scoring'!F1002</f>
        <v>Total contribution to overall building score</v>
      </c>
      <c r="AQ14" s="125" t="str">
        <f>'Assessment Issue Scoring'!H998</f>
        <v>Embodied impact - insulation index</v>
      </c>
      <c r="AR14" s="125"/>
      <c r="AS14" s="125" t="str">
        <f>'Assessment Issue Scoring'!F1021</f>
        <v>Total BREEAM credits achieved</v>
      </c>
      <c r="AT14" s="125" t="str">
        <f>'Assessment Issue Scoring'!F1023</f>
        <v>Total contribution to overall building score</v>
      </c>
      <c r="AU14" s="125" t="str">
        <f>'Assessment Issue Scoring'!H1018</f>
        <v>Protecting vulnerable parts of the building from damage</v>
      </c>
      <c r="AV14" s="125" t="str">
        <f>'Assessment Issue Scoring'!H1019</f>
        <v>Protecting exposed parts of the building from material degradation</v>
      </c>
      <c r="AW14" s="125" t="str">
        <f>'Assessment Issue Scoring'!F1041</f>
        <v>Total BREEAM credits achieved</v>
      </c>
      <c r="AX14" s="125" t="str">
        <f>'Assessment Issue Scoring'!F1043</f>
        <v>Total contribution to overall building score</v>
      </c>
      <c r="AY14" s="125" t="str">
        <f>'Assessment Issue Scoring'!B1039</f>
        <v>Material optimisation measures investigated and implemented at relevant stages</v>
      </c>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t="str">
        <f>'Assessment Issue Scoring'!F1127</f>
        <v>Total BREEAM innovation credits achieved</v>
      </c>
      <c r="BX14" s="125" t="str">
        <f>'Assessment Issue Scoring'!F1123</f>
        <v>Total BREEAM credits achieved</v>
      </c>
      <c r="BY14" s="125" t="str">
        <f>'Assessment Issue Scoring'!H1107</f>
        <v>Does the excavation waste meet the exemplary level requirements?</v>
      </c>
      <c r="BZ14" s="125" t="str">
        <f>'Assessment Issue Scoring'!F1125</f>
        <v>Total contribution to overall building score</v>
      </c>
      <c r="CA14" s="125" t="str">
        <f>'Assessment Issue Scoring'!H1104</f>
        <v>Construction resource management plan</v>
      </c>
      <c r="CB14" s="125" t="str">
        <f>'Assessment Issue Scoring'!H1105</f>
        <v>Demolition taking place on site?</v>
      </c>
      <c r="CC14" s="125" t="str">
        <f>'Assessment Issue Scoring'!H1110</f>
        <v>Measure/units for the data being reported</v>
      </c>
      <c r="CD14" s="125" t="str">
        <f>'Assessment Issue Scoring'!H1111</f>
        <v>Non-hazardous construction waste (excluding demolition/excavation)</v>
      </c>
      <c r="CE14" s="125" t="str">
        <f>'Assessment Issue Scoring'!H1112</f>
        <v>Total non-hazardous construction waste generated</v>
      </c>
      <c r="CF14" s="125" t="str">
        <f>'Assessment Issue Scoring'!H1113</f>
        <v>Non-hazardous non-demolition const. waste diverted from landfill</v>
      </c>
      <c r="CG14" s="125" t="str">
        <f>'Assessment Issue Scoring'!H1114</f>
        <v>Total non-hazardous non-demolition const. waste diverted from landfill</v>
      </c>
      <c r="CH14" s="125" t="str">
        <f>'Assessment Issue Scoring'!H1115</f>
        <v>Total non-hazardous demolition waste generated</v>
      </c>
      <c r="CI14" s="125" t="str">
        <f>'Assessment Issue Scoring'!H1116</f>
        <v>Non-hazardous demolition waste diverted from landfill</v>
      </c>
      <c r="CJ14" s="125" t="str">
        <f>'Assessment Issue Scoring'!H1117</f>
        <v>Total non-hazardous demolition waste to disposal</v>
      </c>
      <c r="CK14" s="125" t="str">
        <f>'Assessment Issue Scoring'!H1118</f>
        <v>Material for reuse</v>
      </c>
      <c r="CL14" s="125" t="str">
        <f>'Assessment Issue Scoring'!H1119</f>
        <v>Material for recycling</v>
      </c>
      <c r="CM14" s="125" t="str">
        <f>'Assessment Issue Scoring'!H1120</f>
        <v>Material for energy recovery</v>
      </c>
      <c r="CN14" s="125" t="str">
        <f>'Assessment Issue Scoring'!H1121</f>
        <v>Hazardous waste to disposal</v>
      </c>
      <c r="CO14" s="125" t="str">
        <f>'Assessment Issue Scoring'!F1154</f>
        <v>Total BREEAM credits achieved</v>
      </c>
      <c r="CP14" s="125" t="str">
        <f>'Assessment Issue Scoring'!F1156</f>
        <v>Total contribution to overall building score</v>
      </c>
      <c r="CQ14" s="125" t="str">
        <f>'Assessment Issue Scoring'!F1158</f>
        <v>Total BREEAM innovation credits achieved</v>
      </c>
      <c r="CR14" s="125" t="str">
        <f>'Assessment Issue Scoring'!H1141</f>
        <v>Total % of high-grade aggregate that is recycled/secondary aggregate</v>
      </c>
      <c r="CS14" s="125" t="str">
        <f>'Assessment Issue Scoring'!H1145</f>
        <v>Structural frame</v>
      </c>
      <c r="CT14" s="125" t="str">
        <f>'Assessment Issue Scoring'!B1146</f>
        <v>Bitumen/hydraulically bound base, binder and surface courses</v>
      </c>
      <c r="CU14" s="125" t="str">
        <f>'Assessment Issue Scoring'!H1147</f>
        <v>Building foundations</v>
      </c>
      <c r="CV14" s="125" t="str">
        <f>'Assessment Issue Scoring'!H1148</f>
        <v>Concrete road surfaces</v>
      </c>
      <c r="CW14" s="125" t="str">
        <f>'Assessment Issue Scoring'!H1149</f>
        <v>Pipe bedding</v>
      </c>
      <c r="CX14" s="125" t="str">
        <f>'Assessment Issue Scoring'!H1150</f>
        <v>Granular fill and capping</v>
      </c>
      <c r="CY14" s="125"/>
      <c r="CZ14" s="125"/>
      <c r="DA14" s="125" t="str">
        <f>'Assessment Issue Scoring'!F1177</f>
        <v>Total BREEAM credits achieved</v>
      </c>
      <c r="DB14" s="125" t="str">
        <f>'Assessment Issue Scoring'!F1179</f>
        <v>Total contribution to overall building score</v>
      </c>
      <c r="DC14" s="125" t="str">
        <f>'Assessment Issue Scoring'!H1171</f>
        <v>Segregation and storage of operational recyclable waste volumes</v>
      </c>
      <c r="DD14" s="125" t="str">
        <f>'Assessment Issue Scoring'!H1172</f>
        <v>Static waste compactor(s) or baler(s)</v>
      </c>
      <c r="DE14" s="125" t="str">
        <f>'Assessment Issue Scoring'!H1173</f>
        <v>Vessel(s) for composting suitable organic waste</v>
      </c>
      <c r="DF14" s="125" t="str">
        <f>'Assessment Issue Scoring'!F1216</f>
        <v>Total BREEAM credits achieved</v>
      </c>
      <c r="DG14" s="125" t="str">
        <f>'Assessment Issue Scoring'!F1218</f>
        <v>Total contribution to overall building score</v>
      </c>
      <c r="DH14" s="125" t="s">
        <v>1297</v>
      </c>
      <c r="DI14" s="125" t="str">
        <f>'Assessment Issue Scoring'!F1279</f>
        <v>Total BREEAM credits achieved</v>
      </c>
      <c r="DJ14" s="125" t="str">
        <f>'Assessment Issue Scoring'!F1281</f>
        <v>Total contribution to overall building score</v>
      </c>
      <c r="DK14" s="125" t="str">
        <f>'Assessment Issue Scoring'!H1276</f>
        <v>Percentage of footprint on previously occupied land</v>
      </c>
      <c r="DL14" s="125" t="str">
        <f>'Assessment Issue Scoring'!H1277</f>
        <v>Contaminated land</v>
      </c>
      <c r="DM14" s="125" t="str">
        <f>'Assessment Issue Scoring'!F1301</f>
        <v>Total BREEAM credits achieved</v>
      </c>
      <c r="DN14" s="125" t="str">
        <f>'Assessment Issue Scoring'!F1303</f>
        <v>Total contribution to overall building score</v>
      </c>
      <c r="DO14" s="125" t="str">
        <f>'Assessment Issue Scoring'!H1295</f>
        <v>Ecological value of the land defined using</v>
      </c>
      <c r="DP14" s="125" t="str">
        <f>'Assessment Issue Scoring'!H1298</f>
        <v>Land of low ecological value</v>
      </c>
      <c r="DQ14" s="125" t="str">
        <f>'Assessment Issue Scoring'!H1299</f>
        <v>Protection of ecological features</v>
      </c>
      <c r="DR14" s="125" t="str">
        <f>'Assessment Issue Scoring'!F1322</f>
        <v>Total BREEAM credits achieved</v>
      </c>
      <c r="DS14" s="125" t="str">
        <f>'Assessment Issue Scoring'!F1324</f>
        <v>Total contribution to overall building score</v>
      </c>
      <c r="DT14" s="125" t="str">
        <f>'Assessment Issue Scoring'!H1317</f>
        <v>Data sourced for calculating the change in ecological value from</v>
      </c>
      <c r="DU14" s="125" t="str">
        <f>'Assessment Issue Scoring'!H1320</f>
        <v>Change in ecological value</v>
      </c>
      <c r="DV14" s="125" t="str">
        <f>'Assessment Issue Scoring'!F1343</f>
        <v>Total BREEAM credits achieved</v>
      </c>
      <c r="DW14" s="125" t="str">
        <f>'Assessment Issue Scoring'!F1345</f>
        <v>Total contribution to overall building score</v>
      </c>
      <c r="DX14" s="125" t="str">
        <f>'Assessment Issue Scoring'!H1339</f>
        <v xml:space="preserve">Ecology report with recommendations provided by Suitably Qualified Ecologist (SQE) </v>
      </c>
      <c r="DY14" s="125" t="str">
        <f>'Assessment Issue Scoring'!H1340</f>
        <v>Percentage of recommendations that have been/will be implemented</v>
      </c>
      <c r="DZ14" s="125" t="e">
        <f>'Assessment Issue Scoring'!#REF!</f>
        <v>#REF!</v>
      </c>
      <c r="EA14" s="125" t="str">
        <f>'Assessment Issue Scoring'!F1365</f>
        <v>Total BREEAM credits achieved</v>
      </c>
      <c r="EB14" s="125" t="str">
        <f>'Assessment Issue Scoring'!F1367</f>
        <v>Total contribution to overall building score</v>
      </c>
      <c r="EC14" s="125" t="str">
        <f>'Assessment Issue Scoring'!H1360</f>
        <v>SQE confirms compliance with legislation on protection and enhancement of ecology</v>
      </c>
      <c r="ED14" s="125" t="str">
        <f>'Assessment Issue Scoring'!H1361</f>
        <v>Landscape and habitat management plan</v>
      </c>
      <c r="EE14" s="125" t="str">
        <f>'Assessment Issue Scoring'!H1362</f>
        <v>Number of applicable measures</v>
      </c>
      <c r="EF14" s="125" t="str">
        <f>'Assessment Issue Scoring'!H1363</f>
        <v>Number of applicable measures implemented</v>
      </c>
      <c r="EG14" s="125" t="e">
        <f>'Assessment Issue Scoring'!#REF!</f>
        <v>#REF!</v>
      </c>
      <c r="EH14" s="125" t="e">
        <f>'Assessment Issue Scoring'!#REF!</f>
        <v>#REF!</v>
      </c>
      <c r="EI14" s="125" t="str">
        <f>'Assessment Issue Scoring'!F1392</f>
        <v>Total BREEAM credits achieved</v>
      </c>
      <c r="EJ14" s="125" t="str">
        <f>'Assessment Issue Scoring'!F1394</f>
        <v>Total contribution to overall building score</v>
      </c>
      <c r="EK14" s="125" t="str">
        <f>'Assessment Issue Scoring'!H1385</f>
        <v>Refrigerant containing systems installed in the assessed building</v>
      </c>
      <c r="EL14" s="125" t="s">
        <v>1298</v>
      </c>
      <c r="EM14" s="125" t="str">
        <f>'Assessment Issue Scoring'!H1387</f>
        <v>Global Warming Potential of the specified refrigerant(s) 10 or less</v>
      </c>
      <c r="EN14" s="125" t="str">
        <f>'Assessment Issue Scoring'!H1388</f>
        <v>Total Direct Effect Life Cycle CO2eq. emissions from the system</v>
      </c>
      <c r="EO14" s="125" t="str">
        <f>'Assessment Issue Scoring'!H1389</f>
        <v>Cooling/Heating capacity of the system</v>
      </c>
      <c r="EP14" s="125" t="str">
        <f>'Assessment Issue Scoring'!H1390</f>
        <v>BREEAM compliant refrigerant leak detection and containment</v>
      </c>
      <c r="EQ14" s="125" t="str">
        <f>'Assessment Issue Scoring'!F1418</f>
        <v>Total BREEAM credits achieved</v>
      </c>
      <c r="ER14" s="125" t="str">
        <f>'Assessment Issue Scoring'!F1420</f>
        <v>Total contribution to overall building score</v>
      </c>
      <c r="ES14" s="125" t="str">
        <f>'Assessment Issue Scoring'!H1409</f>
        <v>NOx emission level - space heating</v>
      </c>
      <c r="ET14" s="125" t="str">
        <f>'Assessment Issue Scoring'!H1410</f>
        <v>NOx emission level - cooling</v>
      </c>
      <c r="EU14" s="125" t="str">
        <f>'Assessment Issue Scoring'!H1411</f>
        <v>NOx emission level - water heating</v>
      </c>
      <c r="EV14" s="125" t="str">
        <f>'Assessment Issue Scoring'!H1412</f>
        <v>Does this building meet BREEAM's definition of a highly insulated building?</v>
      </c>
      <c r="EW14" s="125" t="str">
        <f>'Assessment Issue Scoring'!H1413</f>
        <v>Energy consumption: heating and hot water</v>
      </c>
      <c r="EX14" s="125" t="str">
        <f>'Assessment Issue Scoring'!F1444</f>
        <v>Total BREEAM credits achieved</v>
      </c>
      <c r="EY14" s="125" t="str">
        <f>'Assessment Issue Scoring'!F1446</f>
        <v>Total contribution to overall building score</v>
      </c>
      <c r="EZ14" s="125" t="str">
        <f>'Assessment Issue Scoring'!H1435</f>
        <v>Annual probability of flooding</v>
      </c>
      <c r="FA14" s="125" t="str">
        <f>'Assessment Issue Scoring'!H1436</f>
        <v xml:space="preserve">Flood Risk Assessment and ground level of the building and access </v>
      </c>
      <c r="FB14" s="125" t="s">
        <v>1299</v>
      </c>
      <c r="FC14" s="125" t="str">
        <f>'Assessment Issue Scoring'!H1437</f>
        <v>Surface water run off – peak rate</v>
      </c>
      <c r="FD14" s="125" t="str">
        <f>'Assessment Issue Scoring'!H1438</f>
        <v>Surface water run off – volume, attenuation and/or limiting discharge</v>
      </c>
      <c r="FE14" s="125" t="str">
        <f>'Assessment Issue Scoring'!H1439</f>
        <v>Minimising watercourse pollution</v>
      </c>
      <c r="FF14" s="125" t="str">
        <f>'Assessment Issue Scoring'!F1463</f>
        <v>Total BREEAM credits achieved</v>
      </c>
      <c r="FG14" s="125" t="str">
        <f>'Assessment Issue Scoring'!F1465</f>
        <v>Total contribution to overall building score</v>
      </c>
      <c r="FH14" s="125" t="str">
        <f>'Assessment Issue Scoring'!H1461</f>
        <v>External lighting specification</v>
      </c>
      <c r="FI14" s="125" t="str">
        <f>'Assessment Issue Scoring'!F1486</f>
        <v>Total BREEAM credits achieved</v>
      </c>
      <c r="FJ14" s="125" t="str">
        <f>'Assessment Issue Scoring'!F1488</f>
        <v>Total contribution to overall building score</v>
      </c>
      <c r="FK14" s="125" t="str">
        <f>'Assessment Issue Scoring'!H1482</f>
        <v>Noise-sensitive areas/buildings within 800m radius of the development</v>
      </c>
      <c r="FL14" s="125" t="str">
        <f>'Assessment Issue Scoring'!H1484</f>
        <v>Noise impact assessment and, if applicable, noise attenuation measures</v>
      </c>
      <c r="FM14" s="125" t="str">
        <f>'Assessment Issue Scoring'!F1522</f>
        <v>Total BREEAM innovation credits achieved</v>
      </c>
      <c r="FN14" s="125" t="str">
        <f>'Assessment Issue Scoring'!F1524</f>
        <v>Total contribution to overall building score</v>
      </c>
      <c r="FO14" s="125" t="str">
        <f>'Assessment Issue Scoring'!L1520</f>
        <v>Number of 'approved' innovation credits achieved?</v>
      </c>
      <c r="FP14" s="125" t="str">
        <f>'Assessment Issue Scoring'!H1506</f>
        <v>Man 03 Responsible construction practices</v>
      </c>
      <c r="FQ14" s="125" t="str">
        <f>'Assessment Issue Scoring'!H1507</f>
        <v>Man 05 Aftercare</v>
      </c>
      <c r="FR14" s="125" t="str">
        <f>'Assessment Issue Scoring'!H1508</f>
        <v>Hea 01 Visual Comfort</v>
      </c>
      <c r="FS14" s="125" t="str">
        <f>'Assessment Issue Scoring'!H1510</f>
        <v>Ene 04 Low carbon design</v>
      </c>
      <c r="FT14" s="125" t="e">
        <f>'Assessment Issue Scoring'!#REF!</f>
        <v>#REF!</v>
      </c>
      <c r="FU14" s="125" t="e">
        <f>'Assessment Issue Scoring'!#REF!</f>
        <v>#REF!</v>
      </c>
      <c r="FV14" s="125" t="str">
        <f>'Assessment Issue Scoring'!H1512</f>
        <v>Wat 01 Water Consumption</v>
      </c>
      <c r="FW14" s="125" t="str">
        <f>'Assessment Issue Scoring'!H1513</f>
        <v>Mat01 Life Cycle Impacts</v>
      </c>
      <c r="FX14" s="125" t="str">
        <f>'Assessment Issue Scoring'!H1514</f>
        <v>Mat03 Responsible Sourcing of Materials</v>
      </c>
      <c r="FY14" s="125" t="str">
        <f>'Assessment Issue Scoring'!H1516</f>
        <v>Wst01 Construction Waste Management</v>
      </c>
      <c r="FZ14" s="125" t="str">
        <f>'Assessment Issue Scoring'!H1517</f>
        <v>Wst02 Recycled Aggregates</v>
      </c>
    </row>
    <row r="15" spans="1:222" ht="30" customHeight="1" x14ac:dyDescent="0.25">
      <c r="A15" s="136" t="s">
        <v>1285</v>
      </c>
      <c r="B15" s="136" t="s">
        <v>231</v>
      </c>
      <c r="C15" s="136" t="s">
        <v>1285</v>
      </c>
      <c r="D15" s="136" t="s">
        <v>1267</v>
      </c>
      <c r="E15" s="136" t="s">
        <v>1267</v>
      </c>
      <c r="F15" s="136" t="str">
        <f>'Assessment Issue Scoring'!L935</f>
        <v>kgCO2 eq.</v>
      </c>
      <c r="G15" s="136" t="str">
        <f>'Assessment Issue Scoring'!P935</f>
        <v>kgCO2 eq./m2</v>
      </c>
      <c r="H15" s="136" t="s">
        <v>231</v>
      </c>
      <c r="I15" s="136" t="s">
        <v>1300</v>
      </c>
      <c r="J15" s="136" t="s">
        <v>1301</v>
      </c>
      <c r="K15" s="136" t="s">
        <v>1300</v>
      </c>
      <c r="L15" s="136" t="s">
        <v>1300</v>
      </c>
      <c r="M15" s="136" t="s">
        <v>1301</v>
      </c>
      <c r="N15" s="136" t="s">
        <v>1300</v>
      </c>
      <c r="O15" s="136" t="s">
        <v>1300</v>
      </c>
      <c r="P15" s="136" t="s">
        <v>1301</v>
      </c>
      <c r="Q15" s="136" t="s">
        <v>1300</v>
      </c>
      <c r="R15" s="136"/>
      <c r="S15" s="136"/>
      <c r="T15" s="136" t="s">
        <v>1300</v>
      </c>
      <c r="U15" s="136" t="s">
        <v>1301</v>
      </c>
      <c r="V15" s="136" t="s">
        <v>1300</v>
      </c>
      <c r="W15" s="136" t="s">
        <v>1300</v>
      </c>
      <c r="X15" s="136" t="s">
        <v>1301</v>
      </c>
      <c r="Y15" s="136" t="s">
        <v>1300</v>
      </c>
      <c r="Z15" s="136" t="s">
        <v>1300</v>
      </c>
      <c r="AA15" s="136" t="s">
        <v>1301</v>
      </c>
      <c r="AB15" s="136" t="s">
        <v>1300</v>
      </c>
      <c r="AC15" s="136" t="s">
        <v>1285</v>
      </c>
      <c r="AD15" s="136" t="s">
        <v>231</v>
      </c>
      <c r="AE15" s="136" t="s">
        <v>1285</v>
      </c>
      <c r="AF15" s="136" t="s">
        <v>1285</v>
      </c>
      <c r="AG15" s="136" t="s">
        <v>231</v>
      </c>
      <c r="AH15" s="136" t="s">
        <v>1285</v>
      </c>
      <c r="AI15" s="136" t="s">
        <v>231</v>
      </c>
      <c r="AJ15" s="136" t="s">
        <v>1286</v>
      </c>
      <c r="AK15" s="136" t="s">
        <v>1286</v>
      </c>
      <c r="AL15" s="136"/>
      <c r="AM15" s="136"/>
      <c r="AN15" s="136"/>
      <c r="AO15" s="136" t="s">
        <v>1285</v>
      </c>
      <c r="AP15" s="136" t="s">
        <v>231</v>
      </c>
      <c r="AQ15" s="136" t="s">
        <v>1287</v>
      </c>
      <c r="AR15" s="136"/>
      <c r="AS15" s="136" t="s">
        <v>1285</v>
      </c>
      <c r="AT15" s="136" t="s">
        <v>231</v>
      </c>
      <c r="AU15" s="136" t="s">
        <v>289</v>
      </c>
      <c r="AV15" s="136" t="s">
        <v>289</v>
      </c>
      <c r="AW15" s="136" t="s">
        <v>1285</v>
      </c>
      <c r="AX15" s="136" t="s">
        <v>231</v>
      </c>
      <c r="AY15" s="136" t="s">
        <v>289</v>
      </c>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t="s">
        <v>1285</v>
      </c>
      <c r="BX15" s="136" t="s">
        <v>1285</v>
      </c>
      <c r="BY15" s="136" t="s">
        <v>1302</v>
      </c>
      <c r="BZ15" s="136" t="s">
        <v>231</v>
      </c>
      <c r="CA15" s="136" t="s">
        <v>1302</v>
      </c>
      <c r="CB15" s="136" t="s">
        <v>1302</v>
      </c>
      <c r="CC15" s="136" t="s">
        <v>1303</v>
      </c>
      <c r="CD15" s="136" t="str">
        <f>'Assessment Issue Scoring'!L1111</f>
        <v>Please Select Unit</v>
      </c>
      <c r="CE15" s="136" t="str">
        <f>'Assessment Issue Scoring'!L1112</f>
        <v>Please Select Unit</v>
      </c>
      <c r="CF15" s="136" t="str">
        <f>'Assessment Issue Scoring'!L1113</f>
        <v>%</v>
      </c>
      <c r="CG15" s="136" t="str">
        <f>'Assessment Issue Scoring'!L1114</f>
        <v>Please Select Unit</v>
      </c>
      <c r="CH15" s="136" t="str">
        <f>'Assessment Issue Scoring'!L1115</f>
        <v>Please Select Unit</v>
      </c>
      <c r="CI15" s="136" t="str">
        <f>'Assessment Issue Scoring'!L1116</f>
        <v>%</v>
      </c>
      <c r="CJ15" s="136" t="str">
        <f>'Assessment Issue Scoring'!L1117</f>
        <v>Please Select Unit</v>
      </c>
      <c r="CK15" s="136" t="str">
        <f>'Assessment Issue Scoring'!L1118</f>
        <v>Please Select Unit</v>
      </c>
      <c r="CL15" s="136" t="str">
        <f>'Assessment Issue Scoring'!L1119</f>
        <v>Please Select Unit</v>
      </c>
      <c r="CM15" s="136" t="str">
        <f>'Assessment Issue Scoring'!L1120</f>
        <v>Please Select Unit</v>
      </c>
      <c r="CN15" s="136" t="str">
        <f>'Assessment Issue Scoring'!L1121</f>
        <v>Please Select Unit</v>
      </c>
      <c r="CO15" s="136" t="s">
        <v>1285</v>
      </c>
      <c r="CP15" s="136" t="s">
        <v>231</v>
      </c>
      <c r="CQ15" s="136" t="s">
        <v>1285</v>
      </c>
      <c r="CR15" s="136" t="s">
        <v>231</v>
      </c>
      <c r="CS15" s="136" t="s">
        <v>231</v>
      </c>
      <c r="CT15" s="136" t="s">
        <v>231</v>
      </c>
      <c r="CU15" s="136" t="s">
        <v>231</v>
      </c>
      <c r="CV15" s="136" t="s">
        <v>231</v>
      </c>
      <c r="CW15" s="136" t="s">
        <v>231</v>
      </c>
      <c r="CX15" s="136" t="s">
        <v>231</v>
      </c>
      <c r="CY15" s="136"/>
      <c r="CZ15" s="136"/>
      <c r="DA15" s="136" t="s">
        <v>1285</v>
      </c>
      <c r="DB15" s="136" t="s">
        <v>231</v>
      </c>
      <c r="DC15" s="136" t="s">
        <v>1286</v>
      </c>
      <c r="DD15" s="136" t="s">
        <v>1286</v>
      </c>
      <c r="DE15" s="136" t="s">
        <v>1286</v>
      </c>
      <c r="DF15" s="136" t="s">
        <v>1285</v>
      </c>
      <c r="DG15" s="136" t="s">
        <v>231</v>
      </c>
      <c r="DH15" s="136" t="s">
        <v>1266</v>
      </c>
      <c r="DI15" s="136" t="s">
        <v>1285</v>
      </c>
      <c r="DJ15" s="136" t="s">
        <v>231</v>
      </c>
      <c r="DK15" s="136" t="s">
        <v>1285</v>
      </c>
      <c r="DL15" s="136" t="s">
        <v>1285</v>
      </c>
      <c r="DM15" s="136" t="s">
        <v>1285</v>
      </c>
      <c r="DN15" s="136" t="s">
        <v>231</v>
      </c>
      <c r="DO15" s="136" t="s">
        <v>1266</v>
      </c>
      <c r="DP15" s="136" t="s">
        <v>1286</v>
      </c>
      <c r="DQ15" s="136" t="s">
        <v>1286</v>
      </c>
      <c r="DR15" s="136" t="s">
        <v>1285</v>
      </c>
      <c r="DS15" s="136" t="s">
        <v>231</v>
      </c>
      <c r="DT15" s="136" t="s">
        <v>1266</v>
      </c>
      <c r="DU15" s="136" t="str">
        <f>'Assessment Issue Scoring'!L1320</f>
        <v>Plant species richness</v>
      </c>
      <c r="DV15" s="136" t="s">
        <v>1285</v>
      </c>
      <c r="DW15" s="136" t="s">
        <v>231</v>
      </c>
      <c r="DX15" s="136" t="s">
        <v>1286</v>
      </c>
      <c r="DY15" s="136" t="s">
        <v>1286</v>
      </c>
      <c r="DZ15" s="136" t="e">
        <f>'Assessment Issue Scoring'!#REF!</f>
        <v>#REF!</v>
      </c>
      <c r="EA15" s="136" t="s">
        <v>1285</v>
      </c>
      <c r="EB15" s="136" t="s">
        <v>231</v>
      </c>
      <c r="EC15" s="136" t="s">
        <v>1286</v>
      </c>
      <c r="ED15" s="136" t="s">
        <v>1286</v>
      </c>
      <c r="EE15" s="136" t="s">
        <v>1286</v>
      </c>
      <c r="EF15" s="136" t="s">
        <v>1286</v>
      </c>
      <c r="EG15" s="136" t="s">
        <v>1286</v>
      </c>
      <c r="EH15" s="136" t="s">
        <v>1286</v>
      </c>
      <c r="EI15" s="136" t="s">
        <v>1304</v>
      </c>
      <c r="EJ15" s="136" t="s">
        <v>231</v>
      </c>
      <c r="EK15" s="136" t="s">
        <v>1266</v>
      </c>
      <c r="EL15" s="136" t="s">
        <v>1267</v>
      </c>
      <c r="EM15" s="136" t="s">
        <v>1266</v>
      </c>
      <c r="EN15" s="136" t="str">
        <f>'Assessment Issue Scoring'!L1388</f>
        <v>kgCO2eq/kW coolth capacity</v>
      </c>
      <c r="EO15" s="136" t="str">
        <f>'Assessment Issue Scoring'!L1389</f>
        <v>kW</v>
      </c>
      <c r="EP15" s="136" t="s">
        <v>1285</v>
      </c>
      <c r="EQ15" s="136" t="s">
        <v>1285</v>
      </c>
      <c r="ER15" s="136" t="s">
        <v>231</v>
      </c>
      <c r="ES15" s="136" t="str">
        <f>'Assessment Issue Scoring'!L1409</f>
        <v>mg/kWh</v>
      </c>
      <c r="ET15" s="136" t="str">
        <f>'Assessment Issue Scoring'!L1410</f>
        <v>mg/kWh</v>
      </c>
      <c r="EU15" s="136" t="str">
        <f>'Assessment Issue Scoring'!L1411</f>
        <v>mg/kWh</v>
      </c>
      <c r="EV15" s="136" t="s">
        <v>1305</v>
      </c>
      <c r="EW15" s="136" t="str">
        <f>'Assessment Issue Scoring'!L1413</f>
        <v>kWh/m2 yr</v>
      </c>
      <c r="EX15" s="136" t="s">
        <v>1285</v>
      </c>
      <c r="EY15" s="136" t="s">
        <v>231</v>
      </c>
      <c r="EZ15" s="136" t="s">
        <v>1306</v>
      </c>
      <c r="FA15" s="136" t="s">
        <v>1286</v>
      </c>
      <c r="FB15" s="136" t="s">
        <v>1285</v>
      </c>
      <c r="FC15" s="136" t="s">
        <v>1285</v>
      </c>
      <c r="FD15" s="136" t="s">
        <v>1285</v>
      </c>
      <c r="FE15" s="136" t="s">
        <v>1285</v>
      </c>
      <c r="FF15" s="136" t="s">
        <v>1285</v>
      </c>
      <c r="FG15" s="136" t="s">
        <v>231</v>
      </c>
      <c r="FH15" s="136" t="s">
        <v>1285</v>
      </c>
      <c r="FI15" s="136" t="s">
        <v>1285</v>
      </c>
      <c r="FJ15" s="136" t="s">
        <v>231</v>
      </c>
      <c r="FK15" s="136" t="s">
        <v>1266</v>
      </c>
      <c r="FL15" s="136" t="s">
        <v>1286</v>
      </c>
      <c r="FM15" s="136" t="s">
        <v>1285</v>
      </c>
      <c r="FN15" s="136" t="s">
        <v>231</v>
      </c>
      <c r="FO15" s="136" t="s">
        <v>1285</v>
      </c>
      <c r="FP15" s="136" t="s">
        <v>1285</v>
      </c>
      <c r="FQ15" s="136" t="s">
        <v>1285</v>
      </c>
      <c r="FR15" s="136" t="s">
        <v>1285</v>
      </c>
      <c r="FS15" s="136" t="s">
        <v>1285</v>
      </c>
      <c r="FT15" s="136" t="s">
        <v>1285</v>
      </c>
      <c r="FU15" s="136" t="s">
        <v>1285</v>
      </c>
      <c r="FV15" s="136" t="s">
        <v>1285</v>
      </c>
      <c r="FW15" s="136" t="s">
        <v>1285</v>
      </c>
      <c r="FX15" s="136" t="s">
        <v>1285</v>
      </c>
      <c r="FY15" s="136" t="s">
        <v>1285</v>
      </c>
      <c r="FZ15" s="136" t="s">
        <v>1285</v>
      </c>
    </row>
    <row r="16" spans="1:222" ht="39.950000000000003" customHeight="1" x14ac:dyDescent="0.25">
      <c r="A16" s="111">
        <f>Mat01_tot</f>
        <v>0</v>
      </c>
      <c r="B16" s="113">
        <f>Mat01_28</f>
        <v>0</v>
      </c>
      <c r="C16" s="111">
        <f>Mat01_08</f>
        <v>0</v>
      </c>
      <c r="D16" s="111">
        <f>Mat01_05</f>
        <v>0</v>
      </c>
      <c r="E16" s="111" t="e">
        <f>Mat01_04</f>
        <v>#REF!</v>
      </c>
      <c r="F16" s="111" t="str">
        <f>Mat01_KPI01</f>
        <v>Missing data</v>
      </c>
      <c r="G16" s="111" t="str">
        <f>Mat01_KPI02</f>
        <v/>
      </c>
      <c r="H16" s="113" t="str">
        <f>Mat01_KPI03</f>
        <v/>
      </c>
      <c r="I16" s="111">
        <f>Mat01_09</f>
        <v>0</v>
      </c>
      <c r="J16" s="111">
        <f>Mat01_15</f>
        <v>0</v>
      </c>
      <c r="K16" s="111">
        <f>Mat01_21</f>
        <v>0</v>
      </c>
      <c r="L16" s="111">
        <f>Mat01_10</f>
        <v>0</v>
      </c>
      <c r="M16" s="111">
        <f>Mat01_16</f>
        <v>0</v>
      </c>
      <c r="N16" s="111">
        <f>Mat01_22</f>
        <v>0</v>
      </c>
      <c r="O16" s="111">
        <f>Mat01_11</f>
        <v>0</v>
      </c>
      <c r="P16" s="111">
        <f>Mat01_17</f>
        <v>0</v>
      </c>
      <c r="Q16" s="111">
        <f>Mat01_23</f>
        <v>0</v>
      </c>
      <c r="R16" s="111"/>
      <c r="S16" s="111"/>
      <c r="T16" s="111">
        <f>Mat01_12</f>
        <v>0</v>
      </c>
      <c r="U16" s="111">
        <f>Mat01_18</f>
        <v>0</v>
      </c>
      <c r="V16" s="111">
        <f>Mat01_24</f>
        <v>0</v>
      </c>
      <c r="W16" s="111">
        <f>Mat01_13</f>
        <v>0</v>
      </c>
      <c r="X16" s="111">
        <f>Mat01_19</f>
        <v>0</v>
      </c>
      <c r="Y16" s="111">
        <f>Mat01_25</f>
        <v>0</v>
      </c>
      <c r="Z16" s="111">
        <f>Mat01_14</f>
        <v>0</v>
      </c>
      <c r="AA16" s="111">
        <f>Mat01_20</f>
        <v>0</v>
      </c>
      <c r="AB16" s="111">
        <f>Mat01_26</f>
        <v>0</v>
      </c>
      <c r="AC16" s="111">
        <f>Mat02_tot</f>
        <v>0</v>
      </c>
      <c r="AD16" s="113">
        <f>Mat02_06</f>
        <v>0</v>
      </c>
      <c r="AE16" s="111">
        <f>Mat02_04</f>
        <v>0</v>
      </c>
      <c r="AF16" s="111">
        <f>Mat03_tot</f>
        <v>0</v>
      </c>
      <c r="AG16" s="113">
        <f>Mat03_38</f>
        <v>0</v>
      </c>
      <c r="AH16" s="111">
        <f>Mat03_35</f>
        <v>0</v>
      </c>
      <c r="AI16" s="113">
        <f>Mat03_03</f>
        <v>0</v>
      </c>
      <c r="AJ16" s="111">
        <f>Mat03_06</f>
        <v>0</v>
      </c>
      <c r="AK16" s="111">
        <f>Mat03susproc</f>
        <v>0</v>
      </c>
      <c r="AL16" s="111"/>
      <c r="AM16" s="111"/>
      <c r="AN16" s="113"/>
      <c r="AO16" s="111">
        <f>Mat04_tot</f>
        <v>0</v>
      </c>
      <c r="AP16" s="113">
        <f>Mat04_10</f>
        <v>0</v>
      </c>
      <c r="AQ16" s="111">
        <f>Mat04_01</f>
        <v>0</v>
      </c>
      <c r="AR16" s="111"/>
      <c r="AS16" s="111">
        <f>Mat05_tot</f>
        <v>0</v>
      </c>
      <c r="AT16" s="113">
        <f>Mat05_06</f>
        <v>0</v>
      </c>
      <c r="AU16" s="111">
        <f>Mat05_01</f>
        <v>0</v>
      </c>
      <c r="AV16" s="111">
        <f>Mat05_01a</f>
        <v>0</v>
      </c>
      <c r="AW16" s="112">
        <f>Mat06_tot</f>
        <v>0</v>
      </c>
      <c r="AX16" s="557">
        <f>'Assessment Issue Scoring'!H1043</f>
        <v>0</v>
      </c>
      <c r="AY16" s="111">
        <f>Mat06_01</f>
        <v>0</v>
      </c>
      <c r="AZ16" s="113"/>
      <c r="BA16" s="111"/>
      <c r="BB16" s="111"/>
      <c r="BC16" s="113"/>
      <c r="BD16" s="111"/>
      <c r="BE16" s="111"/>
      <c r="BF16" s="113"/>
      <c r="BG16" s="111"/>
      <c r="BH16" s="111"/>
      <c r="BI16" s="113"/>
      <c r="BJ16" s="111"/>
      <c r="BK16" s="111"/>
      <c r="BL16" s="113"/>
      <c r="BM16" s="111"/>
      <c r="BN16" s="111"/>
      <c r="BO16" s="111"/>
      <c r="BP16" s="111"/>
      <c r="BQ16" s="113"/>
      <c r="BR16" s="111"/>
      <c r="BS16" s="111"/>
      <c r="BT16" s="113"/>
      <c r="BU16" s="111"/>
      <c r="BV16" s="113"/>
      <c r="BW16" s="111">
        <f>Wst01_17</f>
        <v>0</v>
      </c>
      <c r="BX16" s="111">
        <f>Wst01_tot</f>
        <v>0</v>
      </c>
      <c r="BY16" s="111">
        <f>Wst01_01a</f>
        <v>0</v>
      </c>
      <c r="BZ16" s="113">
        <f>Wst01_28</f>
        <v>0</v>
      </c>
      <c r="CA16" s="111">
        <f>Wst01_01</f>
        <v>0</v>
      </c>
      <c r="CB16" s="111">
        <f>Wst01_15</f>
        <v>0</v>
      </c>
      <c r="CC16" s="111">
        <f>Wst01_04</f>
        <v>0</v>
      </c>
      <c r="CD16" s="111">
        <f>Wst01_02</f>
        <v>0</v>
      </c>
      <c r="CE16" s="111" t="str">
        <f>Wst01_03</f>
        <v>INA</v>
      </c>
      <c r="CF16" s="113">
        <f>Wst01_05</f>
        <v>0</v>
      </c>
      <c r="CG16" s="111" t="str">
        <f>Wst01_06</f>
        <v>INA</v>
      </c>
      <c r="CH16" s="111">
        <f>Wst01_29</f>
        <v>0</v>
      </c>
      <c r="CI16" s="111">
        <f>Wst01_07</f>
        <v>0</v>
      </c>
      <c r="CJ16" s="111" t="str">
        <f>Wst01_08</f>
        <v>INA</v>
      </c>
      <c r="CK16" s="111">
        <f>Wst01_09</f>
        <v>0</v>
      </c>
      <c r="CL16" s="111">
        <f>Wst01_10</f>
        <v>0</v>
      </c>
      <c r="CM16" s="111">
        <f>Wst01_11</f>
        <v>0</v>
      </c>
      <c r="CN16" s="111">
        <f>Wst01_12</f>
        <v>0</v>
      </c>
      <c r="CO16" s="111">
        <f>Wst02_tot</f>
        <v>0</v>
      </c>
      <c r="CP16" s="113">
        <f>Wst02_15</f>
        <v>0</v>
      </c>
      <c r="CQ16" s="111">
        <f>Wst02_11</f>
        <v>0</v>
      </c>
      <c r="CR16" s="113" t="str">
        <f>Wst02_01</f>
        <v>Input Required</v>
      </c>
      <c r="CS16" s="113">
        <f>Wst02_02</f>
        <v>0</v>
      </c>
      <c r="CT16" s="113">
        <f>Wst02_03</f>
        <v>0</v>
      </c>
      <c r="CU16" s="113">
        <f>Wst02_04</f>
        <v>0</v>
      </c>
      <c r="CV16" s="113">
        <f>Wst02_05</f>
        <v>0</v>
      </c>
      <c r="CW16" s="113">
        <f>Wst02_06</f>
        <v>0</v>
      </c>
      <c r="CX16" s="113">
        <f>Wst02_08</f>
        <v>0</v>
      </c>
      <c r="CY16" s="113"/>
      <c r="CZ16" s="113"/>
      <c r="DA16" s="108">
        <f>Wst03_tot</f>
        <v>0</v>
      </c>
      <c r="DB16" s="152">
        <f>Wst03_13</f>
        <v>0</v>
      </c>
      <c r="DC16" s="108">
        <f>Wst03_02</f>
        <v>0</v>
      </c>
      <c r="DD16" s="111">
        <f>Wst03_03</f>
        <v>0</v>
      </c>
      <c r="DE16" s="111">
        <f>Wst03_04</f>
        <v>0</v>
      </c>
      <c r="DF16" s="111" t="str">
        <f>Wst04_tot</f>
        <v>N/A</v>
      </c>
      <c r="DG16" s="113" t="str">
        <f>Wst04_09</f>
        <v>N/A</v>
      </c>
      <c r="DH16" s="111" t="str">
        <f>Wst04_03</f>
        <v>Please select</v>
      </c>
      <c r="DI16" s="111">
        <f>LE01_tot</f>
        <v>0</v>
      </c>
      <c r="DJ16" s="113">
        <f>LE01_08</f>
        <v>0</v>
      </c>
      <c r="DK16" s="111">
        <f>LE01_05</f>
        <v>0</v>
      </c>
      <c r="DL16" s="111">
        <f>LE01_06</f>
        <v>0</v>
      </c>
      <c r="DM16" s="111">
        <f>LE02_tot</f>
        <v>0</v>
      </c>
      <c r="DN16" s="113">
        <f>LE02_08</f>
        <v>0</v>
      </c>
      <c r="DO16" s="111" t="str">
        <f>LE02_02</f>
        <v>The BREEAM-SE checklist (Table 47)</v>
      </c>
      <c r="DP16" s="111">
        <f>LE02_03</f>
        <v>0</v>
      </c>
      <c r="DQ16" s="111">
        <f>LE02_04</f>
        <v>0</v>
      </c>
      <c r="DR16" s="111">
        <f>LE03_tot</f>
        <v>0</v>
      </c>
      <c r="DS16" s="113">
        <f>LE03_10</f>
        <v>0</v>
      </c>
      <c r="DT16" s="111" t="str">
        <f>LE03_02</f>
        <v>Please select</v>
      </c>
      <c r="DU16" s="111">
        <f>LE03_03</f>
        <v>0</v>
      </c>
      <c r="DV16" s="111">
        <f>LE04_tot</f>
        <v>0</v>
      </c>
      <c r="DW16" s="113">
        <f>LE04_14</f>
        <v>0</v>
      </c>
      <c r="DX16" s="111">
        <f>LE04_02</f>
        <v>0</v>
      </c>
      <c r="DY16" s="111">
        <f>LE04_03</f>
        <v>0</v>
      </c>
      <c r="DZ16" s="111" t="e">
        <f>LE04_04</f>
        <v>#REF!</v>
      </c>
      <c r="EA16" s="111">
        <f>LE05_tot</f>
        <v>0</v>
      </c>
      <c r="EB16" s="113">
        <f>LE05_15</f>
        <v>0</v>
      </c>
      <c r="EC16" s="111">
        <f>LE05_02</f>
        <v>0</v>
      </c>
      <c r="ED16" s="111">
        <f>LE05_03</f>
        <v>0</v>
      </c>
      <c r="EE16" s="111" t="str">
        <f>LE05_04</f>
        <v>Please Select</v>
      </c>
      <c r="EF16" s="111" t="str">
        <f>LE05_05</f>
        <v>Please Select</v>
      </c>
      <c r="EG16" s="111" t="e">
        <f>LE05_06</f>
        <v>#REF!</v>
      </c>
      <c r="EH16" s="111" t="e">
        <f>LE05_07</f>
        <v>#REF!</v>
      </c>
      <c r="EI16" s="111">
        <f>Pol01_tot</f>
        <v>0</v>
      </c>
      <c r="EJ16" s="113" t="str">
        <f>Pol01_20</f>
        <v/>
      </c>
      <c r="EK16" s="111">
        <f>Pol01_02</f>
        <v>0</v>
      </c>
      <c r="EL16" s="108" t="b">
        <f>Pol01_04</f>
        <v>0</v>
      </c>
      <c r="EM16" s="111">
        <f>Pol01_06</f>
        <v>0</v>
      </c>
      <c r="EN16" s="111">
        <f>Pol01_07</f>
        <v>0</v>
      </c>
      <c r="EO16" s="111">
        <f>Pol01_21</f>
        <v>0</v>
      </c>
      <c r="EP16" s="111">
        <f>Pol01_10</f>
        <v>0</v>
      </c>
      <c r="EQ16" s="111">
        <f>Pol02_tot</f>
        <v>0</v>
      </c>
      <c r="ER16" s="113" t="str">
        <f>Pol02_27</f>
        <v/>
      </c>
      <c r="ES16" s="111">
        <f>Pol02_20</f>
        <v>0</v>
      </c>
      <c r="ET16" s="395">
        <f>Pol02_29</f>
        <v>0</v>
      </c>
      <c r="EU16" s="395">
        <f>Pol02_21</f>
        <v>0</v>
      </c>
      <c r="EV16" s="395">
        <f>Pol02_30</f>
        <v>0</v>
      </c>
      <c r="EW16" s="111">
        <f>Pol01_KPI02</f>
        <v>0</v>
      </c>
      <c r="EX16" s="108">
        <f>Pol03_tot</f>
        <v>0</v>
      </c>
      <c r="EY16" s="152" t="str">
        <f>Pol03_15</f>
        <v/>
      </c>
      <c r="EZ16" s="111" t="str">
        <f>Pol03_01</f>
        <v>Please select</v>
      </c>
      <c r="FA16" s="111">
        <f>Pol03_02</f>
        <v>0</v>
      </c>
      <c r="FB16" s="111">
        <f>Pol03_10</f>
        <v>0</v>
      </c>
      <c r="FC16" s="111">
        <f>Pol03_11</f>
        <v>0</v>
      </c>
      <c r="FD16" s="111">
        <f>Pol03_12</f>
        <v>0</v>
      </c>
      <c r="FE16" s="111">
        <f>Pol03_13</f>
        <v>0</v>
      </c>
      <c r="FF16" s="111">
        <f>Pol04_tot</f>
        <v>0</v>
      </c>
      <c r="FG16" s="113" t="str">
        <f>Pol04_06</f>
        <v/>
      </c>
      <c r="FH16" s="111">
        <f>Pol04_03</f>
        <v>0</v>
      </c>
      <c r="FI16" s="111">
        <f>Pol05_tot</f>
        <v>0</v>
      </c>
      <c r="FJ16" s="113" t="str">
        <f>Pol05_11</f>
        <v/>
      </c>
      <c r="FK16" s="111">
        <f>Pol05_02</f>
        <v>0</v>
      </c>
      <c r="FL16" s="111">
        <f>IF(Pol05_02=AIS_No,AIS_NA,Pol05_03)</f>
        <v>0</v>
      </c>
      <c r="FM16" s="111">
        <f>Inn01_tot</f>
        <v>0</v>
      </c>
      <c r="FN16" s="111">
        <f>Inn01_04</f>
        <v>0</v>
      </c>
      <c r="FO16" s="111">
        <f>Inn01_01</f>
        <v>0</v>
      </c>
      <c r="FP16" s="111">
        <f>'Assessment Issue Scoring'!N1506</f>
        <v>0</v>
      </c>
      <c r="FQ16" s="111">
        <f>'Assessment Issue Scoring'!N1507</f>
        <v>0</v>
      </c>
      <c r="FR16" s="111" t="str">
        <f>'Assessment Issue Scoring'!N1508</f>
        <v>N/A</v>
      </c>
      <c r="FS16" s="111">
        <f>'Assessment Issue Scoring'!N1510</f>
        <v>0</v>
      </c>
      <c r="FT16" s="111" t="e">
        <f>'Assessment Issue Scoring'!#REF!</f>
        <v>#REF!</v>
      </c>
      <c r="FU16" s="111" t="e">
        <f>'Assessment Issue Scoring'!#REF!</f>
        <v>#REF!</v>
      </c>
      <c r="FV16" s="111">
        <f>'Assessment Issue Scoring'!N1512</f>
        <v>0</v>
      </c>
      <c r="FW16" s="111">
        <f>'Assessment Issue Scoring'!N1513</f>
        <v>0</v>
      </c>
      <c r="FX16" s="111">
        <f>'Assessment Issue Scoring'!N1514</f>
        <v>0</v>
      </c>
      <c r="FY16" s="111">
        <f>'Assessment Issue Scoring'!N1516</f>
        <v>0</v>
      </c>
      <c r="FZ16" s="111">
        <f>'Assessment Issue Scoring'!N1517</f>
        <v>0</v>
      </c>
    </row>
    <row r="17" spans="8:8" x14ac:dyDescent="0.25">
      <c r="H17" s="53"/>
    </row>
    <row r="18" spans="8:8" x14ac:dyDescent="0.25">
      <c r="H18" s="53"/>
    </row>
    <row r="19" spans="8:8" x14ac:dyDescent="0.25">
      <c r="H19" s="53"/>
    </row>
    <row r="20" spans="8:8" x14ac:dyDescent="0.25">
      <c r="H20" s="53"/>
    </row>
    <row r="21" spans="8:8" x14ac:dyDescent="0.25">
      <c r="H21" s="53"/>
    </row>
    <row r="22" spans="8:8" x14ac:dyDescent="0.25">
      <c r="H22" s="53"/>
    </row>
    <row r="23" spans="8:8" x14ac:dyDescent="0.25">
      <c r="H23" s="53"/>
    </row>
    <row r="24" spans="8:8" x14ac:dyDescent="0.25">
      <c r="H24" s="53"/>
    </row>
    <row r="25" spans="8:8" x14ac:dyDescent="0.25">
      <c r="H25" s="53"/>
    </row>
    <row r="26" spans="8:8" x14ac:dyDescent="0.25">
      <c r="H26" s="53"/>
    </row>
    <row r="27" spans="8:8" ht="18.75" customHeight="1" x14ac:dyDescent="0.25">
      <c r="H27" s="53"/>
    </row>
    <row r="28" spans="8:8" ht="16.5" customHeight="1" x14ac:dyDescent="0.25">
      <c r="H28" s="53"/>
    </row>
    <row r="29" spans="8:8" x14ac:dyDescent="0.25">
      <c r="H29" s="53"/>
    </row>
    <row r="30" spans="8:8" x14ac:dyDescent="0.25">
      <c r="H30" s="53"/>
    </row>
    <row r="31" spans="8:8" x14ac:dyDescent="0.25">
      <c r="H31" s="53"/>
    </row>
    <row r="32" spans="8:8" x14ac:dyDescent="0.25">
      <c r="H32" s="53"/>
    </row>
    <row r="33" spans="8:8" ht="18" customHeight="1" x14ac:dyDescent="0.25">
      <c r="H33" s="53"/>
    </row>
    <row r="34" spans="8:8" x14ac:dyDescent="0.25">
      <c r="H34" s="53"/>
    </row>
    <row r="35" spans="8:8" x14ac:dyDescent="0.25">
      <c r="H35" s="53"/>
    </row>
    <row r="36" spans="8:8" x14ac:dyDescent="0.25">
      <c r="H36" s="53"/>
    </row>
    <row r="37" spans="8:8" x14ac:dyDescent="0.25">
      <c r="H37" s="53"/>
    </row>
    <row r="38" spans="8:8" x14ac:dyDescent="0.25">
      <c r="H38" s="53"/>
    </row>
    <row r="39" spans="8:8" x14ac:dyDescent="0.25">
      <c r="H39" s="53"/>
    </row>
    <row r="40" spans="8:8" x14ac:dyDescent="0.25">
      <c r="H40" s="53"/>
    </row>
    <row r="41" spans="8:8" x14ac:dyDescent="0.25">
      <c r="H41" s="53"/>
    </row>
    <row r="42" spans="8:8" x14ac:dyDescent="0.25">
      <c r="H42" s="53"/>
    </row>
    <row r="43" spans="8:8" x14ac:dyDescent="0.25">
      <c r="H43" s="53"/>
    </row>
    <row r="44" spans="8:8" x14ac:dyDescent="0.25">
      <c r="H44" s="53"/>
    </row>
    <row r="45" spans="8:8" ht="16.5" customHeight="1" x14ac:dyDescent="0.25">
      <c r="H45" s="53"/>
    </row>
    <row r="46" spans="8:8" x14ac:dyDescent="0.25">
      <c r="H46" s="53"/>
    </row>
    <row r="47" spans="8:8" x14ac:dyDescent="0.25">
      <c r="H47" s="53"/>
    </row>
    <row r="48" spans="8:8" x14ac:dyDescent="0.25">
      <c r="H48" s="53"/>
    </row>
    <row r="49" spans="8:8" x14ac:dyDescent="0.25">
      <c r="H49" s="53"/>
    </row>
    <row r="50" spans="8:8" x14ac:dyDescent="0.25">
      <c r="H50" s="53"/>
    </row>
    <row r="51" spans="8:8" x14ac:dyDescent="0.25">
      <c r="H51" s="53"/>
    </row>
    <row r="52" spans="8:8" x14ac:dyDescent="0.25">
      <c r="H52" s="53"/>
    </row>
    <row r="53" spans="8:8" x14ac:dyDescent="0.25">
      <c r="H53" s="53"/>
    </row>
    <row r="54" spans="8:8" x14ac:dyDescent="0.25">
      <c r="H54" s="53"/>
    </row>
    <row r="55" spans="8:8" x14ac:dyDescent="0.25">
      <c r="H55" s="53"/>
    </row>
    <row r="56" spans="8:8" x14ac:dyDescent="0.25">
      <c r="H56" s="53"/>
    </row>
    <row r="57" spans="8:8" x14ac:dyDescent="0.25">
      <c r="H57" s="53"/>
    </row>
    <row r="58" spans="8:8" x14ac:dyDescent="0.25">
      <c r="H58" s="53"/>
    </row>
    <row r="59" spans="8:8" x14ac:dyDescent="0.25">
      <c r="H59" s="53"/>
    </row>
    <row r="60" spans="8:8" ht="18.75" customHeight="1" x14ac:dyDescent="0.25">
      <c r="H60" s="53"/>
    </row>
    <row r="61" spans="8:8" x14ac:dyDescent="0.25">
      <c r="H61" s="53"/>
    </row>
    <row r="62" spans="8:8" x14ac:dyDescent="0.25">
      <c r="H62" s="53"/>
    </row>
    <row r="63" spans="8:8" x14ac:dyDescent="0.25">
      <c r="H63" s="53"/>
    </row>
    <row r="64" spans="8:8" ht="18" customHeight="1" x14ac:dyDescent="0.25">
      <c r="H64" s="53"/>
    </row>
    <row r="65" spans="8:8" x14ac:dyDescent="0.25">
      <c r="H65" s="53"/>
    </row>
  </sheetData>
  <sheetProtection algorithmName="SHA-512" hashValue="haqKT2X3N7pGVWCVpcYU/DTnLKp78EZuv8LgljrjO2EU0cpB+44u3oQl8cU75Uesp0Db+Jm5zXEQkRCAtap+cA==" saltValue="cRifnrKQ+WsBTF0SN5vLjg==" spinCount="100000" sheet="1" objects="1" scenarios="1" selectLockedCells="1" selectUnlockedCells="1"/>
  <mergeCells count="3">
    <mergeCell ref="AO13:AQ13"/>
    <mergeCell ref="AS13:AV13"/>
    <mergeCell ref="AW13:AZ13"/>
  </mergeCell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249977111117893"/>
    <pageSetUpPr fitToPage="1"/>
  </sheetPr>
  <dimension ref="B1:Y359"/>
  <sheetViews>
    <sheetView topLeftCell="A2" zoomScale="90" zoomScaleNormal="90" workbookViewId="0">
      <selection activeCell="D9" sqref="D9:P9"/>
    </sheetView>
  </sheetViews>
  <sheetFormatPr defaultColWidth="9.140625" defaultRowHeight="15" x14ac:dyDescent="0.25"/>
  <cols>
    <col min="1" max="1" width="2.7109375" style="163" customWidth="1"/>
    <col min="2" max="2" width="11.5703125" style="163" customWidth="1"/>
    <col min="3" max="3" width="0.7109375" style="163" customWidth="1"/>
    <col min="4" max="5" width="9.140625" style="163"/>
    <col min="6" max="6" width="0.28515625" style="163" customWidth="1"/>
    <col min="7" max="13" width="9.140625" style="163"/>
    <col min="14" max="14" width="9.140625" style="163" customWidth="1"/>
    <col min="15" max="16" width="9.140625" style="163"/>
    <col min="17" max="17" width="0.7109375" style="163" customWidth="1"/>
    <col min="18" max="18" width="12.7109375" style="163" customWidth="1"/>
    <col min="19" max="19" width="0.7109375" style="163" customWidth="1"/>
    <col min="20" max="20" width="42.7109375" style="163" customWidth="1"/>
    <col min="21" max="21" width="0.7109375" style="163" customWidth="1"/>
    <col min="22" max="22" width="69.85546875" style="164" customWidth="1"/>
    <col min="23" max="23" width="11.42578125" style="163" customWidth="1"/>
    <col min="24" max="24" width="9.140625" style="165" hidden="1" customWidth="1"/>
    <col min="25" max="25" width="9.140625" style="163" hidden="1" customWidth="1"/>
    <col min="26" max="16384" width="9.140625" style="163"/>
  </cols>
  <sheetData>
    <row r="1" spans="2:24" s="1" customFormat="1" ht="23.1" customHeight="1" x14ac:dyDescent="0.25">
      <c r="B1" s="169"/>
      <c r="V1" s="170"/>
      <c r="X1" s="171"/>
    </row>
    <row r="2" spans="2:24" s="1" customFormat="1" ht="36" customHeight="1" x14ac:dyDescent="0.35">
      <c r="B2" s="187" t="str">
        <f>IF(OR(projecttype='Assessment Details'!Z209,projecttype=""),"BREEAM SE New Construction 2017 Assessment Report: Assessment Validation References","BREEAM SE Bespoke  New Construction 2017 Assessment Report: Assessment Validation References")</f>
        <v>BREEAM SE New Construction 2017 Assessment Report: Assessment Validation References</v>
      </c>
      <c r="C2" s="383"/>
      <c r="D2" s="384"/>
      <c r="E2" s="384"/>
      <c r="F2" s="384"/>
      <c r="G2" s="384"/>
      <c r="H2" s="384"/>
      <c r="I2" s="384"/>
      <c r="J2" s="384"/>
      <c r="K2" s="384"/>
      <c r="L2" s="384"/>
      <c r="M2" s="384"/>
      <c r="N2" s="384"/>
      <c r="O2" s="384"/>
      <c r="P2" s="384"/>
      <c r="Q2" s="384"/>
      <c r="R2" s="384"/>
      <c r="S2" s="384"/>
      <c r="T2" s="384"/>
      <c r="U2" s="384"/>
      <c r="V2" s="385"/>
      <c r="X2" s="171"/>
    </row>
    <row r="3" spans="2:24" s="1" customFormat="1" ht="15.75" x14ac:dyDescent="0.25">
      <c r="B3" s="290" t="str">
        <f>IF(AD_Mandatory_fields_text=AIS_statement09,"Warning: All Mandatory fields in the assessment details worksheet must be completed/defined before the assessment can begin.","")</f>
        <v>Warning: All Mandatory fields in the assessment details worksheet must be completed/defined before the assessment can begin.</v>
      </c>
      <c r="V3" s="170"/>
      <c r="X3" s="171"/>
    </row>
    <row r="4" spans="2:24" s="1" customFormat="1" ht="21.95" customHeight="1" x14ac:dyDescent="0.25">
      <c r="B4" s="386"/>
      <c r="C4" s="386"/>
      <c r="D4" s="386"/>
      <c r="E4" s="392" t="s">
        <v>1307</v>
      </c>
      <c r="G4" s="226" t="str">
        <f>IF(ADBN="","",ADBN)</f>
        <v/>
      </c>
      <c r="H4" s="172"/>
      <c r="I4" s="172"/>
      <c r="J4" s="172"/>
      <c r="K4" s="172"/>
      <c r="L4" s="172"/>
      <c r="M4" s="172"/>
      <c r="N4" s="172"/>
      <c r="O4" s="172"/>
      <c r="P4" s="172"/>
      <c r="Q4" s="172"/>
      <c r="R4" s="172"/>
      <c r="S4" s="172"/>
      <c r="T4" s="172"/>
      <c r="U4" s="172"/>
      <c r="V4" s="173"/>
      <c r="X4" s="171"/>
    </row>
    <row r="5" spans="2:24" s="1" customFormat="1" x14ac:dyDescent="0.25">
      <c r="V5" s="170"/>
      <c r="X5" s="171"/>
    </row>
    <row r="6" spans="2:24" s="338" customFormat="1" ht="31.5" x14ac:dyDescent="0.25">
      <c r="B6" s="336" t="s">
        <v>1308</v>
      </c>
      <c r="D6" s="336" t="s">
        <v>1309</v>
      </c>
      <c r="E6" s="336"/>
      <c r="F6" s="336"/>
      <c r="G6" s="336"/>
      <c r="H6" s="336"/>
      <c r="I6" s="336"/>
      <c r="J6" s="336"/>
      <c r="K6" s="336"/>
      <c r="L6" s="336"/>
      <c r="M6" s="336"/>
      <c r="N6" s="336"/>
      <c r="O6" s="336"/>
      <c r="P6" s="336"/>
      <c r="Q6" s="336"/>
      <c r="R6" s="388" t="s">
        <v>1310</v>
      </c>
      <c r="S6" s="336"/>
      <c r="T6" s="336" t="s">
        <v>1311</v>
      </c>
      <c r="U6" s="388"/>
      <c r="V6" s="388" t="s">
        <v>1312</v>
      </c>
      <c r="W6" s="387"/>
      <c r="X6" s="315"/>
    </row>
    <row r="7" spans="2:24" ht="32.25" customHeight="1" x14ac:dyDescent="0.25">
      <c r="B7" s="389">
        <v>1</v>
      </c>
      <c r="C7" s="390"/>
      <c r="D7" s="846" t="s">
        <v>1313</v>
      </c>
      <c r="E7" s="849"/>
      <c r="F7" s="849"/>
      <c r="G7" s="849"/>
      <c r="H7" s="849"/>
      <c r="I7" s="849"/>
      <c r="J7" s="849"/>
      <c r="K7" s="849"/>
      <c r="L7" s="849"/>
      <c r="M7" s="849"/>
      <c r="N7" s="849"/>
      <c r="O7" s="849"/>
      <c r="P7" s="850"/>
      <c r="Q7" s="482"/>
      <c r="R7" s="483" t="s">
        <v>1314</v>
      </c>
      <c r="S7" s="482"/>
      <c r="T7" s="484" t="s">
        <v>1315</v>
      </c>
      <c r="U7" s="485"/>
      <c r="V7" s="391" t="s">
        <v>1316</v>
      </c>
    </row>
    <row r="8" spans="2:24" ht="34.5" customHeight="1" x14ac:dyDescent="0.25">
      <c r="B8" s="389">
        <v>2</v>
      </c>
      <c r="C8" s="390"/>
      <c r="D8" s="846" t="s">
        <v>1317</v>
      </c>
      <c r="E8" s="849"/>
      <c r="F8" s="849"/>
      <c r="G8" s="849"/>
      <c r="H8" s="849"/>
      <c r="I8" s="849"/>
      <c r="J8" s="849"/>
      <c r="K8" s="849"/>
      <c r="L8" s="849"/>
      <c r="M8" s="849"/>
      <c r="N8" s="849"/>
      <c r="O8" s="849"/>
      <c r="P8" s="850"/>
      <c r="Q8" s="482"/>
      <c r="R8" s="483" t="s">
        <v>1318</v>
      </c>
      <c r="S8" s="482"/>
      <c r="T8" s="484" t="s">
        <v>1319</v>
      </c>
      <c r="U8" s="485"/>
      <c r="V8" s="391" t="s">
        <v>1320</v>
      </c>
    </row>
    <row r="9" spans="2:24" ht="15.75" x14ac:dyDescent="0.25">
      <c r="B9" s="389">
        <v>3</v>
      </c>
      <c r="C9" s="390"/>
      <c r="D9" s="846"/>
      <c r="E9" s="847"/>
      <c r="F9" s="847"/>
      <c r="G9" s="847"/>
      <c r="H9" s="847"/>
      <c r="I9" s="847"/>
      <c r="J9" s="847"/>
      <c r="K9" s="847"/>
      <c r="L9" s="847"/>
      <c r="M9" s="847"/>
      <c r="N9" s="847"/>
      <c r="O9" s="847"/>
      <c r="P9" s="848"/>
      <c r="Q9" s="482"/>
      <c r="R9" s="483"/>
      <c r="S9" s="482"/>
      <c r="T9" s="484"/>
      <c r="U9" s="485"/>
      <c r="V9" s="391"/>
    </row>
    <row r="10" spans="2:24" ht="15" customHeight="1" x14ac:dyDescent="0.25">
      <c r="B10" s="389">
        <v>4</v>
      </c>
      <c r="C10" s="390"/>
      <c r="D10" s="843"/>
      <c r="E10" s="844"/>
      <c r="F10" s="844"/>
      <c r="G10" s="844"/>
      <c r="H10" s="844"/>
      <c r="I10" s="844"/>
      <c r="J10" s="844"/>
      <c r="K10" s="844"/>
      <c r="L10" s="844"/>
      <c r="M10" s="844"/>
      <c r="N10" s="844"/>
      <c r="O10" s="844"/>
      <c r="P10" s="845"/>
      <c r="Q10" s="482"/>
      <c r="R10" s="483"/>
      <c r="S10" s="482"/>
      <c r="T10" s="484"/>
      <c r="U10" s="485"/>
      <c r="V10" s="391"/>
    </row>
    <row r="11" spans="2:24" ht="15" customHeight="1" x14ac:dyDescent="0.25">
      <c r="B11" s="389">
        <v>5</v>
      </c>
      <c r="C11" s="390"/>
      <c r="D11" s="843"/>
      <c r="E11" s="844"/>
      <c r="F11" s="844"/>
      <c r="G11" s="844"/>
      <c r="H11" s="844"/>
      <c r="I11" s="844"/>
      <c r="J11" s="844"/>
      <c r="K11" s="844"/>
      <c r="L11" s="844"/>
      <c r="M11" s="844"/>
      <c r="N11" s="844"/>
      <c r="O11" s="844"/>
      <c r="P11" s="845"/>
      <c r="Q11" s="482"/>
      <c r="R11" s="483"/>
      <c r="S11" s="482"/>
      <c r="T11" s="484"/>
      <c r="U11" s="485"/>
      <c r="V11" s="391"/>
    </row>
    <row r="12" spans="2:24" ht="15.75" x14ac:dyDescent="0.25">
      <c r="B12" s="389">
        <v>6</v>
      </c>
      <c r="C12" s="390"/>
      <c r="D12" s="843"/>
      <c r="E12" s="844"/>
      <c r="F12" s="844"/>
      <c r="G12" s="844"/>
      <c r="H12" s="844"/>
      <c r="I12" s="844"/>
      <c r="J12" s="844"/>
      <c r="K12" s="844"/>
      <c r="L12" s="844"/>
      <c r="M12" s="844"/>
      <c r="N12" s="844"/>
      <c r="O12" s="844"/>
      <c r="P12" s="845"/>
      <c r="Q12" s="482"/>
      <c r="R12" s="483"/>
      <c r="S12" s="482"/>
      <c r="T12" s="484"/>
      <c r="U12" s="485"/>
      <c r="V12" s="391"/>
    </row>
    <row r="13" spans="2:24" ht="15" customHeight="1" x14ac:dyDescent="0.25">
      <c r="B13" s="389">
        <v>7</v>
      </c>
      <c r="C13" s="390"/>
      <c r="D13" s="843"/>
      <c r="E13" s="844"/>
      <c r="F13" s="844"/>
      <c r="G13" s="844"/>
      <c r="H13" s="844"/>
      <c r="I13" s="844"/>
      <c r="J13" s="844"/>
      <c r="K13" s="844"/>
      <c r="L13" s="844"/>
      <c r="M13" s="844"/>
      <c r="N13" s="844"/>
      <c r="O13" s="844"/>
      <c r="P13" s="845"/>
      <c r="Q13" s="482"/>
      <c r="R13" s="483"/>
      <c r="S13" s="482"/>
      <c r="T13" s="484"/>
      <c r="U13" s="485"/>
      <c r="V13" s="391"/>
    </row>
    <row r="14" spans="2:24" ht="15" customHeight="1" x14ac:dyDescent="0.25">
      <c r="B14" s="389">
        <v>8</v>
      </c>
      <c r="C14" s="390"/>
      <c r="D14" s="843"/>
      <c r="E14" s="844"/>
      <c r="F14" s="844"/>
      <c r="G14" s="844"/>
      <c r="H14" s="844"/>
      <c r="I14" s="844"/>
      <c r="J14" s="844"/>
      <c r="K14" s="844"/>
      <c r="L14" s="844"/>
      <c r="M14" s="844"/>
      <c r="N14" s="844"/>
      <c r="O14" s="844"/>
      <c r="P14" s="845"/>
      <c r="Q14" s="482"/>
      <c r="R14" s="483"/>
      <c r="S14" s="482"/>
      <c r="T14" s="484"/>
      <c r="U14" s="485"/>
      <c r="V14" s="391"/>
    </row>
    <row r="15" spans="2:24" ht="15" customHeight="1" x14ac:dyDescent="0.25">
      <c r="B15" s="389">
        <v>9</v>
      </c>
      <c r="C15" s="390"/>
      <c r="D15" s="843"/>
      <c r="E15" s="844"/>
      <c r="F15" s="844"/>
      <c r="G15" s="844"/>
      <c r="H15" s="844"/>
      <c r="I15" s="844"/>
      <c r="J15" s="844"/>
      <c r="K15" s="844"/>
      <c r="L15" s="844"/>
      <c r="M15" s="844"/>
      <c r="N15" s="844"/>
      <c r="O15" s="844"/>
      <c r="P15" s="845"/>
      <c r="Q15" s="482"/>
      <c r="R15" s="483"/>
      <c r="S15" s="482"/>
      <c r="T15" s="484"/>
      <c r="U15" s="485"/>
      <c r="V15" s="391"/>
    </row>
    <row r="16" spans="2:24" ht="15" customHeight="1" x14ac:dyDescent="0.25">
      <c r="B16" s="389">
        <v>10</v>
      </c>
      <c r="C16" s="390"/>
      <c r="D16" s="843"/>
      <c r="E16" s="844"/>
      <c r="F16" s="844"/>
      <c r="G16" s="844"/>
      <c r="H16" s="844"/>
      <c r="I16" s="844"/>
      <c r="J16" s="844"/>
      <c r="K16" s="844"/>
      <c r="L16" s="844"/>
      <c r="M16" s="844"/>
      <c r="N16" s="844"/>
      <c r="O16" s="844"/>
      <c r="P16" s="845"/>
      <c r="Q16" s="482"/>
      <c r="R16" s="483"/>
      <c r="S16" s="482"/>
      <c r="T16" s="484"/>
      <c r="U16" s="485"/>
      <c r="V16" s="391"/>
    </row>
    <row r="17" spans="2:22" ht="15" customHeight="1" x14ac:dyDescent="0.25">
      <c r="B17" s="389">
        <v>11</v>
      </c>
      <c r="C17" s="390"/>
      <c r="D17" s="843"/>
      <c r="E17" s="844"/>
      <c r="F17" s="844"/>
      <c r="G17" s="844"/>
      <c r="H17" s="844"/>
      <c r="I17" s="844"/>
      <c r="J17" s="844"/>
      <c r="K17" s="844"/>
      <c r="L17" s="844"/>
      <c r="M17" s="844"/>
      <c r="N17" s="844"/>
      <c r="O17" s="844"/>
      <c r="P17" s="845"/>
      <c r="Q17" s="482"/>
      <c r="R17" s="483"/>
      <c r="S17" s="482"/>
      <c r="T17" s="484"/>
      <c r="U17" s="485"/>
      <c r="V17" s="391"/>
    </row>
    <row r="18" spans="2:22" ht="15.75" x14ac:dyDescent="0.25">
      <c r="B18" s="389">
        <v>12</v>
      </c>
      <c r="C18" s="390"/>
      <c r="D18" s="843"/>
      <c r="E18" s="844"/>
      <c r="F18" s="844"/>
      <c r="G18" s="844"/>
      <c r="H18" s="844"/>
      <c r="I18" s="844"/>
      <c r="J18" s="844"/>
      <c r="K18" s="844"/>
      <c r="L18" s="844"/>
      <c r="M18" s="844"/>
      <c r="N18" s="844"/>
      <c r="O18" s="844"/>
      <c r="P18" s="845"/>
      <c r="Q18" s="482"/>
      <c r="R18" s="483"/>
      <c r="S18" s="482"/>
      <c r="T18" s="484"/>
      <c r="U18" s="485"/>
      <c r="V18" s="391"/>
    </row>
    <row r="19" spans="2:22" ht="15" customHeight="1" x14ac:dyDescent="0.25">
      <c r="B19" s="389">
        <v>13</v>
      </c>
      <c r="C19" s="390"/>
      <c r="D19" s="843"/>
      <c r="E19" s="844"/>
      <c r="F19" s="844"/>
      <c r="G19" s="844"/>
      <c r="H19" s="844"/>
      <c r="I19" s="844"/>
      <c r="J19" s="844"/>
      <c r="K19" s="844"/>
      <c r="L19" s="844"/>
      <c r="M19" s="844"/>
      <c r="N19" s="844"/>
      <c r="O19" s="844"/>
      <c r="P19" s="845"/>
      <c r="Q19" s="482"/>
      <c r="R19" s="483"/>
      <c r="S19" s="482"/>
      <c r="T19" s="484"/>
      <c r="U19" s="485"/>
      <c r="V19" s="391"/>
    </row>
    <row r="20" spans="2:22" ht="15" customHeight="1" x14ac:dyDescent="0.25">
      <c r="B20" s="389">
        <v>14</v>
      </c>
      <c r="C20" s="390"/>
      <c r="D20" s="843"/>
      <c r="E20" s="844"/>
      <c r="F20" s="844"/>
      <c r="G20" s="844"/>
      <c r="H20" s="844"/>
      <c r="I20" s="844"/>
      <c r="J20" s="844"/>
      <c r="K20" s="844"/>
      <c r="L20" s="844"/>
      <c r="M20" s="844"/>
      <c r="N20" s="844"/>
      <c r="O20" s="844"/>
      <c r="P20" s="845"/>
      <c r="Q20" s="482"/>
      <c r="R20" s="483"/>
      <c r="S20" s="482"/>
      <c r="T20" s="484"/>
      <c r="U20" s="485"/>
      <c r="V20" s="391"/>
    </row>
    <row r="21" spans="2:22" ht="15" customHeight="1" x14ac:dyDescent="0.25">
      <c r="B21" s="389">
        <v>15</v>
      </c>
      <c r="C21" s="390"/>
      <c r="D21" s="843"/>
      <c r="E21" s="844"/>
      <c r="F21" s="844"/>
      <c r="G21" s="844"/>
      <c r="H21" s="844"/>
      <c r="I21" s="844"/>
      <c r="J21" s="844"/>
      <c r="K21" s="844"/>
      <c r="L21" s="844"/>
      <c r="M21" s="844"/>
      <c r="N21" s="844"/>
      <c r="O21" s="844"/>
      <c r="P21" s="845"/>
      <c r="Q21" s="482"/>
      <c r="R21" s="483"/>
      <c r="S21" s="482"/>
      <c r="T21" s="484"/>
      <c r="U21" s="485"/>
      <c r="V21" s="391"/>
    </row>
    <row r="22" spans="2:22" ht="15" customHeight="1" x14ac:dyDescent="0.25">
      <c r="B22" s="389">
        <v>16</v>
      </c>
      <c r="C22" s="390"/>
      <c r="D22" s="843"/>
      <c r="E22" s="844"/>
      <c r="F22" s="844"/>
      <c r="G22" s="844"/>
      <c r="H22" s="844"/>
      <c r="I22" s="844"/>
      <c r="J22" s="844"/>
      <c r="K22" s="844"/>
      <c r="L22" s="844"/>
      <c r="M22" s="844"/>
      <c r="N22" s="844"/>
      <c r="O22" s="844"/>
      <c r="P22" s="845"/>
      <c r="Q22" s="482"/>
      <c r="R22" s="483"/>
      <c r="S22" s="482"/>
      <c r="T22" s="484"/>
      <c r="U22" s="485"/>
      <c r="V22" s="391"/>
    </row>
    <row r="23" spans="2:22" ht="15" customHeight="1" x14ac:dyDescent="0.25">
      <c r="B23" s="389">
        <v>17</v>
      </c>
      <c r="C23" s="390"/>
      <c r="D23" s="843"/>
      <c r="E23" s="844"/>
      <c r="F23" s="844"/>
      <c r="G23" s="844"/>
      <c r="H23" s="844"/>
      <c r="I23" s="844"/>
      <c r="J23" s="844"/>
      <c r="K23" s="844"/>
      <c r="L23" s="844"/>
      <c r="M23" s="844"/>
      <c r="N23" s="844"/>
      <c r="O23" s="844"/>
      <c r="P23" s="845"/>
      <c r="Q23" s="482"/>
      <c r="R23" s="483"/>
      <c r="S23" s="482"/>
      <c r="T23" s="484"/>
      <c r="U23" s="485"/>
      <c r="V23" s="391"/>
    </row>
    <row r="24" spans="2:22" ht="15.75" x14ac:dyDescent="0.25">
      <c r="B24" s="389">
        <v>18</v>
      </c>
      <c r="C24" s="390"/>
      <c r="D24" s="843"/>
      <c r="E24" s="844"/>
      <c r="F24" s="844"/>
      <c r="G24" s="844"/>
      <c r="H24" s="844"/>
      <c r="I24" s="844"/>
      <c r="J24" s="844"/>
      <c r="K24" s="844"/>
      <c r="L24" s="844"/>
      <c r="M24" s="844"/>
      <c r="N24" s="844"/>
      <c r="O24" s="844"/>
      <c r="P24" s="845"/>
      <c r="Q24" s="482"/>
      <c r="R24" s="483"/>
      <c r="S24" s="482"/>
      <c r="T24" s="484"/>
      <c r="U24" s="485"/>
      <c r="V24" s="391"/>
    </row>
    <row r="25" spans="2:22" ht="15" customHeight="1" x14ac:dyDescent="0.25">
      <c r="B25" s="389">
        <v>19</v>
      </c>
      <c r="C25" s="390"/>
      <c r="D25" s="843"/>
      <c r="E25" s="844"/>
      <c r="F25" s="844"/>
      <c r="G25" s="844"/>
      <c r="H25" s="844"/>
      <c r="I25" s="844"/>
      <c r="J25" s="844"/>
      <c r="K25" s="844"/>
      <c r="L25" s="844"/>
      <c r="M25" s="844"/>
      <c r="N25" s="844"/>
      <c r="O25" s="844"/>
      <c r="P25" s="845"/>
      <c r="Q25" s="482"/>
      <c r="R25" s="483"/>
      <c r="S25" s="482"/>
      <c r="T25" s="484"/>
      <c r="U25" s="485"/>
      <c r="V25" s="391"/>
    </row>
    <row r="26" spans="2:22" ht="15" customHeight="1" x14ac:dyDescent="0.25">
      <c r="B26" s="389">
        <v>20</v>
      </c>
      <c r="C26" s="390"/>
      <c r="D26" s="843"/>
      <c r="E26" s="844"/>
      <c r="F26" s="844"/>
      <c r="G26" s="844"/>
      <c r="H26" s="844"/>
      <c r="I26" s="844"/>
      <c r="J26" s="844"/>
      <c r="K26" s="844"/>
      <c r="L26" s="844"/>
      <c r="M26" s="844"/>
      <c r="N26" s="844"/>
      <c r="O26" s="844"/>
      <c r="P26" s="845"/>
      <c r="Q26" s="482"/>
      <c r="R26" s="483"/>
      <c r="S26" s="482"/>
      <c r="T26" s="484"/>
      <c r="U26" s="485"/>
      <c r="V26" s="391"/>
    </row>
    <row r="27" spans="2:22" ht="15" customHeight="1" x14ac:dyDescent="0.25">
      <c r="B27" s="389">
        <v>21</v>
      </c>
      <c r="C27" s="390"/>
      <c r="D27" s="843"/>
      <c r="E27" s="844"/>
      <c r="F27" s="844"/>
      <c r="G27" s="844"/>
      <c r="H27" s="844"/>
      <c r="I27" s="844"/>
      <c r="J27" s="844"/>
      <c r="K27" s="844"/>
      <c r="L27" s="844"/>
      <c r="M27" s="844"/>
      <c r="N27" s="844"/>
      <c r="O27" s="844"/>
      <c r="P27" s="845"/>
      <c r="Q27" s="482"/>
      <c r="R27" s="483"/>
      <c r="S27" s="482"/>
      <c r="T27" s="484"/>
      <c r="U27" s="485"/>
      <c r="V27" s="391"/>
    </row>
    <row r="28" spans="2:22" ht="15" customHeight="1" x14ac:dyDescent="0.25">
      <c r="B28" s="389">
        <v>22</v>
      </c>
      <c r="C28" s="390"/>
      <c r="D28" s="843"/>
      <c r="E28" s="844"/>
      <c r="F28" s="844"/>
      <c r="G28" s="844"/>
      <c r="H28" s="844"/>
      <c r="I28" s="844"/>
      <c r="J28" s="844"/>
      <c r="K28" s="844"/>
      <c r="L28" s="844"/>
      <c r="M28" s="844"/>
      <c r="N28" s="844"/>
      <c r="O28" s="844"/>
      <c r="P28" s="845"/>
      <c r="Q28" s="482"/>
      <c r="R28" s="483"/>
      <c r="S28" s="482"/>
      <c r="T28" s="484"/>
      <c r="U28" s="485"/>
      <c r="V28" s="391"/>
    </row>
    <row r="29" spans="2:22" ht="15" customHeight="1" x14ac:dyDescent="0.25">
      <c r="B29" s="389">
        <v>23</v>
      </c>
      <c r="C29" s="390"/>
      <c r="D29" s="843"/>
      <c r="E29" s="844"/>
      <c r="F29" s="844"/>
      <c r="G29" s="844"/>
      <c r="H29" s="844"/>
      <c r="I29" s="844"/>
      <c r="J29" s="844"/>
      <c r="K29" s="844"/>
      <c r="L29" s="844"/>
      <c r="M29" s="844"/>
      <c r="N29" s="844"/>
      <c r="O29" s="844"/>
      <c r="P29" s="845"/>
      <c r="Q29" s="482"/>
      <c r="R29" s="483"/>
      <c r="S29" s="482"/>
      <c r="T29" s="484"/>
      <c r="U29" s="485"/>
      <c r="V29" s="391"/>
    </row>
    <row r="30" spans="2:22" ht="15.75" x14ac:dyDescent="0.25">
      <c r="B30" s="389">
        <v>24</v>
      </c>
      <c r="C30" s="390"/>
      <c r="D30" s="843"/>
      <c r="E30" s="844"/>
      <c r="F30" s="844"/>
      <c r="G30" s="844"/>
      <c r="H30" s="844"/>
      <c r="I30" s="844"/>
      <c r="J30" s="844"/>
      <c r="K30" s="844"/>
      <c r="L30" s="844"/>
      <c r="M30" s="844"/>
      <c r="N30" s="844"/>
      <c r="O30" s="844"/>
      <c r="P30" s="845"/>
      <c r="Q30" s="482"/>
      <c r="R30" s="483"/>
      <c r="S30" s="482"/>
      <c r="T30" s="484"/>
      <c r="U30" s="485"/>
      <c r="V30" s="391"/>
    </row>
    <row r="31" spans="2:22" ht="15" customHeight="1" x14ac:dyDescent="0.25">
      <c r="B31" s="389">
        <v>25</v>
      </c>
      <c r="C31" s="390"/>
      <c r="D31" s="843"/>
      <c r="E31" s="844"/>
      <c r="F31" s="844"/>
      <c r="G31" s="844"/>
      <c r="H31" s="844"/>
      <c r="I31" s="844"/>
      <c r="J31" s="844"/>
      <c r="K31" s="844"/>
      <c r="L31" s="844"/>
      <c r="M31" s="844"/>
      <c r="N31" s="844"/>
      <c r="O31" s="844"/>
      <c r="P31" s="845"/>
      <c r="Q31" s="482"/>
      <c r="R31" s="483"/>
      <c r="S31" s="482"/>
      <c r="T31" s="484"/>
      <c r="U31" s="485"/>
      <c r="V31" s="391"/>
    </row>
    <row r="32" spans="2:22" ht="15" customHeight="1" x14ac:dyDescent="0.25">
      <c r="B32" s="389">
        <v>26</v>
      </c>
      <c r="C32" s="390"/>
      <c r="D32" s="843"/>
      <c r="E32" s="844"/>
      <c r="F32" s="844"/>
      <c r="G32" s="844"/>
      <c r="H32" s="844"/>
      <c r="I32" s="844"/>
      <c r="J32" s="844"/>
      <c r="K32" s="844"/>
      <c r="L32" s="844"/>
      <c r="M32" s="844"/>
      <c r="N32" s="844"/>
      <c r="O32" s="844"/>
      <c r="P32" s="845"/>
      <c r="Q32" s="482"/>
      <c r="R32" s="483"/>
      <c r="S32" s="482"/>
      <c r="T32" s="484"/>
      <c r="U32" s="485"/>
      <c r="V32" s="391"/>
    </row>
    <row r="33" spans="2:22" ht="15" customHeight="1" x14ac:dyDescent="0.25">
      <c r="B33" s="389">
        <v>27</v>
      </c>
      <c r="C33" s="390"/>
      <c r="D33" s="843"/>
      <c r="E33" s="844"/>
      <c r="F33" s="844"/>
      <c r="G33" s="844"/>
      <c r="H33" s="844"/>
      <c r="I33" s="844"/>
      <c r="J33" s="844"/>
      <c r="K33" s="844"/>
      <c r="L33" s="844"/>
      <c r="M33" s="844"/>
      <c r="N33" s="844"/>
      <c r="O33" s="844"/>
      <c r="P33" s="845"/>
      <c r="Q33" s="482"/>
      <c r="R33" s="483"/>
      <c r="S33" s="482"/>
      <c r="T33" s="484"/>
      <c r="U33" s="485"/>
      <c r="V33" s="391"/>
    </row>
    <row r="34" spans="2:22" ht="15" customHeight="1" x14ac:dyDescent="0.25">
      <c r="B34" s="389">
        <v>28</v>
      </c>
      <c r="C34" s="390"/>
      <c r="D34" s="843"/>
      <c r="E34" s="844"/>
      <c r="F34" s="844"/>
      <c r="G34" s="844"/>
      <c r="H34" s="844"/>
      <c r="I34" s="844"/>
      <c r="J34" s="844"/>
      <c r="K34" s="844"/>
      <c r="L34" s="844"/>
      <c r="M34" s="844"/>
      <c r="N34" s="844"/>
      <c r="O34" s="844"/>
      <c r="P34" s="845"/>
      <c r="Q34" s="482"/>
      <c r="R34" s="483"/>
      <c r="S34" s="482"/>
      <c r="T34" s="484"/>
      <c r="U34" s="485"/>
      <c r="V34" s="391"/>
    </row>
    <row r="35" spans="2:22" ht="15" customHeight="1" x14ac:dyDescent="0.25">
      <c r="B35" s="389">
        <v>29</v>
      </c>
      <c r="C35" s="390"/>
      <c r="D35" s="843"/>
      <c r="E35" s="844"/>
      <c r="F35" s="844"/>
      <c r="G35" s="844"/>
      <c r="H35" s="844"/>
      <c r="I35" s="844"/>
      <c r="J35" s="844"/>
      <c r="K35" s="844"/>
      <c r="L35" s="844"/>
      <c r="M35" s="844"/>
      <c r="N35" s="844"/>
      <c r="O35" s="844"/>
      <c r="P35" s="845"/>
      <c r="Q35" s="482"/>
      <c r="R35" s="483"/>
      <c r="S35" s="482"/>
      <c r="T35" s="484"/>
      <c r="U35" s="485"/>
      <c r="V35" s="391"/>
    </row>
    <row r="36" spans="2:22" ht="15.75" x14ac:dyDescent="0.25">
      <c r="B36" s="389">
        <v>30</v>
      </c>
      <c r="C36" s="390"/>
      <c r="D36" s="843"/>
      <c r="E36" s="844"/>
      <c r="F36" s="844"/>
      <c r="G36" s="844"/>
      <c r="H36" s="844"/>
      <c r="I36" s="844"/>
      <c r="J36" s="844"/>
      <c r="K36" s="844"/>
      <c r="L36" s="844"/>
      <c r="M36" s="844"/>
      <c r="N36" s="844"/>
      <c r="O36" s="844"/>
      <c r="P36" s="845"/>
      <c r="Q36" s="482"/>
      <c r="R36" s="483"/>
      <c r="S36" s="482"/>
      <c r="T36" s="484"/>
      <c r="U36" s="485"/>
      <c r="V36" s="391"/>
    </row>
    <row r="37" spans="2:22" ht="15" customHeight="1" x14ac:dyDescent="0.25">
      <c r="B37" s="389">
        <v>31</v>
      </c>
      <c r="C37" s="390"/>
      <c r="D37" s="843"/>
      <c r="E37" s="844"/>
      <c r="F37" s="844"/>
      <c r="G37" s="844"/>
      <c r="H37" s="844"/>
      <c r="I37" s="844"/>
      <c r="J37" s="844"/>
      <c r="K37" s="844"/>
      <c r="L37" s="844"/>
      <c r="M37" s="844"/>
      <c r="N37" s="844"/>
      <c r="O37" s="844"/>
      <c r="P37" s="845"/>
      <c r="Q37" s="482"/>
      <c r="R37" s="483"/>
      <c r="S37" s="482"/>
      <c r="T37" s="484"/>
      <c r="U37" s="485"/>
      <c r="V37" s="391"/>
    </row>
    <row r="38" spans="2:22" ht="15" customHeight="1" x14ac:dyDescent="0.25">
      <c r="B38" s="389">
        <v>32</v>
      </c>
      <c r="C38" s="390"/>
      <c r="D38" s="843"/>
      <c r="E38" s="844"/>
      <c r="F38" s="844"/>
      <c r="G38" s="844"/>
      <c r="H38" s="844"/>
      <c r="I38" s="844"/>
      <c r="J38" s="844"/>
      <c r="K38" s="844"/>
      <c r="L38" s="844"/>
      <c r="M38" s="844"/>
      <c r="N38" s="844"/>
      <c r="O38" s="844"/>
      <c r="P38" s="845"/>
      <c r="Q38" s="482"/>
      <c r="R38" s="483"/>
      <c r="S38" s="482"/>
      <c r="T38" s="484"/>
      <c r="U38" s="485"/>
      <c r="V38" s="391"/>
    </row>
    <row r="39" spans="2:22" ht="15" customHeight="1" x14ac:dyDescent="0.25">
      <c r="B39" s="389">
        <v>33</v>
      </c>
      <c r="C39" s="390"/>
      <c r="D39" s="843"/>
      <c r="E39" s="844"/>
      <c r="F39" s="844"/>
      <c r="G39" s="844"/>
      <c r="H39" s="844"/>
      <c r="I39" s="844"/>
      <c r="J39" s="844"/>
      <c r="K39" s="844"/>
      <c r="L39" s="844"/>
      <c r="M39" s="844"/>
      <c r="N39" s="844"/>
      <c r="O39" s="844"/>
      <c r="P39" s="845"/>
      <c r="Q39" s="482"/>
      <c r="R39" s="483"/>
      <c r="S39" s="482"/>
      <c r="T39" s="484"/>
      <c r="U39" s="485"/>
      <c r="V39" s="391"/>
    </row>
    <row r="40" spans="2:22" ht="15" customHeight="1" x14ac:dyDescent="0.25">
      <c r="B40" s="389">
        <v>34</v>
      </c>
      <c r="C40" s="390"/>
      <c r="D40" s="843"/>
      <c r="E40" s="844"/>
      <c r="F40" s="844"/>
      <c r="G40" s="844"/>
      <c r="H40" s="844"/>
      <c r="I40" s="844"/>
      <c r="J40" s="844"/>
      <c r="K40" s="844"/>
      <c r="L40" s="844"/>
      <c r="M40" s="844"/>
      <c r="N40" s="844"/>
      <c r="O40" s="844"/>
      <c r="P40" s="845"/>
      <c r="Q40" s="482"/>
      <c r="R40" s="483"/>
      <c r="S40" s="482"/>
      <c r="T40" s="484"/>
      <c r="U40" s="485"/>
      <c r="V40" s="391"/>
    </row>
    <row r="41" spans="2:22" ht="15" customHeight="1" x14ac:dyDescent="0.25">
      <c r="B41" s="389">
        <v>35</v>
      </c>
      <c r="C41" s="390"/>
      <c r="D41" s="843"/>
      <c r="E41" s="844"/>
      <c r="F41" s="844"/>
      <c r="G41" s="844"/>
      <c r="H41" s="844"/>
      <c r="I41" s="844"/>
      <c r="J41" s="844"/>
      <c r="K41" s="844"/>
      <c r="L41" s="844"/>
      <c r="M41" s="844"/>
      <c r="N41" s="844"/>
      <c r="O41" s="844"/>
      <c r="P41" s="845"/>
      <c r="Q41" s="482"/>
      <c r="R41" s="483"/>
      <c r="S41" s="482"/>
      <c r="T41" s="484"/>
      <c r="U41" s="485"/>
      <c r="V41" s="391"/>
    </row>
    <row r="42" spans="2:22" ht="15.75" x14ac:dyDescent="0.25">
      <c r="B42" s="389">
        <v>36</v>
      </c>
      <c r="C42" s="390"/>
      <c r="D42" s="843"/>
      <c r="E42" s="844"/>
      <c r="F42" s="844"/>
      <c r="G42" s="844"/>
      <c r="H42" s="844"/>
      <c r="I42" s="844"/>
      <c r="J42" s="844"/>
      <c r="K42" s="844"/>
      <c r="L42" s="844"/>
      <c r="M42" s="844"/>
      <c r="N42" s="844"/>
      <c r="O42" s="844"/>
      <c r="P42" s="845"/>
      <c r="Q42" s="482"/>
      <c r="R42" s="483"/>
      <c r="S42" s="482"/>
      <c r="T42" s="484"/>
      <c r="U42" s="485"/>
      <c r="V42" s="391"/>
    </row>
    <row r="43" spans="2:22" ht="15" customHeight="1" x14ac:dyDescent="0.25">
      <c r="B43" s="389">
        <v>37</v>
      </c>
      <c r="C43" s="390"/>
      <c r="D43" s="846"/>
      <c r="E43" s="849"/>
      <c r="F43" s="849"/>
      <c r="G43" s="849"/>
      <c r="H43" s="849"/>
      <c r="I43" s="849"/>
      <c r="J43" s="849"/>
      <c r="K43" s="849"/>
      <c r="L43" s="849"/>
      <c r="M43" s="849"/>
      <c r="N43" s="849"/>
      <c r="O43" s="849"/>
      <c r="P43" s="850"/>
      <c r="Q43" s="482"/>
      <c r="R43" s="483"/>
      <c r="S43" s="482"/>
      <c r="T43" s="484"/>
      <c r="U43" s="485"/>
      <c r="V43" s="391"/>
    </row>
    <row r="44" spans="2:22" ht="15" customHeight="1" x14ac:dyDescent="0.25">
      <c r="B44" s="389">
        <v>38</v>
      </c>
      <c r="C44" s="390"/>
      <c r="D44" s="843"/>
      <c r="E44" s="844"/>
      <c r="F44" s="844"/>
      <c r="G44" s="844"/>
      <c r="H44" s="844"/>
      <c r="I44" s="844"/>
      <c r="J44" s="844"/>
      <c r="K44" s="844"/>
      <c r="L44" s="844"/>
      <c r="M44" s="844"/>
      <c r="N44" s="844"/>
      <c r="O44" s="844"/>
      <c r="P44" s="845"/>
      <c r="Q44" s="482"/>
      <c r="R44" s="483"/>
      <c r="S44" s="482"/>
      <c r="T44" s="484"/>
      <c r="U44" s="485"/>
      <c r="V44" s="391"/>
    </row>
    <row r="45" spans="2:22" ht="15" customHeight="1" x14ac:dyDescent="0.25">
      <c r="B45" s="389">
        <v>39</v>
      </c>
      <c r="C45" s="390"/>
      <c r="D45" s="846"/>
      <c r="E45" s="849"/>
      <c r="F45" s="849"/>
      <c r="G45" s="849"/>
      <c r="H45" s="849"/>
      <c r="I45" s="849"/>
      <c r="J45" s="849"/>
      <c r="K45" s="849"/>
      <c r="L45" s="849"/>
      <c r="M45" s="849"/>
      <c r="N45" s="849"/>
      <c r="O45" s="849"/>
      <c r="P45" s="850"/>
      <c r="Q45" s="482"/>
      <c r="R45" s="483"/>
      <c r="S45" s="482"/>
      <c r="T45" s="484"/>
      <c r="U45" s="485"/>
      <c r="V45" s="391"/>
    </row>
    <row r="46" spans="2:22" ht="15" customHeight="1" x14ac:dyDescent="0.25">
      <c r="B46" s="389">
        <v>40</v>
      </c>
      <c r="C46" s="390"/>
      <c r="D46" s="843"/>
      <c r="E46" s="844"/>
      <c r="F46" s="844"/>
      <c r="G46" s="844"/>
      <c r="H46" s="844"/>
      <c r="I46" s="844"/>
      <c r="J46" s="844"/>
      <c r="K46" s="844"/>
      <c r="L46" s="844"/>
      <c r="M46" s="844"/>
      <c r="N46" s="844"/>
      <c r="O46" s="844"/>
      <c r="P46" s="845"/>
      <c r="Q46" s="482"/>
      <c r="R46" s="483"/>
      <c r="S46" s="482"/>
      <c r="T46" s="484"/>
      <c r="U46" s="485"/>
      <c r="V46" s="391"/>
    </row>
    <row r="47" spans="2:22" ht="15" customHeight="1" x14ac:dyDescent="0.25">
      <c r="B47" s="389">
        <v>41</v>
      </c>
      <c r="C47" s="390"/>
      <c r="D47" s="846"/>
      <c r="E47" s="849"/>
      <c r="F47" s="849"/>
      <c r="G47" s="849"/>
      <c r="H47" s="849"/>
      <c r="I47" s="849"/>
      <c r="J47" s="849"/>
      <c r="K47" s="849"/>
      <c r="L47" s="849"/>
      <c r="M47" s="849"/>
      <c r="N47" s="849"/>
      <c r="O47" s="849"/>
      <c r="P47" s="850"/>
      <c r="Q47" s="482"/>
      <c r="R47" s="483"/>
      <c r="S47" s="482"/>
      <c r="T47" s="484"/>
      <c r="U47" s="485"/>
      <c r="V47" s="391"/>
    </row>
    <row r="48" spans="2:22" ht="15" customHeight="1" x14ac:dyDescent="0.25">
      <c r="B48" s="389">
        <v>42</v>
      </c>
      <c r="C48" s="390"/>
      <c r="D48" s="843"/>
      <c r="E48" s="844"/>
      <c r="F48" s="844"/>
      <c r="G48" s="844"/>
      <c r="H48" s="844"/>
      <c r="I48" s="844"/>
      <c r="J48" s="844"/>
      <c r="K48" s="844"/>
      <c r="L48" s="844"/>
      <c r="M48" s="844"/>
      <c r="N48" s="844"/>
      <c r="O48" s="844"/>
      <c r="P48" s="845"/>
      <c r="Q48" s="482"/>
      <c r="R48" s="483"/>
      <c r="S48" s="482"/>
      <c r="T48" s="484"/>
      <c r="U48" s="485"/>
      <c r="V48" s="391"/>
    </row>
    <row r="49" spans="2:22" ht="15.75" x14ac:dyDescent="0.25">
      <c r="B49" s="389">
        <v>43</v>
      </c>
      <c r="C49" s="390"/>
      <c r="D49" s="846"/>
      <c r="E49" s="849"/>
      <c r="F49" s="849"/>
      <c r="G49" s="849"/>
      <c r="H49" s="849"/>
      <c r="I49" s="849"/>
      <c r="J49" s="849"/>
      <c r="K49" s="849"/>
      <c r="L49" s="849"/>
      <c r="M49" s="849"/>
      <c r="N49" s="849"/>
      <c r="O49" s="849"/>
      <c r="P49" s="850"/>
      <c r="Q49" s="482"/>
      <c r="R49" s="483"/>
      <c r="S49" s="482"/>
      <c r="T49" s="484"/>
      <c r="U49" s="485"/>
      <c r="V49" s="391"/>
    </row>
    <row r="50" spans="2:22" ht="15" customHeight="1" x14ac:dyDescent="0.25">
      <c r="B50" s="389">
        <v>44</v>
      </c>
      <c r="C50" s="390"/>
      <c r="D50" s="846"/>
      <c r="E50" s="849"/>
      <c r="F50" s="849"/>
      <c r="G50" s="849"/>
      <c r="H50" s="849"/>
      <c r="I50" s="849"/>
      <c r="J50" s="849"/>
      <c r="K50" s="849"/>
      <c r="L50" s="849"/>
      <c r="M50" s="849"/>
      <c r="N50" s="849"/>
      <c r="O50" s="849"/>
      <c r="P50" s="850"/>
      <c r="Q50" s="482"/>
      <c r="R50" s="483"/>
      <c r="S50" s="482"/>
      <c r="T50" s="484"/>
      <c r="U50" s="485"/>
      <c r="V50" s="391"/>
    </row>
    <row r="51" spans="2:22" ht="15" customHeight="1" x14ac:dyDescent="0.25">
      <c r="B51" s="389">
        <v>45</v>
      </c>
      <c r="C51" s="390"/>
      <c r="D51" s="843"/>
      <c r="E51" s="844"/>
      <c r="F51" s="844"/>
      <c r="G51" s="844"/>
      <c r="H51" s="844"/>
      <c r="I51" s="844"/>
      <c r="J51" s="844"/>
      <c r="K51" s="844"/>
      <c r="L51" s="844"/>
      <c r="M51" s="844"/>
      <c r="N51" s="844"/>
      <c r="O51" s="844"/>
      <c r="P51" s="845"/>
      <c r="Q51" s="482"/>
      <c r="R51" s="483"/>
      <c r="S51" s="482"/>
      <c r="T51" s="484"/>
      <c r="U51" s="485"/>
      <c r="V51" s="391"/>
    </row>
    <row r="52" spans="2:22" ht="15" customHeight="1" x14ac:dyDescent="0.25">
      <c r="B52" s="389">
        <v>46</v>
      </c>
      <c r="C52" s="390"/>
      <c r="D52" s="846"/>
      <c r="E52" s="849"/>
      <c r="F52" s="849"/>
      <c r="G52" s="849"/>
      <c r="H52" s="849"/>
      <c r="I52" s="849"/>
      <c r="J52" s="849"/>
      <c r="K52" s="849"/>
      <c r="L52" s="849"/>
      <c r="M52" s="849"/>
      <c r="N52" s="849"/>
      <c r="O52" s="849"/>
      <c r="P52" s="850"/>
      <c r="Q52" s="482"/>
      <c r="R52" s="483"/>
      <c r="S52" s="482"/>
      <c r="T52" s="484"/>
      <c r="U52" s="485"/>
      <c r="V52" s="391"/>
    </row>
    <row r="53" spans="2:22" ht="15" customHeight="1" x14ac:dyDescent="0.25">
      <c r="B53" s="389">
        <v>47</v>
      </c>
      <c r="C53" s="390"/>
      <c r="D53" s="846"/>
      <c r="E53" s="849"/>
      <c r="F53" s="849"/>
      <c r="G53" s="849"/>
      <c r="H53" s="849"/>
      <c r="I53" s="849"/>
      <c r="J53" s="849"/>
      <c r="K53" s="849"/>
      <c r="L53" s="849"/>
      <c r="M53" s="849"/>
      <c r="N53" s="849"/>
      <c r="O53" s="849"/>
      <c r="P53" s="850"/>
      <c r="Q53" s="482"/>
      <c r="R53" s="483"/>
      <c r="S53" s="482"/>
      <c r="T53" s="484"/>
      <c r="U53" s="485"/>
      <c r="V53" s="391"/>
    </row>
    <row r="54" spans="2:22" ht="15.75" x14ac:dyDescent="0.25">
      <c r="B54" s="389">
        <v>48</v>
      </c>
      <c r="C54" s="390"/>
      <c r="D54" s="846"/>
      <c r="E54" s="849"/>
      <c r="F54" s="849"/>
      <c r="G54" s="849"/>
      <c r="H54" s="849"/>
      <c r="I54" s="849"/>
      <c r="J54" s="849"/>
      <c r="K54" s="849"/>
      <c r="L54" s="849"/>
      <c r="M54" s="849"/>
      <c r="N54" s="849"/>
      <c r="O54" s="849"/>
      <c r="P54" s="850"/>
      <c r="Q54" s="482"/>
      <c r="R54" s="483"/>
      <c r="S54" s="482"/>
      <c r="T54" s="484"/>
      <c r="U54" s="485"/>
      <c r="V54" s="391"/>
    </row>
    <row r="55" spans="2:22" ht="15" customHeight="1" x14ac:dyDescent="0.25">
      <c r="B55" s="389">
        <v>49</v>
      </c>
      <c r="C55" s="390"/>
      <c r="D55" s="846"/>
      <c r="E55" s="849"/>
      <c r="F55" s="849"/>
      <c r="G55" s="849"/>
      <c r="H55" s="849"/>
      <c r="I55" s="849"/>
      <c r="J55" s="849"/>
      <c r="K55" s="849"/>
      <c r="L55" s="849"/>
      <c r="M55" s="849"/>
      <c r="N55" s="849"/>
      <c r="O55" s="849"/>
      <c r="P55" s="850"/>
      <c r="Q55" s="482"/>
      <c r="R55" s="483"/>
      <c r="S55" s="482"/>
      <c r="T55" s="484"/>
      <c r="U55" s="485"/>
      <c r="V55" s="391"/>
    </row>
    <row r="56" spans="2:22" ht="15" customHeight="1" x14ac:dyDescent="0.25">
      <c r="B56" s="389">
        <v>50</v>
      </c>
      <c r="C56" s="390"/>
      <c r="D56" s="846"/>
      <c r="E56" s="849"/>
      <c r="F56" s="849"/>
      <c r="G56" s="849"/>
      <c r="H56" s="849"/>
      <c r="I56" s="849"/>
      <c r="J56" s="849"/>
      <c r="K56" s="849"/>
      <c r="L56" s="849"/>
      <c r="M56" s="849"/>
      <c r="N56" s="849"/>
      <c r="O56" s="849"/>
      <c r="P56" s="850"/>
      <c r="Q56" s="482"/>
      <c r="R56" s="483"/>
      <c r="S56" s="482"/>
      <c r="T56" s="484"/>
      <c r="U56" s="485"/>
      <c r="V56" s="391"/>
    </row>
    <row r="57" spans="2:22" ht="15" customHeight="1" x14ac:dyDescent="0.25">
      <c r="B57" s="389">
        <v>51</v>
      </c>
      <c r="C57" s="390"/>
      <c r="D57" s="846"/>
      <c r="E57" s="849"/>
      <c r="F57" s="849"/>
      <c r="G57" s="849"/>
      <c r="H57" s="849"/>
      <c r="I57" s="849"/>
      <c r="J57" s="849"/>
      <c r="K57" s="849"/>
      <c r="L57" s="849"/>
      <c r="M57" s="849"/>
      <c r="N57" s="849"/>
      <c r="O57" s="849"/>
      <c r="P57" s="850"/>
      <c r="Q57" s="482"/>
      <c r="R57" s="483"/>
      <c r="S57" s="482"/>
      <c r="T57" s="484"/>
      <c r="U57" s="485"/>
      <c r="V57" s="391"/>
    </row>
    <row r="58" spans="2:22" ht="15.75" x14ac:dyDescent="0.25">
      <c r="B58" s="389">
        <v>52</v>
      </c>
      <c r="C58" s="390"/>
      <c r="D58" s="846"/>
      <c r="E58" s="849"/>
      <c r="F58" s="849"/>
      <c r="G58" s="849"/>
      <c r="H58" s="849"/>
      <c r="I58" s="849"/>
      <c r="J58" s="849"/>
      <c r="K58" s="849"/>
      <c r="L58" s="849"/>
      <c r="M58" s="849"/>
      <c r="N58" s="849"/>
      <c r="O58" s="849"/>
      <c r="P58" s="850"/>
      <c r="Q58" s="482"/>
      <c r="R58" s="483"/>
      <c r="S58" s="482"/>
      <c r="T58" s="484"/>
      <c r="U58" s="485"/>
      <c r="V58" s="391"/>
    </row>
    <row r="59" spans="2:22" ht="15" customHeight="1" x14ac:dyDescent="0.25">
      <c r="B59" s="389">
        <v>53</v>
      </c>
      <c r="C59" s="390"/>
      <c r="D59" s="846"/>
      <c r="E59" s="849"/>
      <c r="F59" s="849"/>
      <c r="G59" s="849"/>
      <c r="H59" s="849"/>
      <c r="I59" s="849"/>
      <c r="J59" s="849"/>
      <c r="K59" s="849"/>
      <c r="L59" s="849"/>
      <c r="M59" s="849"/>
      <c r="N59" s="849"/>
      <c r="O59" s="849"/>
      <c r="P59" s="850"/>
      <c r="Q59" s="482"/>
      <c r="R59" s="483"/>
      <c r="S59" s="482"/>
      <c r="T59" s="484"/>
      <c r="U59" s="485"/>
      <c r="V59" s="391"/>
    </row>
    <row r="60" spans="2:22" ht="15" customHeight="1" x14ac:dyDescent="0.25">
      <c r="B60" s="389">
        <v>54</v>
      </c>
      <c r="C60" s="390"/>
      <c r="D60" s="846"/>
      <c r="E60" s="849"/>
      <c r="F60" s="849"/>
      <c r="G60" s="849"/>
      <c r="H60" s="849"/>
      <c r="I60" s="849"/>
      <c r="J60" s="849"/>
      <c r="K60" s="849"/>
      <c r="L60" s="849"/>
      <c r="M60" s="849"/>
      <c r="N60" s="849"/>
      <c r="O60" s="849"/>
      <c r="P60" s="850"/>
      <c r="Q60" s="482"/>
      <c r="R60" s="483"/>
      <c r="S60" s="482"/>
      <c r="T60" s="484"/>
      <c r="U60" s="485"/>
      <c r="V60" s="391"/>
    </row>
    <row r="61" spans="2:22" ht="15" customHeight="1" x14ac:dyDescent="0.25">
      <c r="B61" s="389">
        <v>55</v>
      </c>
      <c r="C61" s="390"/>
      <c r="D61" s="846"/>
      <c r="E61" s="849"/>
      <c r="F61" s="849"/>
      <c r="G61" s="849"/>
      <c r="H61" s="849"/>
      <c r="I61" s="849"/>
      <c r="J61" s="849"/>
      <c r="K61" s="849"/>
      <c r="L61" s="849"/>
      <c r="M61" s="849"/>
      <c r="N61" s="849"/>
      <c r="O61" s="849"/>
      <c r="P61" s="850"/>
      <c r="Q61" s="482"/>
      <c r="R61" s="483"/>
      <c r="S61" s="482"/>
      <c r="T61" s="484"/>
      <c r="U61" s="485"/>
      <c r="V61" s="391"/>
    </row>
    <row r="62" spans="2:22" ht="15" customHeight="1" x14ac:dyDescent="0.25">
      <c r="B62" s="389">
        <v>56</v>
      </c>
      <c r="C62" s="390"/>
      <c r="D62" s="846"/>
      <c r="E62" s="849"/>
      <c r="F62" s="849"/>
      <c r="G62" s="849"/>
      <c r="H62" s="849"/>
      <c r="I62" s="849"/>
      <c r="J62" s="849"/>
      <c r="K62" s="849"/>
      <c r="L62" s="849"/>
      <c r="M62" s="849"/>
      <c r="N62" s="849"/>
      <c r="O62" s="849"/>
      <c r="P62" s="850"/>
      <c r="Q62" s="482"/>
      <c r="R62" s="483"/>
      <c r="S62" s="482"/>
      <c r="T62" s="484"/>
      <c r="U62" s="485"/>
      <c r="V62" s="391"/>
    </row>
    <row r="63" spans="2:22" ht="15" customHeight="1" x14ac:dyDescent="0.25">
      <c r="B63" s="389">
        <v>57</v>
      </c>
      <c r="C63" s="390"/>
      <c r="D63" s="846"/>
      <c r="E63" s="849"/>
      <c r="F63" s="849"/>
      <c r="G63" s="849"/>
      <c r="H63" s="849"/>
      <c r="I63" s="849"/>
      <c r="J63" s="849"/>
      <c r="K63" s="849"/>
      <c r="L63" s="849"/>
      <c r="M63" s="849"/>
      <c r="N63" s="849"/>
      <c r="O63" s="849"/>
      <c r="P63" s="850"/>
      <c r="Q63" s="482"/>
      <c r="R63" s="483"/>
      <c r="S63" s="482"/>
      <c r="T63" s="484"/>
      <c r="U63" s="485"/>
      <c r="V63" s="391"/>
    </row>
    <row r="64" spans="2:22" ht="15.75" x14ac:dyDescent="0.25">
      <c r="B64" s="389">
        <v>58</v>
      </c>
      <c r="C64" s="390"/>
      <c r="D64" s="846"/>
      <c r="E64" s="849"/>
      <c r="F64" s="849"/>
      <c r="G64" s="849"/>
      <c r="H64" s="849"/>
      <c r="I64" s="849"/>
      <c r="J64" s="849"/>
      <c r="K64" s="849"/>
      <c r="L64" s="849"/>
      <c r="M64" s="849"/>
      <c r="N64" s="849"/>
      <c r="O64" s="849"/>
      <c r="P64" s="850"/>
      <c r="Q64" s="482"/>
      <c r="R64" s="483"/>
      <c r="S64" s="482"/>
      <c r="T64" s="484"/>
      <c r="U64" s="485"/>
      <c r="V64" s="391"/>
    </row>
    <row r="65" spans="2:22" ht="15" customHeight="1" x14ac:dyDescent="0.25">
      <c r="B65" s="389">
        <v>59</v>
      </c>
      <c r="C65" s="390"/>
      <c r="D65" s="846"/>
      <c r="E65" s="849"/>
      <c r="F65" s="849"/>
      <c r="G65" s="849"/>
      <c r="H65" s="849"/>
      <c r="I65" s="849"/>
      <c r="J65" s="849"/>
      <c r="K65" s="849"/>
      <c r="L65" s="849"/>
      <c r="M65" s="849"/>
      <c r="N65" s="849"/>
      <c r="O65" s="849"/>
      <c r="P65" s="850"/>
      <c r="Q65" s="482"/>
      <c r="R65" s="483"/>
      <c r="S65" s="482"/>
      <c r="T65" s="484"/>
      <c r="U65" s="485"/>
      <c r="V65" s="391"/>
    </row>
    <row r="66" spans="2:22" ht="15" customHeight="1" x14ac:dyDescent="0.25">
      <c r="B66" s="389">
        <v>60</v>
      </c>
      <c r="C66" s="390"/>
      <c r="D66" s="846"/>
      <c r="E66" s="849"/>
      <c r="F66" s="849"/>
      <c r="G66" s="849"/>
      <c r="H66" s="849"/>
      <c r="I66" s="849"/>
      <c r="J66" s="849"/>
      <c r="K66" s="849"/>
      <c r="L66" s="849"/>
      <c r="M66" s="849"/>
      <c r="N66" s="849"/>
      <c r="O66" s="849"/>
      <c r="P66" s="850"/>
      <c r="Q66" s="482"/>
      <c r="R66" s="483"/>
      <c r="S66" s="482"/>
      <c r="T66" s="484"/>
      <c r="U66" s="485"/>
      <c r="V66" s="391"/>
    </row>
    <row r="67" spans="2:22" ht="15" customHeight="1" x14ac:dyDescent="0.25">
      <c r="B67" s="389">
        <v>61</v>
      </c>
      <c r="C67" s="390"/>
      <c r="D67" s="846"/>
      <c r="E67" s="849"/>
      <c r="F67" s="849"/>
      <c r="G67" s="849"/>
      <c r="H67" s="849"/>
      <c r="I67" s="849"/>
      <c r="J67" s="849"/>
      <c r="K67" s="849"/>
      <c r="L67" s="849"/>
      <c r="M67" s="849"/>
      <c r="N67" s="849"/>
      <c r="O67" s="849"/>
      <c r="P67" s="850"/>
      <c r="Q67" s="482"/>
      <c r="R67" s="483"/>
      <c r="S67" s="482"/>
      <c r="T67" s="484"/>
      <c r="U67" s="485"/>
      <c r="V67" s="391"/>
    </row>
    <row r="68" spans="2:22" ht="15" customHeight="1" x14ac:dyDescent="0.25">
      <c r="B68" s="389">
        <v>62</v>
      </c>
      <c r="C68" s="390"/>
      <c r="D68" s="846"/>
      <c r="E68" s="849"/>
      <c r="F68" s="849"/>
      <c r="G68" s="849"/>
      <c r="H68" s="849"/>
      <c r="I68" s="849"/>
      <c r="J68" s="849"/>
      <c r="K68" s="849"/>
      <c r="L68" s="849"/>
      <c r="M68" s="849"/>
      <c r="N68" s="849"/>
      <c r="O68" s="849"/>
      <c r="P68" s="850"/>
      <c r="Q68" s="482"/>
      <c r="R68" s="483"/>
      <c r="S68" s="482"/>
      <c r="T68" s="484"/>
      <c r="U68" s="485"/>
      <c r="V68" s="391"/>
    </row>
    <row r="69" spans="2:22" ht="15" customHeight="1" x14ac:dyDescent="0.25">
      <c r="B69" s="389">
        <v>63</v>
      </c>
      <c r="C69" s="390"/>
      <c r="D69" s="846"/>
      <c r="E69" s="849"/>
      <c r="F69" s="849"/>
      <c r="G69" s="849"/>
      <c r="H69" s="849"/>
      <c r="I69" s="849"/>
      <c r="J69" s="849"/>
      <c r="K69" s="849"/>
      <c r="L69" s="849"/>
      <c r="M69" s="849"/>
      <c r="N69" s="849"/>
      <c r="O69" s="849"/>
      <c r="P69" s="850"/>
      <c r="Q69" s="482"/>
      <c r="R69" s="483"/>
      <c r="S69" s="482"/>
      <c r="T69" s="484"/>
      <c r="U69" s="485"/>
      <c r="V69" s="391"/>
    </row>
    <row r="70" spans="2:22" ht="15.75" x14ac:dyDescent="0.25">
      <c r="B70" s="389">
        <v>64</v>
      </c>
      <c r="C70" s="390"/>
      <c r="D70" s="846"/>
      <c r="E70" s="849"/>
      <c r="F70" s="849"/>
      <c r="G70" s="849"/>
      <c r="H70" s="849"/>
      <c r="I70" s="849"/>
      <c r="J70" s="849"/>
      <c r="K70" s="849"/>
      <c r="L70" s="849"/>
      <c r="M70" s="849"/>
      <c r="N70" s="849"/>
      <c r="O70" s="849"/>
      <c r="P70" s="850"/>
      <c r="Q70" s="482"/>
      <c r="R70" s="483"/>
      <c r="S70" s="482"/>
      <c r="T70" s="484"/>
      <c r="U70" s="485"/>
      <c r="V70" s="391"/>
    </row>
    <row r="71" spans="2:22" ht="15" customHeight="1" x14ac:dyDescent="0.25">
      <c r="B71" s="389">
        <v>65</v>
      </c>
      <c r="C71" s="390"/>
      <c r="D71" s="846"/>
      <c r="E71" s="849"/>
      <c r="F71" s="849"/>
      <c r="G71" s="849"/>
      <c r="H71" s="849"/>
      <c r="I71" s="849"/>
      <c r="J71" s="849"/>
      <c r="K71" s="849"/>
      <c r="L71" s="849"/>
      <c r="M71" s="849"/>
      <c r="N71" s="849"/>
      <c r="O71" s="849"/>
      <c r="P71" s="850"/>
      <c r="Q71" s="482"/>
      <c r="R71" s="483"/>
      <c r="S71" s="482"/>
      <c r="T71" s="484"/>
      <c r="U71" s="485"/>
      <c r="V71" s="391"/>
    </row>
    <row r="72" spans="2:22" ht="15" customHeight="1" x14ac:dyDescent="0.25">
      <c r="B72" s="389">
        <v>66</v>
      </c>
      <c r="C72" s="390"/>
      <c r="D72" s="846"/>
      <c r="E72" s="849"/>
      <c r="F72" s="849"/>
      <c r="G72" s="849"/>
      <c r="H72" s="849"/>
      <c r="I72" s="849"/>
      <c r="J72" s="849"/>
      <c r="K72" s="849"/>
      <c r="L72" s="849"/>
      <c r="M72" s="849"/>
      <c r="N72" s="849"/>
      <c r="O72" s="849"/>
      <c r="P72" s="850"/>
      <c r="Q72" s="482"/>
      <c r="R72" s="483"/>
      <c r="S72" s="482"/>
      <c r="T72" s="484"/>
      <c r="U72" s="485"/>
      <c r="V72" s="391"/>
    </row>
    <row r="73" spans="2:22" ht="15" customHeight="1" x14ac:dyDescent="0.25">
      <c r="B73" s="389">
        <v>67</v>
      </c>
      <c r="C73" s="390"/>
      <c r="D73" s="846"/>
      <c r="E73" s="849"/>
      <c r="F73" s="849"/>
      <c r="G73" s="849"/>
      <c r="H73" s="849"/>
      <c r="I73" s="849"/>
      <c r="J73" s="849"/>
      <c r="K73" s="849"/>
      <c r="L73" s="849"/>
      <c r="M73" s="849"/>
      <c r="N73" s="849"/>
      <c r="O73" s="849"/>
      <c r="P73" s="850"/>
      <c r="Q73" s="482"/>
      <c r="R73" s="483"/>
      <c r="S73" s="482"/>
      <c r="T73" s="484"/>
      <c r="U73" s="485"/>
      <c r="V73" s="391"/>
    </row>
    <row r="74" spans="2:22" ht="15" customHeight="1" x14ac:dyDescent="0.25">
      <c r="B74" s="389">
        <v>68</v>
      </c>
      <c r="C74" s="390"/>
      <c r="D74" s="846"/>
      <c r="E74" s="849"/>
      <c r="F74" s="849"/>
      <c r="G74" s="849"/>
      <c r="H74" s="849"/>
      <c r="I74" s="849"/>
      <c r="J74" s="849"/>
      <c r="K74" s="849"/>
      <c r="L74" s="849"/>
      <c r="M74" s="849"/>
      <c r="N74" s="849"/>
      <c r="O74" s="849"/>
      <c r="P74" s="850"/>
      <c r="Q74" s="482"/>
      <c r="R74" s="483"/>
      <c r="S74" s="482"/>
      <c r="T74" s="484"/>
      <c r="U74" s="485"/>
      <c r="V74" s="391"/>
    </row>
    <row r="75" spans="2:22" ht="15" customHeight="1" x14ac:dyDescent="0.25">
      <c r="B75" s="389">
        <v>69</v>
      </c>
      <c r="C75" s="390"/>
      <c r="D75" s="846"/>
      <c r="E75" s="849"/>
      <c r="F75" s="849"/>
      <c r="G75" s="849"/>
      <c r="H75" s="849"/>
      <c r="I75" s="849"/>
      <c r="J75" s="849"/>
      <c r="K75" s="849"/>
      <c r="L75" s="849"/>
      <c r="M75" s="849"/>
      <c r="N75" s="849"/>
      <c r="O75" s="849"/>
      <c r="P75" s="850"/>
      <c r="Q75" s="482"/>
      <c r="R75" s="483"/>
      <c r="S75" s="482"/>
      <c r="T75" s="484"/>
      <c r="U75" s="485"/>
      <c r="V75" s="391"/>
    </row>
    <row r="76" spans="2:22" ht="15.75" x14ac:dyDescent="0.25">
      <c r="B76" s="389">
        <v>70</v>
      </c>
      <c r="C76" s="390"/>
      <c r="D76" s="846"/>
      <c r="E76" s="849"/>
      <c r="F76" s="849"/>
      <c r="G76" s="849"/>
      <c r="H76" s="849"/>
      <c r="I76" s="849"/>
      <c r="J76" s="849"/>
      <c r="K76" s="849"/>
      <c r="L76" s="849"/>
      <c r="M76" s="849"/>
      <c r="N76" s="849"/>
      <c r="O76" s="849"/>
      <c r="P76" s="850"/>
      <c r="Q76" s="482"/>
      <c r="R76" s="483"/>
      <c r="S76" s="482"/>
      <c r="T76" s="484"/>
      <c r="U76" s="485"/>
      <c r="V76" s="391"/>
    </row>
    <row r="77" spans="2:22" ht="15" customHeight="1" x14ac:dyDescent="0.25">
      <c r="B77" s="389">
        <v>71</v>
      </c>
      <c r="C77" s="390"/>
      <c r="D77" s="846"/>
      <c r="E77" s="849"/>
      <c r="F77" s="849"/>
      <c r="G77" s="849"/>
      <c r="H77" s="849"/>
      <c r="I77" s="849"/>
      <c r="J77" s="849"/>
      <c r="K77" s="849"/>
      <c r="L77" s="849"/>
      <c r="M77" s="849"/>
      <c r="N77" s="849"/>
      <c r="O77" s="849"/>
      <c r="P77" s="850"/>
      <c r="Q77" s="482"/>
      <c r="R77" s="483"/>
      <c r="S77" s="482"/>
      <c r="T77" s="484"/>
      <c r="U77" s="485"/>
      <c r="V77" s="391"/>
    </row>
    <row r="78" spans="2:22" ht="15" customHeight="1" x14ac:dyDescent="0.25">
      <c r="B78" s="389">
        <v>72</v>
      </c>
      <c r="C78" s="390"/>
      <c r="D78" s="846"/>
      <c r="E78" s="849"/>
      <c r="F78" s="849"/>
      <c r="G78" s="849"/>
      <c r="H78" s="849"/>
      <c r="I78" s="849"/>
      <c r="J78" s="849"/>
      <c r="K78" s="849"/>
      <c r="L78" s="849"/>
      <c r="M78" s="849"/>
      <c r="N78" s="849"/>
      <c r="O78" s="849"/>
      <c r="P78" s="850"/>
      <c r="Q78" s="482"/>
      <c r="R78" s="483"/>
      <c r="S78" s="482"/>
      <c r="T78" s="484"/>
      <c r="U78" s="485"/>
      <c r="V78" s="391"/>
    </row>
    <row r="79" spans="2:22" ht="15" customHeight="1" x14ac:dyDescent="0.25">
      <c r="B79" s="389">
        <v>73</v>
      </c>
      <c r="C79" s="390"/>
      <c r="D79" s="846"/>
      <c r="E79" s="849"/>
      <c r="F79" s="849"/>
      <c r="G79" s="849"/>
      <c r="H79" s="849"/>
      <c r="I79" s="849"/>
      <c r="J79" s="849"/>
      <c r="K79" s="849"/>
      <c r="L79" s="849"/>
      <c r="M79" s="849"/>
      <c r="N79" s="849"/>
      <c r="O79" s="849"/>
      <c r="P79" s="850"/>
      <c r="Q79" s="482"/>
      <c r="R79" s="483"/>
      <c r="S79" s="482"/>
      <c r="T79" s="484"/>
      <c r="U79" s="485"/>
      <c r="V79" s="391"/>
    </row>
    <row r="80" spans="2:22" ht="15" customHeight="1" x14ac:dyDescent="0.25">
      <c r="B80" s="389">
        <v>74</v>
      </c>
      <c r="C80" s="390"/>
      <c r="D80" s="846"/>
      <c r="E80" s="849"/>
      <c r="F80" s="849"/>
      <c r="G80" s="849"/>
      <c r="H80" s="849"/>
      <c r="I80" s="849"/>
      <c r="J80" s="849"/>
      <c r="K80" s="849"/>
      <c r="L80" s="849"/>
      <c r="M80" s="849"/>
      <c r="N80" s="849"/>
      <c r="O80" s="849"/>
      <c r="P80" s="850"/>
      <c r="Q80" s="482"/>
      <c r="R80" s="483"/>
      <c r="S80" s="482"/>
      <c r="T80" s="484"/>
      <c r="U80" s="485"/>
      <c r="V80" s="391"/>
    </row>
    <row r="81" spans="2:22" ht="15.75" x14ac:dyDescent="0.25">
      <c r="B81" s="389">
        <v>75</v>
      </c>
      <c r="C81" s="390"/>
      <c r="D81" s="846"/>
      <c r="E81" s="849"/>
      <c r="F81" s="849"/>
      <c r="G81" s="849"/>
      <c r="H81" s="849"/>
      <c r="I81" s="849"/>
      <c r="J81" s="849"/>
      <c r="K81" s="849"/>
      <c r="L81" s="849"/>
      <c r="M81" s="849"/>
      <c r="N81" s="849"/>
      <c r="O81" s="849"/>
      <c r="P81" s="850"/>
      <c r="Q81" s="482"/>
      <c r="R81" s="483"/>
      <c r="S81" s="482"/>
      <c r="T81" s="484"/>
      <c r="U81" s="485"/>
      <c r="V81" s="391"/>
    </row>
    <row r="82" spans="2:22" ht="15" customHeight="1" x14ac:dyDescent="0.25">
      <c r="B82" s="389">
        <v>76</v>
      </c>
      <c r="C82" s="390"/>
      <c r="D82" s="846"/>
      <c r="E82" s="849"/>
      <c r="F82" s="849"/>
      <c r="G82" s="849"/>
      <c r="H82" s="849"/>
      <c r="I82" s="849"/>
      <c r="J82" s="849"/>
      <c r="K82" s="849"/>
      <c r="L82" s="849"/>
      <c r="M82" s="849"/>
      <c r="N82" s="849"/>
      <c r="O82" s="849"/>
      <c r="P82" s="850"/>
      <c r="Q82" s="482"/>
      <c r="R82" s="483"/>
      <c r="S82" s="482"/>
      <c r="T82" s="484"/>
      <c r="U82" s="485"/>
      <c r="V82" s="391"/>
    </row>
    <row r="83" spans="2:22" ht="15" customHeight="1" x14ac:dyDescent="0.25">
      <c r="B83" s="389">
        <v>77</v>
      </c>
      <c r="C83" s="390"/>
      <c r="D83" s="846"/>
      <c r="E83" s="849"/>
      <c r="F83" s="849"/>
      <c r="G83" s="849"/>
      <c r="H83" s="849"/>
      <c r="I83" s="849"/>
      <c r="J83" s="849"/>
      <c r="K83" s="849"/>
      <c r="L83" s="849"/>
      <c r="M83" s="849"/>
      <c r="N83" s="849"/>
      <c r="O83" s="849"/>
      <c r="P83" s="850"/>
      <c r="Q83" s="482"/>
      <c r="R83" s="483"/>
      <c r="S83" s="482"/>
      <c r="T83" s="484"/>
      <c r="U83" s="485"/>
      <c r="V83" s="391"/>
    </row>
    <row r="84" spans="2:22" ht="15" customHeight="1" x14ac:dyDescent="0.25">
      <c r="B84" s="389">
        <v>78</v>
      </c>
      <c r="C84" s="390"/>
      <c r="D84" s="846"/>
      <c r="E84" s="849"/>
      <c r="F84" s="849"/>
      <c r="G84" s="849"/>
      <c r="H84" s="849"/>
      <c r="I84" s="849"/>
      <c r="J84" s="849"/>
      <c r="K84" s="849"/>
      <c r="L84" s="849"/>
      <c r="M84" s="849"/>
      <c r="N84" s="849"/>
      <c r="O84" s="849"/>
      <c r="P84" s="850"/>
      <c r="Q84" s="482"/>
      <c r="R84" s="483"/>
      <c r="S84" s="482"/>
      <c r="T84" s="484"/>
      <c r="U84" s="485"/>
      <c r="V84" s="391"/>
    </row>
    <row r="85" spans="2:22" ht="15" customHeight="1" x14ac:dyDescent="0.25">
      <c r="B85" s="389">
        <v>79</v>
      </c>
      <c r="C85" s="390"/>
      <c r="D85" s="846"/>
      <c r="E85" s="849"/>
      <c r="F85" s="849"/>
      <c r="G85" s="849"/>
      <c r="H85" s="849"/>
      <c r="I85" s="849"/>
      <c r="J85" s="849"/>
      <c r="K85" s="849"/>
      <c r="L85" s="849"/>
      <c r="M85" s="849"/>
      <c r="N85" s="849"/>
      <c r="O85" s="849"/>
      <c r="P85" s="850"/>
      <c r="Q85" s="482"/>
      <c r="R85" s="483"/>
      <c r="S85" s="482"/>
      <c r="T85" s="484"/>
      <c r="U85" s="485"/>
      <c r="V85" s="391"/>
    </row>
    <row r="86" spans="2:22" ht="15" customHeight="1" x14ac:dyDescent="0.25">
      <c r="B86" s="389">
        <v>80</v>
      </c>
      <c r="C86" s="390"/>
      <c r="D86" s="846"/>
      <c r="E86" s="849"/>
      <c r="F86" s="849"/>
      <c r="G86" s="849"/>
      <c r="H86" s="849"/>
      <c r="I86" s="849"/>
      <c r="J86" s="849"/>
      <c r="K86" s="849"/>
      <c r="L86" s="849"/>
      <c r="M86" s="849"/>
      <c r="N86" s="849"/>
      <c r="O86" s="849"/>
      <c r="P86" s="850"/>
      <c r="Q86" s="482"/>
      <c r="R86" s="483"/>
      <c r="S86" s="482"/>
      <c r="T86" s="484"/>
      <c r="U86" s="485"/>
      <c r="V86" s="391"/>
    </row>
    <row r="87" spans="2:22" ht="15.75" x14ac:dyDescent="0.25">
      <c r="B87" s="389">
        <v>81</v>
      </c>
      <c r="C87" s="390"/>
      <c r="D87" s="846"/>
      <c r="E87" s="849"/>
      <c r="F87" s="849"/>
      <c r="G87" s="849"/>
      <c r="H87" s="849"/>
      <c r="I87" s="849"/>
      <c r="J87" s="849"/>
      <c r="K87" s="849"/>
      <c r="L87" s="849"/>
      <c r="M87" s="849"/>
      <c r="N87" s="849"/>
      <c r="O87" s="849"/>
      <c r="P87" s="850"/>
      <c r="Q87" s="482"/>
      <c r="R87" s="483"/>
      <c r="S87" s="482"/>
      <c r="T87" s="484"/>
      <c r="U87" s="485"/>
      <c r="V87" s="391"/>
    </row>
    <row r="88" spans="2:22" ht="15" customHeight="1" x14ac:dyDescent="0.25">
      <c r="B88" s="389">
        <v>82</v>
      </c>
      <c r="C88" s="390"/>
      <c r="D88" s="846"/>
      <c r="E88" s="849"/>
      <c r="F88" s="849"/>
      <c r="G88" s="849"/>
      <c r="H88" s="849"/>
      <c r="I88" s="849"/>
      <c r="J88" s="849"/>
      <c r="K88" s="849"/>
      <c r="L88" s="849"/>
      <c r="M88" s="849"/>
      <c r="N88" s="849"/>
      <c r="O88" s="849"/>
      <c r="P88" s="850"/>
      <c r="Q88" s="482"/>
      <c r="R88" s="483"/>
      <c r="S88" s="482"/>
      <c r="T88" s="484"/>
      <c r="U88" s="485"/>
      <c r="V88" s="391"/>
    </row>
    <row r="89" spans="2:22" ht="15" customHeight="1" x14ac:dyDescent="0.25">
      <c r="B89" s="389">
        <v>83</v>
      </c>
      <c r="C89" s="390"/>
      <c r="D89" s="846"/>
      <c r="E89" s="849"/>
      <c r="F89" s="849"/>
      <c r="G89" s="849"/>
      <c r="H89" s="849"/>
      <c r="I89" s="849"/>
      <c r="J89" s="849"/>
      <c r="K89" s="849"/>
      <c r="L89" s="849"/>
      <c r="M89" s="849"/>
      <c r="N89" s="849"/>
      <c r="O89" s="849"/>
      <c r="P89" s="850"/>
      <c r="Q89" s="482"/>
      <c r="R89" s="483"/>
      <c r="S89" s="482"/>
      <c r="T89" s="484"/>
      <c r="U89" s="485"/>
      <c r="V89" s="391"/>
    </row>
    <row r="90" spans="2:22" ht="15" customHeight="1" x14ac:dyDescent="0.25">
      <c r="B90" s="389">
        <v>84</v>
      </c>
      <c r="C90" s="390"/>
      <c r="D90" s="846"/>
      <c r="E90" s="849"/>
      <c r="F90" s="849"/>
      <c r="G90" s="849"/>
      <c r="H90" s="849"/>
      <c r="I90" s="849"/>
      <c r="J90" s="849"/>
      <c r="K90" s="849"/>
      <c r="L90" s="849"/>
      <c r="M90" s="849"/>
      <c r="N90" s="849"/>
      <c r="O90" s="849"/>
      <c r="P90" s="850"/>
      <c r="Q90" s="482"/>
      <c r="R90" s="483"/>
      <c r="S90" s="482"/>
      <c r="T90" s="484"/>
      <c r="U90" s="485"/>
      <c r="V90" s="391"/>
    </row>
    <row r="91" spans="2:22" ht="15" customHeight="1" x14ac:dyDescent="0.25">
      <c r="B91" s="389">
        <v>85</v>
      </c>
      <c r="C91" s="390"/>
      <c r="D91" s="846"/>
      <c r="E91" s="849"/>
      <c r="F91" s="849"/>
      <c r="G91" s="849"/>
      <c r="H91" s="849"/>
      <c r="I91" s="849"/>
      <c r="J91" s="849"/>
      <c r="K91" s="849"/>
      <c r="L91" s="849"/>
      <c r="M91" s="849"/>
      <c r="N91" s="849"/>
      <c r="O91" s="849"/>
      <c r="P91" s="850"/>
      <c r="Q91" s="482"/>
      <c r="R91" s="483"/>
      <c r="S91" s="482"/>
      <c r="T91" s="484"/>
      <c r="U91" s="485"/>
      <c r="V91" s="391"/>
    </row>
    <row r="92" spans="2:22" ht="15" customHeight="1" x14ac:dyDescent="0.25">
      <c r="B92" s="389">
        <v>86</v>
      </c>
      <c r="C92" s="390"/>
      <c r="D92" s="846"/>
      <c r="E92" s="849"/>
      <c r="F92" s="849"/>
      <c r="G92" s="849"/>
      <c r="H92" s="849"/>
      <c r="I92" s="849"/>
      <c r="J92" s="849"/>
      <c r="K92" s="849"/>
      <c r="L92" s="849"/>
      <c r="M92" s="849"/>
      <c r="N92" s="849"/>
      <c r="O92" s="849"/>
      <c r="P92" s="850"/>
      <c r="Q92" s="482"/>
      <c r="R92" s="483"/>
      <c r="S92" s="482"/>
      <c r="T92" s="484"/>
      <c r="U92" s="485"/>
      <c r="V92" s="391"/>
    </row>
    <row r="93" spans="2:22" ht="15.75" x14ac:dyDescent="0.25">
      <c r="B93" s="389">
        <v>87</v>
      </c>
      <c r="C93" s="390"/>
      <c r="D93" s="846"/>
      <c r="E93" s="849"/>
      <c r="F93" s="849"/>
      <c r="G93" s="849"/>
      <c r="H93" s="849"/>
      <c r="I93" s="849"/>
      <c r="J93" s="849"/>
      <c r="K93" s="849"/>
      <c r="L93" s="849"/>
      <c r="M93" s="849"/>
      <c r="N93" s="849"/>
      <c r="O93" s="849"/>
      <c r="P93" s="850"/>
      <c r="Q93" s="482"/>
      <c r="R93" s="483"/>
      <c r="S93" s="482"/>
      <c r="T93" s="484"/>
      <c r="U93" s="485"/>
      <c r="V93" s="391"/>
    </row>
    <row r="94" spans="2:22" ht="15" customHeight="1" x14ac:dyDescent="0.25">
      <c r="B94" s="389">
        <v>88</v>
      </c>
      <c r="C94" s="390"/>
      <c r="D94" s="846"/>
      <c r="E94" s="849"/>
      <c r="F94" s="849"/>
      <c r="G94" s="849"/>
      <c r="H94" s="849"/>
      <c r="I94" s="849"/>
      <c r="J94" s="849"/>
      <c r="K94" s="849"/>
      <c r="L94" s="849"/>
      <c r="M94" s="849"/>
      <c r="N94" s="849"/>
      <c r="O94" s="849"/>
      <c r="P94" s="850"/>
      <c r="Q94" s="482"/>
      <c r="R94" s="483"/>
      <c r="S94" s="482"/>
      <c r="T94" s="484"/>
      <c r="U94" s="485"/>
      <c r="V94" s="391"/>
    </row>
    <row r="95" spans="2:22" ht="15" customHeight="1" x14ac:dyDescent="0.25">
      <c r="B95" s="389">
        <v>89</v>
      </c>
      <c r="C95" s="390"/>
      <c r="D95" s="846"/>
      <c r="E95" s="849"/>
      <c r="F95" s="849"/>
      <c r="G95" s="849"/>
      <c r="H95" s="849"/>
      <c r="I95" s="849"/>
      <c r="J95" s="849"/>
      <c r="K95" s="849"/>
      <c r="L95" s="849"/>
      <c r="M95" s="849"/>
      <c r="N95" s="849"/>
      <c r="O95" s="849"/>
      <c r="P95" s="850"/>
      <c r="Q95" s="482"/>
      <c r="R95" s="483"/>
      <c r="S95" s="482"/>
      <c r="T95" s="484"/>
      <c r="U95" s="485"/>
      <c r="V95" s="391"/>
    </row>
    <row r="96" spans="2:22" ht="15" customHeight="1" x14ac:dyDescent="0.25">
      <c r="B96" s="389">
        <v>90</v>
      </c>
      <c r="C96" s="390"/>
      <c r="D96" s="846"/>
      <c r="E96" s="849"/>
      <c r="F96" s="849"/>
      <c r="G96" s="849"/>
      <c r="H96" s="849"/>
      <c r="I96" s="849"/>
      <c r="J96" s="849"/>
      <c r="K96" s="849"/>
      <c r="L96" s="849"/>
      <c r="M96" s="849"/>
      <c r="N96" s="849"/>
      <c r="O96" s="849"/>
      <c r="P96" s="850"/>
      <c r="Q96" s="482"/>
      <c r="R96" s="483"/>
      <c r="S96" s="482"/>
      <c r="T96" s="484"/>
      <c r="U96" s="485"/>
      <c r="V96" s="391"/>
    </row>
    <row r="97" spans="2:22" ht="15" customHeight="1" x14ac:dyDescent="0.25">
      <c r="B97" s="389">
        <v>91</v>
      </c>
      <c r="C97" s="390"/>
      <c r="D97" s="846"/>
      <c r="E97" s="849"/>
      <c r="F97" s="849"/>
      <c r="G97" s="849"/>
      <c r="H97" s="849"/>
      <c r="I97" s="849"/>
      <c r="J97" s="849"/>
      <c r="K97" s="849"/>
      <c r="L97" s="849"/>
      <c r="M97" s="849"/>
      <c r="N97" s="849"/>
      <c r="O97" s="849"/>
      <c r="P97" s="850"/>
      <c r="Q97" s="482"/>
      <c r="R97" s="483"/>
      <c r="S97" s="482"/>
      <c r="T97" s="484"/>
      <c r="U97" s="485"/>
      <c r="V97" s="391"/>
    </row>
    <row r="98" spans="2:22" ht="15" customHeight="1" x14ac:dyDescent="0.25">
      <c r="B98" s="389">
        <v>92</v>
      </c>
      <c r="C98" s="390"/>
      <c r="D98" s="846"/>
      <c r="E98" s="849"/>
      <c r="F98" s="849"/>
      <c r="G98" s="849"/>
      <c r="H98" s="849"/>
      <c r="I98" s="849"/>
      <c r="J98" s="849"/>
      <c r="K98" s="849"/>
      <c r="L98" s="849"/>
      <c r="M98" s="849"/>
      <c r="N98" s="849"/>
      <c r="O98" s="849"/>
      <c r="P98" s="850"/>
      <c r="Q98" s="482"/>
      <c r="R98" s="483"/>
      <c r="S98" s="482"/>
      <c r="T98" s="484"/>
      <c r="U98" s="485"/>
      <c r="V98" s="391"/>
    </row>
    <row r="99" spans="2:22" ht="15.75" x14ac:dyDescent="0.25">
      <c r="B99" s="389">
        <v>93</v>
      </c>
      <c r="C99" s="390"/>
      <c r="D99" s="846"/>
      <c r="E99" s="849"/>
      <c r="F99" s="849"/>
      <c r="G99" s="849"/>
      <c r="H99" s="849"/>
      <c r="I99" s="849"/>
      <c r="J99" s="849"/>
      <c r="K99" s="849"/>
      <c r="L99" s="849"/>
      <c r="M99" s="849"/>
      <c r="N99" s="849"/>
      <c r="O99" s="849"/>
      <c r="P99" s="850"/>
      <c r="Q99" s="482"/>
      <c r="R99" s="483"/>
      <c r="S99" s="482"/>
      <c r="T99" s="484"/>
      <c r="U99" s="485"/>
      <c r="V99" s="391"/>
    </row>
    <row r="100" spans="2:22" ht="15" customHeight="1" x14ac:dyDescent="0.25">
      <c r="B100" s="389">
        <v>94</v>
      </c>
      <c r="C100" s="390"/>
      <c r="D100" s="846"/>
      <c r="E100" s="849"/>
      <c r="F100" s="849"/>
      <c r="G100" s="849"/>
      <c r="H100" s="849"/>
      <c r="I100" s="849"/>
      <c r="J100" s="849"/>
      <c r="K100" s="849"/>
      <c r="L100" s="849"/>
      <c r="M100" s="849"/>
      <c r="N100" s="849"/>
      <c r="O100" s="849"/>
      <c r="P100" s="850"/>
      <c r="Q100" s="482"/>
      <c r="R100" s="483"/>
      <c r="S100" s="482"/>
      <c r="T100" s="484"/>
      <c r="U100" s="485"/>
      <c r="V100" s="391"/>
    </row>
    <row r="101" spans="2:22" ht="15" customHeight="1" x14ac:dyDescent="0.25">
      <c r="B101" s="389">
        <v>95</v>
      </c>
      <c r="C101" s="390"/>
      <c r="D101" s="846"/>
      <c r="E101" s="849"/>
      <c r="F101" s="849"/>
      <c r="G101" s="849"/>
      <c r="H101" s="849"/>
      <c r="I101" s="849"/>
      <c r="J101" s="849"/>
      <c r="K101" s="849"/>
      <c r="L101" s="849"/>
      <c r="M101" s="849"/>
      <c r="N101" s="849"/>
      <c r="O101" s="849"/>
      <c r="P101" s="850"/>
      <c r="Q101" s="482"/>
      <c r="R101" s="483"/>
      <c r="S101" s="482"/>
      <c r="T101" s="484"/>
      <c r="U101" s="485"/>
      <c r="V101" s="391"/>
    </row>
    <row r="102" spans="2:22" ht="15" customHeight="1" x14ac:dyDescent="0.25">
      <c r="B102" s="389">
        <v>96</v>
      </c>
      <c r="C102" s="390"/>
      <c r="D102" s="846"/>
      <c r="E102" s="849"/>
      <c r="F102" s="849"/>
      <c r="G102" s="849"/>
      <c r="H102" s="849"/>
      <c r="I102" s="849"/>
      <c r="J102" s="849"/>
      <c r="K102" s="849"/>
      <c r="L102" s="849"/>
      <c r="M102" s="849"/>
      <c r="N102" s="849"/>
      <c r="O102" s="849"/>
      <c r="P102" s="850"/>
      <c r="Q102" s="482"/>
      <c r="R102" s="483"/>
      <c r="S102" s="482"/>
      <c r="T102" s="484"/>
      <c r="U102" s="485"/>
      <c r="V102" s="391"/>
    </row>
    <row r="103" spans="2:22" ht="15" customHeight="1" x14ac:dyDescent="0.25">
      <c r="B103" s="389">
        <v>97</v>
      </c>
      <c r="C103" s="390"/>
      <c r="D103" s="846"/>
      <c r="E103" s="849"/>
      <c r="F103" s="849"/>
      <c r="G103" s="849"/>
      <c r="H103" s="849"/>
      <c r="I103" s="849"/>
      <c r="J103" s="849"/>
      <c r="K103" s="849"/>
      <c r="L103" s="849"/>
      <c r="M103" s="849"/>
      <c r="N103" s="849"/>
      <c r="O103" s="849"/>
      <c r="P103" s="850"/>
      <c r="Q103" s="482"/>
      <c r="R103" s="483"/>
      <c r="S103" s="482"/>
      <c r="T103" s="484"/>
      <c r="U103" s="485"/>
      <c r="V103" s="391"/>
    </row>
    <row r="104" spans="2:22" ht="15" customHeight="1" x14ac:dyDescent="0.25">
      <c r="B104" s="389">
        <v>98</v>
      </c>
      <c r="C104" s="390"/>
      <c r="D104" s="846"/>
      <c r="E104" s="849"/>
      <c r="F104" s="849"/>
      <c r="G104" s="849"/>
      <c r="H104" s="849"/>
      <c r="I104" s="849"/>
      <c r="J104" s="849"/>
      <c r="K104" s="849"/>
      <c r="L104" s="849"/>
      <c r="M104" s="849"/>
      <c r="N104" s="849"/>
      <c r="O104" s="849"/>
      <c r="P104" s="850"/>
      <c r="Q104" s="482"/>
      <c r="R104" s="483"/>
      <c r="S104" s="482"/>
      <c r="T104" s="484"/>
      <c r="U104" s="485"/>
      <c r="V104" s="391"/>
    </row>
    <row r="105" spans="2:22" ht="15.75" x14ac:dyDescent="0.25">
      <c r="B105" s="389">
        <v>99</v>
      </c>
      <c r="C105" s="390"/>
      <c r="D105" s="846"/>
      <c r="E105" s="849"/>
      <c r="F105" s="849"/>
      <c r="G105" s="849"/>
      <c r="H105" s="849"/>
      <c r="I105" s="849"/>
      <c r="J105" s="849"/>
      <c r="K105" s="849"/>
      <c r="L105" s="849"/>
      <c r="M105" s="849"/>
      <c r="N105" s="849"/>
      <c r="O105" s="849"/>
      <c r="P105" s="850"/>
      <c r="Q105" s="482"/>
      <c r="R105" s="483"/>
      <c r="S105" s="482"/>
      <c r="T105" s="484"/>
      <c r="U105" s="485"/>
      <c r="V105" s="391"/>
    </row>
    <row r="106" spans="2:22" ht="15" customHeight="1" x14ac:dyDescent="0.25">
      <c r="B106" s="389">
        <v>100</v>
      </c>
      <c r="C106" s="390"/>
      <c r="D106" s="846"/>
      <c r="E106" s="849"/>
      <c r="F106" s="849"/>
      <c r="G106" s="849"/>
      <c r="H106" s="849"/>
      <c r="I106" s="849"/>
      <c r="J106" s="849"/>
      <c r="K106" s="849"/>
      <c r="L106" s="849"/>
      <c r="M106" s="849"/>
      <c r="N106" s="849"/>
      <c r="O106" s="849"/>
      <c r="P106" s="850"/>
      <c r="Q106" s="482"/>
      <c r="R106" s="483"/>
      <c r="S106" s="482"/>
      <c r="T106" s="484"/>
      <c r="U106" s="485"/>
      <c r="V106" s="391"/>
    </row>
    <row r="107" spans="2:22" ht="15" customHeight="1" x14ac:dyDescent="0.25">
      <c r="B107" s="389">
        <v>101</v>
      </c>
      <c r="C107" s="390"/>
      <c r="D107" s="846"/>
      <c r="E107" s="849"/>
      <c r="F107" s="849"/>
      <c r="G107" s="849"/>
      <c r="H107" s="849"/>
      <c r="I107" s="849"/>
      <c r="J107" s="849"/>
      <c r="K107" s="849"/>
      <c r="L107" s="849"/>
      <c r="M107" s="849"/>
      <c r="N107" s="849"/>
      <c r="O107" s="849"/>
      <c r="P107" s="850"/>
      <c r="Q107" s="482"/>
      <c r="R107" s="483"/>
      <c r="S107" s="482"/>
      <c r="T107" s="484"/>
      <c r="U107" s="485"/>
      <c r="V107" s="391"/>
    </row>
    <row r="108" spans="2:22" ht="15" customHeight="1" x14ac:dyDescent="0.25">
      <c r="B108" s="389">
        <v>102</v>
      </c>
      <c r="C108" s="390"/>
      <c r="D108" s="846"/>
      <c r="E108" s="849"/>
      <c r="F108" s="849"/>
      <c r="G108" s="849"/>
      <c r="H108" s="849"/>
      <c r="I108" s="849"/>
      <c r="J108" s="849"/>
      <c r="K108" s="849"/>
      <c r="L108" s="849"/>
      <c r="M108" s="849"/>
      <c r="N108" s="849"/>
      <c r="O108" s="849"/>
      <c r="P108" s="850"/>
      <c r="Q108" s="482"/>
      <c r="R108" s="483"/>
      <c r="S108" s="482"/>
      <c r="T108" s="484"/>
      <c r="U108" s="485"/>
      <c r="V108" s="391"/>
    </row>
    <row r="109" spans="2:22" ht="15" customHeight="1" x14ac:dyDescent="0.25">
      <c r="B109" s="389">
        <v>103</v>
      </c>
      <c r="C109" s="390"/>
      <c r="D109" s="846"/>
      <c r="E109" s="849"/>
      <c r="F109" s="849"/>
      <c r="G109" s="849"/>
      <c r="H109" s="849"/>
      <c r="I109" s="849"/>
      <c r="J109" s="849"/>
      <c r="K109" s="849"/>
      <c r="L109" s="849"/>
      <c r="M109" s="849"/>
      <c r="N109" s="849"/>
      <c r="O109" s="849"/>
      <c r="P109" s="850"/>
      <c r="Q109" s="482"/>
      <c r="R109" s="483"/>
      <c r="S109" s="482"/>
      <c r="T109" s="484"/>
      <c r="U109" s="485"/>
      <c r="V109" s="391"/>
    </row>
    <row r="110" spans="2:22" ht="15" customHeight="1" x14ac:dyDescent="0.25">
      <c r="B110" s="389">
        <v>104</v>
      </c>
      <c r="C110" s="390"/>
      <c r="D110" s="846"/>
      <c r="E110" s="849"/>
      <c r="F110" s="849"/>
      <c r="G110" s="849"/>
      <c r="H110" s="849"/>
      <c r="I110" s="849"/>
      <c r="J110" s="849"/>
      <c r="K110" s="849"/>
      <c r="L110" s="849"/>
      <c r="M110" s="849"/>
      <c r="N110" s="849"/>
      <c r="O110" s="849"/>
      <c r="P110" s="850"/>
      <c r="Q110" s="482"/>
      <c r="R110" s="483"/>
      <c r="S110" s="482"/>
      <c r="T110" s="484"/>
      <c r="U110" s="485"/>
      <c r="V110" s="391"/>
    </row>
    <row r="111" spans="2:22" ht="15.75" x14ac:dyDescent="0.25">
      <c r="B111" s="389">
        <v>105</v>
      </c>
      <c r="C111" s="390"/>
      <c r="D111" s="846"/>
      <c r="E111" s="849"/>
      <c r="F111" s="849"/>
      <c r="G111" s="849"/>
      <c r="H111" s="849"/>
      <c r="I111" s="849"/>
      <c r="J111" s="849"/>
      <c r="K111" s="849"/>
      <c r="L111" s="849"/>
      <c r="M111" s="849"/>
      <c r="N111" s="849"/>
      <c r="O111" s="849"/>
      <c r="P111" s="850"/>
      <c r="Q111" s="482"/>
      <c r="R111" s="483"/>
      <c r="S111" s="482"/>
      <c r="T111" s="484"/>
      <c r="U111" s="485"/>
      <c r="V111" s="391"/>
    </row>
    <row r="112" spans="2:22" ht="15" customHeight="1" x14ac:dyDescent="0.25">
      <c r="B112" s="389">
        <v>106</v>
      </c>
      <c r="C112" s="390"/>
      <c r="D112" s="846"/>
      <c r="E112" s="849"/>
      <c r="F112" s="849"/>
      <c r="G112" s="849"/>
      <c r="H112" s="849"/>
      <c r="I112" s="849"/>
      <c r="J112" s="849"/>
      <c r="K112" s="849"/>
      <c r="L112" s="849"/>
      <c r="M112" s="849"/>
      <c r="N112" s="849"/>
      <c r="O112" s="849"/>
      <c r="P112" s="850"/>
      <c r="Q112" s="482"/>
      <c r="R112" s="483"/>
      <c r="S112" s="482"/>
      <c r="T112" s="484"/>
      <c r="U112" s="485"/>
      <c r="V112" s="391"/>
    </row>
    <row r="113" spans="2:22" ht="15" customHeight="1" x14ac:dyDescent="0.25">
      <c r="B113" s="389">
        <v>107</v>
      </c>
      <c r="C113" s="390"/>
      <c r="D113" s="846"/>
      <c r="E113" s="849"/>
      <c r="F113" s="849"/>
      <c r="G113" s="849"/>
      <c r="H113" s="849"/>
      <c r="I113" s="849"/>
      <c r="J113" s="849"/>
      <c r="K113" s="849"/>
      <c r="L113" s="849"/>
      <c r="M113" s="849"/>
      <c r="N113" s="849"/>
      <c r="O113" s="849"/>
      <c r="P113" s="850"/>
      <c r="Q113" s="482"/>
      <c r="R113" s="483"/>
      <c r="S113" s="482"/>
      <c r="T113" s="484"/>
      <c r="U113" s="485"/>
      <c r="V113" s="391"/>
    </row>
    <row r="114" spans="2:22" ht="15" customHeight="1" x14ac:dyDescent="0.25">
      <c r="B114" s="389">
        <v>108</v>
      </c>
      <c r="C114" s="390"/>
      <c r="D114" s="846"/>
      <c r="E114" s="849"/>
      <c r="F114" s="849"/>
      <c r="G114" s="849"/>
      <c r="H114" s="849"/>
      <c r="I114" s="849"/>
      <c r="J114" s="849"/>
      <c r="K114" s="849"/>
      <c r="L114" s="849"/>
      <c r="M114" s="849"/>
      <c r="N114" s="849"/>
      <c r="O114" s="849"/>
      <c r="P114" s="850"/>
      <c r="Q114" s="482"/>
      <c r="R114" s="483"/>
      <c r="S114" s="482"/>
      <c r="T114" s="484"/>
      <c r="U114" s="485"/>
      <c r="V114" s="391"/>
    </row>
    <row r="115" spans="2:22" ht="15" customHeight="1" x14ac:dyDescent="0.25">
      <c r="B115" s="389">
        <v>109</v>
      </c>
      <c r="C115" s="390"/>
      <c r="D115" s="846"/>
      <c r="E115" s="849"/>
      <c r="F115" s="849"/>
      <c r="G115" s="849"/>
      <c r="H115" s="849"/>
      <c r="I115" s="849"/>
      <c r="J115" s="849"/>
      <c r="K115" s="849"/>
      <c r="L115" s="849"/>
      <c r="M115" s="849"/>
      <c r="N115" s="849"/>
      <c r="O115" s="849"/>
      <c r="P115" s="850"/>
      <c r="Q115" s="482"/>
      <c r="R115" s="483"/>
      <c r="S115" s="482"/>
      <c r="T115" s="484"/>
      <c r="U115" s="485"/>
      <c r="V115" s="391"/>
    </row>
    <row r="116" spans="2:22" ht="15" customHeight="1" x14ac:dyDescent="0.25">
      <c r="B116" s="389">
        <v>110</v>
      </c>
      <c r="C116" s="390"/>
      <c r="D116" s="846"/>
      <c r="E116" s="849"/>
      <c r="F116" s="849"/>
      <c r="G116" s="849"/>
      <c r="H116" s="849"/>
      <c r="I116" s="849"/>
      <c r="J116" s="849"/>
      <c r="K116" s="849"/>
      <c r="L116" s="849"/>
      <c r="M116" s="849"/>
      <c r="N116" s="849"/>
      <c r="O116" s="849"/>
      <c r="P116" s="850"/>
      <c r="Q116" s="482"/>
      <c r="R116" s="483"/>
      <c r="S116" s="482"/>
      <c r="T116" s="484"/>
      <c r="U116" s="485"/>
      <c r="V116" s="391"/>
    </row>
    <row r="117" spans="2:22" ht="15" customHeight="1" x14ac:dyDescent="0.25">
      <c r="B117" s="389">
        <v>111</v>
      </c>
      <c r="C117" s="390"/>
      <c r="D117" s="846"/>
      <c r="E117" s="849"/>
      <c r="F117" s="849"/>
      <c r="G117" s="849"/>
      <c r="H117" s="849"/>
      <c r="I117" s="849"/>
      <c r="J117" s="849"/>
      <c r="K117" s="849"/>
      <c r="L117" s="849"/>
      <c r="M117" s="849"/>
      <c r="N117" s="849"/>
      <c r="O117" s="849"/>
      <c r="P117" s="850"/>
      <c r="Q117" s="482"/>
      <c r="R117" s="483"/>
      <c r="S117" s="482"/>
      <c r="T117" s="484"/>
      <c r="U117" s="485"/>
      <c r="V117" s="391"/>
    </row>
    <row r="118" spans="2:22" ht="15" customHeight="1" x14ac:dyDescent="0.25">
      <c r="B118" s="389">
        <v>112</v>
      </c>
      <c r="C118" s="390"/>
      <c r="D118" s="846"/>
      <c r="E118" s="849"/>
      <c r="F118" s="849"/>
      <c r="G118" s="849"/>
      <c r="H118" s="849"/>
      <c r="I118" s="849"/>
      <c r="J118" s="849"/>
      <c r="K118" s="849"/>
      <c r="L118" s="849"/>
      <c r="M118" s="849"/>
      <c r="N118" s="849"/>
      <c r="O118" s="849"/>
      <c r="P118" s="850"/>
      <c r="Q118" s="482"/>
      <c r="R118" s="483"/>
      <c r="S118" s="482"/>
      <c r="T118" s="484"/>
      <c r="U118" s="485"/>
      <c r="V118" s="391"/>
    </row>
    <row r="119" spans="2:22" ht="15.75" x14ac:dyDescent="0.25">
      <c r="B119" s="389">
        <v>113</v>
      </c>
      <c r="C119" s="390"/>
      <c r="D119" s="846"/>
      <c r="E119" s="849"/>
      <c r="F119" s="849"/>
      <c r="G119" s="849"/>
      <c r="H119" s="849"/>
      <c r="I119" s="849"/>
      <c r="J119" s="849"/>
      <c r="K119" s="849"/>
      <c r="L119" s="849"/>
      <c r="M119" s="849"/>
      <c r="N119" s="849"/>
      <c r="O119" s="849"/>
      <c r="P119" s="850"/>
      <c r="Q119" s="482"/>
      <c r="R119" s="483"/>
      <c r="S119" s="482"/>
      <c r="T119" s="484"/>
      <c r="U119" s="485"/>
      <c r="V119" s="391"/>
    </row>
    <row r="120" spans="2:22" ht="15" customHeight="1" x14ac:dyDescent="0.25">
      <c r="B120" s="389">
        <v>114</v>
      </c>
      <c r="C120" s="390"/>
      <c r="D120" s="846"/>
      <c r="E120" s="849"/>
      <c r="F120" s="849"/>
      <c r="G120" s="849"/>
      <c r="H120" s="849"/>
      <c r="I120" s="849"/>
      <c r="J120" s="849"/>
      <c r="K120" s="849"/>
      <c r="L120" s="849"/>
      <c r="M120" s="849"/>
      <c r="N120" s="849"/>
      <c r="O120" s="849"/>
      <c r="P120" s="850"/>
      <c r="Q120" s="482"/>
      <c r="R120" s="483"/>
      <c r="S120" s="482"/>
      <c r="T120" s="484"/>
      <c r="U120" s="485"/>
      <c r="V120" s="391"/>
    </row>
    <row r="121" spans="2:22" ht="15" customHeight="1" x14ac:dyDescent="0.25">
      <c r="B121" s="389">
        <v>115</v>
      </c>
      <c r="C121" s="390"/>
      <c r="D121" s="846"/>
      <c r="E121" s="849"/>
      <c r="F121" s="849"/>
      <c r="G121" s="849"/>
      <c r="H121" s="849"/>
      <c r="I121" s="849"/>
      <c r="J121" s="849"/>
      <c r="K121" s="849"/>
      <c r="L121" s="849"/>
      <c r="M121" s="849"/>
      <c r="N121" s="849"/>
      <c r="O121" s="849"/>
      <c r="P121" s="850"/>
      <c r="Q121" s="482"/>
      <c r="R121" s="483"/>
      <c r="S121" s="482"/>
      <c r="T121" s="484"/>
      <c r="U121" s="485"/>
      <c r="V121" s="391"/>
    </row>
    <row r="122" spans="2:22" ht="15" customHeight="1" x14ac:dyDescent="0.25">
      <c r="B122" s="389">
        <v>116</v>
      </c>
      <c r="C122" s="390"/>
      <c r="D122" s="846"/>
      <c r="E122" s="849"/>
      <c r="F122" s="849"/>
      <c r="G122" s="849"/>
      <c r="H122" s="849"/>
      <c r="I122" s="849"/>
      <c r="J122" s="849"/>
      <c r="K122" s="849"/>
      <c r="L122" s="849"/>
      <c r="M122" s="849"/>
      <c r="N122" s="849"/>
      <c r="O122" s="849"/>
      <c r="P122" s="850"/>
      <c r="Q122" s="482"/>
      <c r="R122" s="483"/>
      <c r="S122" s="482"/>
      <c r="T122" s="484"/>
      <c r="U122" s="485"/>
      <c r="V122" s="391"/>
    </row>
    <row r="123" spans="2:22" ht="15" customHeight="1" x14ac:dyDescent="0.25">
      <c r="B123" s="389">
        <v>117</v>
      </c>
      <c r="C123" s="390"/>
      <c r="D123" s="846"/>
      <c r="E123" s="849"/>
      <c r="F123" s="849"/>
      <c r="G123" s="849"/>
      <c r="H123" s="849"/>
      <c r="I123" s="849"/>
      <c r="J123" s="849"/>
      <c r="K123" s="849"/>
      <c r="L123" s="849"/>
      <c r="M123" s="849"/>
      <c r="N123" s="849"/>
      <c r="O123" s="849"/>
      <c r="P123" s="850"/>
      <c r="Q123" s="482"/>
      <c r="R123" s="483"/>
      <c r="S123" s="482"/>
      <c r="T123" s="484"/>
      <c r="U123" s="485"/>
      <c r="V123" s="391"/>
    </row>
    <row r="124" spans="2:22" ht="15" customHeight="1" x14ac:dyDescent="0.25">
      <c r="B124" s="389">
        <v>118</v>
      </c>
      <c r="C124" s="390"/>
      <c r="D124" s="846"/>
      <c r="E124" s="849"/>
      <c r="F124" s="849"/>
      <c r="G124" s="849"/>
      <c r="H124" s="849"/>
      <c r="I124" s="849"/>
      <c r="J124" s="849"/>
      <c r="K124" s="849"/>
      <c r="L124" s="849"/>
      <c r="M124" s="849"/>
      <c r="N124" s="849"/>
      <c r="O124" s="849"/>
      <c r="P124" s="850"/>
      <c r="Q124" s="482"/>
      <c r="R124" s="483"/>
      <c r="S124" s="482"/>
      <c r="T124" s="484"/>
      <c r="U124" s="485"/>
      <c r="V124" s="391"/>
    </row>
    <row r="125" spans="2:22" ht="15" customHeight="1" x14ac:dyDescent="0.25">
      <c r="B125" s="389">
        <v>119</v>
      </c>
      <c r="C125" s="390"/>
      <c r="D125" s="846"/>
      <c r="E125" s="849"/>
      <c r="F125" s="849"/>
      <c r="G125" s="849"/>
      <c r="H125" s="849"/>
      <c r="I125" s="849"/>
      <c r="J125" s="849"/>
      <c r="K125" s="849"/>
      <c r="L125" s="849"/>
      <c r="M125" s="849"/>
      <c r="N125" s="849"/>
      <c r="O125" s="849"/>
      <c r="P125" s="850"/>
      <c r="Q125" s="482"/>
      <c r="R125" s="483"/>
      <c r="S125" s="482"/>
      <c r="T125" s="484"/>
      <c r="U125" s="485"/>
      <c r="V125" s="391"/>
    </row>
    <row r="126" spans="2:22" ht="15.75" x14ac:dyDescent="0.25">
      <c r="B126" s="389">
        <v>120</v>
      </c>
      <c r="C126" s="390"/>
      <c r="D126" s="846"/>
      <c r="E126" s="849"/>
      <c r="F126" s="849"/>
      <c r="G126" s="849"/>
      <c r="H126" s="849"/>
      <c r="I126" s="849"/>
      <c r="J126" s="849"/>
      <c r="K126" s="849"/>
      <c r="L126" s="849"/>
      <c r="M126" s="849"/>
      <c r="N126" s="849"/>
      <c r="O126" s="849"/>
      <c r="P126" s="850"/>
      <c r="Q126" s="482"/>
      <c r="R126" s="483"/>
      <c r="S126" s="482"/>
      <c r="T126" s="484"/>
      <c r="U126" s="485"/>
      <c r="V126" s="391"/>
    </row>
    <row r="127" spans="2:22" ht="15" customHeight="1" x14ac:dyDescent="0.25">
      <c r="B127" s="389">
        <v>121</v>
      </c>
      <c r="C127" s="390"/>
      <c r="D127" s="846"/>
      <c r="E127" s="849"/>
      <c r="F127" s="849"/>
      <c r="G127" s="849"/>
      <c r="H127" s="849"/>
      <c r="I127" s="849"/>
      <c r="J127" s="849"/>
      <c r="K127" s="849"/>
      <c r="L127" s="849"/>
      <c r="M127" s="849"/>
      <c r="N127" s="849"/>
      <c r="O127" s="849"/>
      <c r="P127" s="850"/>
      <c r="Q127" s="482"/>
      <c r="R127" s="483"/>
      <c r="S127" s="482"/>
      <c r="T127" s="484"/>
      <c r="U127" s="485"/>
      <c r="V127" s="391"/>
    </row>
    <row r="128" spans="2:22" ht="15" customHeight="1" x14ac:dyDescent="0.25">
      <c r="B128" s="389">
        <v>122</v>
      </c>
      <c r="C128" s="390"/>
      <c r="D128" s="846"/>
      <c r="E128" s="849"/>
      <c r="F128" s="849"/>
      <c r="G128" s="849"/>
      <c r="H128" s="849"/>
      <c r="I128" s="849"/>
      <c r="J128" s="849"/>
      <c r="K128" s="849"/>
      <c r="L128" s="849"/>
      <c r="M128" s="849"/>
      <c r="N128" s="849"/>
      <c r="O128" s="849"/>
      <c r="P128" s="850"/>
      <c r="Q128" s="482"/>
      <c r="R128" s="483"/>
      <c r="S128" s="482"/>
      <c r="T128" s="484"/>
      <c r="U128" s="485"/>
      <c r="V128" s="391"/>
    </row>
    <row r="129" spans="2:22" ht="15" customHeight="1" x14ac:dyDescent="0.25">
      <c r="B129" s="389">
        <v>123</v>
      </c>
      <c r="C129" s="390"/>
      <c r="D129" s="846"/>
      <c r="E129" s="849"/>
      <c r="F129" s="849"/>
      <c r="G129" s="849"/>
      <c r="H129" s="849"/>
      <c r="I129" s="849"/>
      <c r="J129" s="849"/>
      <c r="K129" s="849"/>
      <c r="L129" s="849"/>
      <c r="M129" s="849"/>
      <c r="N129" s="849"/>
      <c r="O129" s="849"/>
      <c r="P129" s="850"/>
      <c r="Q129" s="482"/>
      <c r="R129" s="483"/>
      <c r="S129" s="482"/>
      <c r="T129" s="484"/>
      <c r="U129" s="485"/>
      <c r="V129" s="391"/>
    </row>
    <row r="130" spans="2:22" ht="15" customHeight="1" x14ac:dyDescent="0.25">
      <c r="B130" s="389">
        <v>124</v>
      </c>
      <c r="C130" s="390"/>
      <c r="D130" s="846"/>
      <c r="E130" s="849"/>
      <c r="F130" s="849"/>
      <c r="G130" s="849"/>
      <c r="H130" s="849"/>
      <c r="I130" s="849"/>
      <c r="J130" s="849"/>
      <c r="K130" s="849"/>
      <c r="L130" s="849"/>
      <c r="M130" s="849"/>
      <c r="N130" s="849"/>
      <c r="O130" s="849"/>
      <c r="P130" s="850"/>
      <c r="Q130" s="482"/>
      <c r="R130" s="483"/>
      <c r="S130" s="482"/>
      <c r="T130" s="484"/>
      <c r="U130" s="485"/>
      <c r="V130" s="391"/>
    </row>
    <row r="131" spans="2:22" ht="15" customHeight="1" x14ac:dyDescent="0.25">
      <c r="B131" s="389">
        <v>125</v>
      </c>
      <c r="C131" s="390"/>
      <c r="D131" s="846"/>
      <c r="E131" s="849"/>
      <c r="F131" s="849"/>
      <c r="G131" s="849"/>
      <c r="H131" s="849"/>
      <c r="I131" s="849"/>
      <c r="J131" s="849"/>
      <c r="K131" s="849"/>
      <c r="L131" s="849"/>
      <c r="M131" s="849"/>
      <c r="N131" s="849"/>
      <c r="O131" s="849"/>
      <c r="P131" s="850"/>
      <c r="Q131" s="482"/>
      <c r="R131" s="483"/>
      <c r="S131" s="482"/>
      <c r="T131" s="484"/>
      <c r="U131" s="485"/>
      <c r="V131" s="391"/>
    </row>
    <row r="132" spans="2:22" ht="15.75" x14ac:dyDescent="0.25">
      <c r="B132" s="389">
        <v>126</v>
      </c>
      <c r="C132" s="390"/>
      <c r="D132" s="846"/>
      <c r="E132" s="849"/>
      <c r="F132" s="849"/>
      <c r="G132" s="849"/>
      <c r="H132" s="849"/>
      <c r="I132" s="849"/>
      <c r="J132" s="849"/>
      <c r="K132" s="849"/>
      <c r="L132" s="849"/>
      <c r="M132" s="849"/>
      <c r="N132" s="849"/>
      <c r="O132" s="849"/>
      <c r="P132" s="850"/>
      <c r="Q132" s="482"/>
      <c r="R132" s="483"/>
      <c r="S132" s="482"/>
      <c r="T132" s="484"/>
      <c r="U132" s="485"/>
      <c r="V132" s="391"/>
    </row>
    <row r="133" spans="2:22" ht="15" customHeight="1" x14ac:dyDescent="0.25">
      <c r="B133" s="389">
        <v>127</v>
      </c>
      <c r="C133" s="390"/>
      <c r="D133" s="846"/>
      <c r="E133" s="849"/>
      <c r="F133" s="849"/>
      <c r="G133" s="849"/>
      <c r="H133" s="849"/>
      <c r="I133" s="849"/>
      <c r="J133" s="849"/>
      <c r="K133" s="849"/>
      <c r="L133" s="849"/>
      <c r="M133" s="849"/>
      <c r="N133" s="849"/>
      <c r="O133" s="849"/>
      <c r="P133" s="850"/>
      <c r="Q133" s="482"/>
      <c r="R133" s="483"/>
      <c r="S133" s="482"/>
      <c r="T133" s="484"/>
      <c r="U133" s="485"/>
      <c r="V133" s="391"/>
    </row>
    <row r="134" spans="2:22" ht="15" customHeight="1" x14ac:dyDescent="0.25">
      <c r="B134" s="389">
        <v>128</v>
      </c>
      <c r="C134" s="390"/>
      <c r="D134" s="846"/>
      <c r="E134" s="849"/>
      <c r="F134" s="849"/>
      <c r="G134" s="849"/>
      <c r="H134" s="849"/>
      <c r="I134" s="849"/>
      <c r="J134" s="849"/>
      <c r="K134" s="849"/>
      <c r="L134" s="849"/>
      <c r="M134" s="849"/>
      <c r="N134" s="849"/>
      <c r="O134" s="849"/>
      <c r="P134" s="850"/>
      <c r="Q134" s="482"/>
      <c r="R134" s="483"/>
      <c r="S134" s="482"/>
      <c r="T134" s="484"/>
      <c r="U134" s="485"/>
      <c r="V134" s="391"/>
    </row>
    <row r="135" spans="2:22" ht="15" customHeight="1" x14ac:dyDescent="0.25">
      <c r="B135" s="389">
        <v>129</v>
      </c>
      <c r="C135" s="390"/>
      <c r="D135" s="846"/>
      <c r="E135" s="849"/>
      <c r="F135" s="849"/>
      <c r="G135" s="849"/>
      <c r="H135" s="849"/>
      <c r="I135" s="849"/>
      <c r="J135" s="849"/>
      <c r="K135" s="849"/>
      <c r="L135" s="849"/>
      <c r="M135" s="849"/>
      <c r="N135" s="849"/>
      <c r="O135" s="849"/>
      <c r="P135" s="850"/>
      <c r="Q135" s="482"/>
      <c r="R135" s="483"/>
      <c r="S135" s="482"/>
      <c r="T135" s="484"/>
      <c r="U135" s="485"/>
      <c r="V135" s="391"/>
    </row>
    <row r="136" spans="2:22" ht="15" customHeight="1" x14ac:dyDescent="0.25">
      <c r="B136" s="389">
        <v>130</v>
      </c>
      <c r="C136" s="390"/>
      <c r="D136" s="846"/>
      <c r="E136" s="849"/>
      <c r="F136" s="849"/>
      <c r="G136" s="849"/>
      <c r="H136" s="849"/>
      <c r="I136" s="849"/>
      <c r="J136" s="849"/>
      <c r="K136" s="849"/>
      <c r="L136" s="849"/>
      <c r="M136" s="849"/>
      <c r="N136" s="849"/>
      <c r="O136" s="849"/>
      <c r="P136" s="850"/>
      <c r="Q136" s="482"/>
      <c r="R136" s="483"/>
      <c r="S136" s="482"/>
      <c r="T136" s="484"/>
      <c r="U136" s="485"/>
      <c r="V136" s="391"/>
    </row>
    <row r="137" spans="2:22" ht="15" customHeight="1" x14ac:dyDescent="0.25">
      <c r="B137" s="389">
        <v>131</v>
      </c>
      <c r="C137" s="390"/>
      <c r="D137" s="846"/>
      <c r="E137" s="849"/>
      <c r="F137" s="849"/>
      <c r="G137" s="849"/>
      <c r="H137" s="849"/>
      <c r="I137" s="849"/>
      <c r="J137" s="849"/>
      <c r="K137" s="849"/>
      <c r="L137" s="849"/>
      <c r="M137" s="849"/>
      <c r="N137" s="849"/>
      <c r="O137" s="849"/>
      <c r="P137" s="850"/>
      <c r="Q137" s="482"/>
      <c r="R137" s="483"/>
      <c r="S137" s="482"/>
      <c r="T137" s="484"/>
      <c r="U137" s="485"/>
      <c r="V137" s="391"/>
    </row>
    <row r="138" spans="2:22" ht="15.75" x14ac:dyDescent="0.25">
      <c r="B138" s="389">
        <v>132</v>
      </c>
      <c r="C138" s="390"/>
      <c r="D138" s="846"/>
      <c r="E138" s="849"/>
      <c r="F138" s="849"/>
      <c r="G138" s="849"/>
      <c r="H138" s="849"/>
      <c r="I138" s="849"/>
      <c r="J138" s="849"/>
      <c r="K138" s="849"/>
      <c r="L138" s="849"/>
      <c r="M138" s="849"/>
      <c r="N138" s="849"/>
      <c r="O138" s="849"/>
      <c r="P138" s="850"/>
      <c r="Q138" s="482"/>
      <c r="R138" s="483"/>
      <c r="S138" s="482"/>
      <c r="T138" s="484"/>
      <c r="U138" s="485"/>
      <c r="V138" s="391"/>
    </row>
    <row r="139" spans="2:22" ht="15" customHeight="1" x14ac:dyDescent="0.25">
      <c r="B139" s="389">
        <v>133</v>
      </c>
      <c r="C139" s="390"/>
      <c r="D139" s="846"/>
      <c r="E139" s="849"/>
      <c r="F139" s="849"/>
      <c r="G139" s="849"/>
      <c r="H139" s="849"/>
      <c r="I139" s="849"/>
      <c r="J139" s="849"/>
      <c r="K139" s="849"/>
      <c r="L139" s="849"/>
      <c r="M139" s="849"/>
      <c r="N139" s="849"/>
      <c r="O139" s="849"/>
      <c r="P139" s="850"/>
      <c r="Q139" s="482"/>
      <c r="R139" s="483"/>
      <c r="S139" s="482"/>
      <c r="T139" s="484"/>
      <c r="U139" s="485"/>
      <c r="V139" s="391"/>
    </row>
    <row r="140" spans="2:22" ht="15" customHeight="1" x14ac:dyDescent="0.25">
      <c r="B140" s="389">
        <v>134</v>
      </c>
      <c r="C140" s="390"/>
      <c r="D140" s="846"/>
      <c r="E140" s="849"/>
      <c r="F140" s="849"/>
      <c r="G140" s="849"/>
      <c r="H140" s="849"/>
      <c r="I140" s="849"/>
      <c r="J140" s="849"/>
      <c r="K140" s="849"/>
      <c r="L140" s="849"/>
      <c r="M140" s="849"/>
      <c r="N140" s="849"/>
      <c r="O140" s="849"/>
      <c r="P140" s="850"/>
      <c r="Q140" s="482"/>
      <c r="R140" s="483"/>
      <c r="S140" s="482"/>
      <c r="T140" s="484"/>
      <c r="U140" s="485"/>
      <c r="V140" s="391"/>
    </row>
    <row r="141" spans="2:22" ht="15" customHeight="1" x14ac:dyDescent="0.25">
      <c r="B141" s="389">
        <v>135</v>
      </c>
      <c r="C141" s="390"/>
      <c r="D141" s="846"/>
      <c r="E141" s="849"/>
      <c r="F141" s="849"/>
      <c r="G141" s="849"/>
      <c r="H141" s="849"/>
      <c r="I141" s="849"/>
      <c r="J141" s="849"/>
      <c r="K141" s="849"/>
      <c r="L141" s="849"/>
      <c r="M141" s="849"/>
      <c r="N141" s="849"/>
      <c r="O141" s="849"/>
      <c r="P141" s="850"/>
      <c r="Q141" s="482"/>
      <c r="R141" s="483"/>
      <c r="S141" s="482"/>
      <c r="T141" s="484"/>
      <c r="U141" s="485"/>
      <c r="V141" s="391"/>
    </row>
    <row r="142" spans="2:22" ht="15" customHeight="1" x14ac:dyDescent="0.25">
      <c r="B142" s="389">
        <v>136</v>
      </c>
      <c r="C142" s="390"/>
      <c r="D142" s="846"/>
      <c r="E142" s="849"/>
      <c r="F142" s="849"/>
      <c r="G142" s="849"/>
      <c r="H142" s="849"/>
      <c r="I142" s="849"/>
      <c r="J142" s="849"/>
      <c r="K142" s="849"/>
      <c r="L142" s="849"/>
      <c r="M142" s="849"/>
      <c r="N142" s="849"/>
      <c r="O142" s="849"/>
      <c r="P142" s="850"/>
      <c r="Q142" s="482"/>
      <c r="R142" s="483"/>
      <c r="S142" s="482"/>
      <c r="T142" s="484"/>
      <c r="U142" s="485"/>
      <c r="V142" s="391"/>
    </row>
    <row r="143" spans="2:22" ht="15" customHeight="1" x14ac:dyDescent="0.25">
      <c r="B143" s="389">
        <v>137</v>
      </c>
      <c r="C143" s="390"/>
      <c r="D143" s="846"/>
      <c r="E143" s="849"/>
      <c r="F143" s="849"/>
      <c r="G143" s="849"/>
      <c r="H143" s="849"/>
      <c r="I143" s="849"/>
      <c r="J143" s="849"/>
      <c r="K143" s="849"/>
      <c r="L143" s="849"/>
      <c r="M143" s="849"/>
      <c r="N143" s="849"/>
      <c r="O143" s="849"/>
      <c r="P143" s="850"/>
      <c r="Q143" s="482"/>
      <c r="R143" s="483"/>
      <c r="S143" s="482"/>
      <c r="T143" s="484"/>
      <c r="U143" s="485"/>
      <c r="V143" s="391"/>
    </row>
    <row r="144" spans="2:22" ht="15.75" x14ac:dyDescent="0.25">
      <c r="B144" s="389">
        <v>138</v>
      </c>
      <c r="C144" s="390"/>
      <c r="D144" s="846"/>
      <c r="E144" s="849"/>
      <c r="F144" s="849"/>
      <c r="G144" s="849"/>
      <c r="H144" s="849"/>
      <c r="I144" s="849"/>
      <c r="J144" s="849"/>
      <c r="K144" s="849"/>
      <c r="L144" s="849"/>
      <c r="M144" s="849"/>
      <c r="N144" s="849"/>
      <c r="O144" s="849"/>
      <c r="P144" s="850"/>
      <c r="Q144" s="482"/>
      <c r="R144" s="483"/>
      <c r="S144" s="482"/>
      <c r="T144" s="484"/>
      <c r="U144" s="485"/>
      <c r="V144" s="391"/>
    </row>
    <row r="145" spans="2:22" ht="15" customHeight="1" x14ac:dyDescent="0.25">
      <c r="B145" s="389">
        <v>139</v>
      </c>
      <c r="C145" s="390"/>
      <c r="D145" s="846"/>
      <c r="E145" s="849"/>
      <c r="F145" s="849"/>
      <c r="G145" s="849"/>
      <c r="H145" s="849"/>
      <c r="I145" s="849"/>
      <c r="J145" s="849"/>
      <c r="K145" s="849"/>
      <c r="L145" s="849"/>
      <c r="M145" s="849"/>
      <c r="N145" s="849"/>
      <c r="O145" s="849"/>
      <c r="P145" s="850"/>
      <c r="Q145" s="482"/>
      <c r="R145" s="483"/>
      <c r="S145" s="482"/>
      <c r="T145" s="484"/>
      <c r="U145" s="485"/>
      <c r="V145" s="391"/>
    </row>
    <row r="146" spans="2:22" ht="15" customHeight="1" x14ac:dyDescent="0.25">
      <c r="B146" s="389">
        <v>140</v>
      </c>
      <c r="C146" s="390"/>
      <c r="D146" s="846"/>
      <c r="E146" s="849"/>
      <c r="F146" s="849"/>
      <c r="G146" s="849"/>
      <c r="H146" s="849"/>
      <c r="I146" s="849"/>
      <c r="J146" s="849"/>
      <c r="K146" s="849"/>
      <c r="L146" s="849"/>
      <c r="M146" s="849"/>
      <c r="N146" s="849"/>
      <c r="O146" s="849"/>
      <c r="P146" s="850"/>
      <c r="Q146" s="482"/>
      <c r="R146" s="483"/>
      <c r="S146" s="482"/>
      <c r="T146" s="484"/>
      <c r="U146" s="485"/>
      <c r="V146" s="391"/>
    </row>
    <row r="147" spans="2:22" ht="15" customHeight="1" x14ac:dyDescent="0.25">
      <c r="B147" s="389">
        <v>141</v>
      </c>
      <c r="C147" s="390"/>
      <c r="D147" s="843"/>
      <c r="E147" s="844"/>
      <c r="F147" s="844"/>
      <c r="G147" s="844"/>
      <c r="H147" s="844"/>
      <c r="I147" s="844"/>
      <c r="J147" s="844"/>
      <c r="K147" s="844"/>
      <c r="L147" s="844"/>
      <c r="M147" s="844"/>
      <c r="N147" s="844"/>
      <c r="O147" s="844"/>
      <c r="P147" s="845"/>
      <c r="Q147" s="482"/>
      <c r="R147" s="483"/>
      <c r="S147" s="482"/>
      <c r="T147" s="484"/>
      <c r="U147" s="485"/>
      <c r="V147" s="391"/>
    </row>
    <row r="148" spans="2:22" ht="15" customHeight="1" x14ac:dyDescent="0.25">
      <c r="B148" s="389">
        <v>142</v>
      </c>
      <c r="C148" s="390"/>
      <c r="D148" s="846"/>
      <c r="E148" s="849"/>
      <c r="F148" s="849"/>
      <c r="G148" s="849"/>
      <c r="H148" s="849"/>
      <c r="I148" s="849"/>
      <c r="J148" s="849"/>
      <c r="K148" s="849"/>
      <c r="L148" s="849"/>
      <c r="M148" s="849"/>
      <c r="N148" s="849"/>
      <c r="O148" s="849"/>
      <c r="P148" s="850"/>
      <c r="Q148" s="482"/>
      <c r="R148" s="483"/>
      <c r="S148" s="482"/>
      <c r="T148" s="484"/>
      <c r="U148" s="485"/>
      <c r="V148" s="391"/>
    </row>
    <row r="149" spans="2:22" ht="15" customHeight="1" x14ac:dyDescent="0.25">
      <c r="B149" s="389">
        <v>143</v>
      </c>
      <c r="C149" s="390"/>
      <c r="D149" s="846"/>
      <c r="E149" s="849"/>
      <c r="F149" s="849"/>
      <c r="G149" s="849"/>
      <c r="H149" s="849"/>
      <c r="I149" s="849"/>
      <c r="J149" s="849"/>
      <c r="K149" s="849"/>
      <c r="L149" s="849"/>
      <c r="M149" s="849"/>
      <c r="N149" s="849"/>
      <c r="O149" s="849"/>
      <c r="P149" s="850"/>
      <c r="Q149" s="482"/>
      <c r="R149" s="483"/>
      <c r="S149" s="482"/>
      <c r="T149" s="484"/>
      <c r="U149" s="485"/>
      <c r="V149" s="391"/>
    </row>
    <row r="150" spans="2:22" ht="15" customHeight="1" x14ac:dyDescent="0.25">
      <c r="B150" s="389">
        <v>144</v>
      </c>
      <c r="C150" s="390"/>
      <c r="D150" s="843"/>
      <c r="E150" s="844"/>
      <c r="F150" s="844"/>
      <c r="G150" s="844"/>
      <c r="H150" s="844"/>
      <c r="I150" s="844"/>
      <c r="J150" s="844"/>
      <c r="K150" s="844"/>
      <c r="L150" s="844"/>
      <c r="M150" s="844"/>
      <c r="N150" s="844"/>
      <c r="O150" s="844"/>
      <c r="P150" s="845"/>
      <c r="Q150" s="482"/>
      <c r="R150" s="483"/>
      <c r="S150" s="482"/>
      <c r="T150" s="484"/>
      <c r="U150" s="485"/>
      <c r="V150" s="391"/>
    </row>
    <row r="151" spans="2:22" ht="15.75" x14ac:dyDescent="0.25">
      <c r="B151" s="389">
        <v>145</v>
      </c>
      <c r="C151" s="390"/>
      <c r="D151" s="846"/>
      <c r="E151" s="849"/>
      <c r="F151" s="849"/>
      <c r="G151" s="849"/>
      <c r="H151" s="849"/>
      <c r="I151" s="849"/>
      <c r="J151" s="849"/>
      <c r="K151" s="849"/>
      <c r="L151" s="849"/>
      <c r="M151" s="849"/>
      <c r="N151" s="849"/>
      <c r="O151" s="849"/>
      <c r="P151" s="850"/>
      <c r="Q151" s="482"/>
      <c r="R151" s="483"/>
      <c r="S151" s="482"/>
      <c r="T151" s="484"/>
      <c r="U151" s="485"/>
      <c r="V151" s="391"/>
    </row>
    <row r="152" spans="2:22" ht="15" customHeight="1" x14ac:dyDescent="0.25">
      <c r="B152" s="389">
        <v>146</v>
      </c>
      <c r="C152" s="390"/>
      <c r="D152" s="846"/>
      <c r="E152" s="849"/>
      <c r="F152" s="849"/>
      <c r="G152" s="849"/>
      <c r="H152" s="849"/>
      <c r="I152" s="849"/>
      <c r="J152" s="849"/>
      <c r="K152" s="849"/>
      <c r="L152" s="849"/>
      <c r="M152" s="849"/>
      <c r="N152" s="849"/>
      <c r="O152" s="849"/>
      <c r="P152" s="850"/>
      <c r="Q152" s="482"/>
      <c r="R152" s="483"/>
      <c r="S152" s="482"/>
      <c r="T152" s="484"/>
      <c r="U152" s="485"/>
      <c r="V152" s="391"/>
    </row>
    <row r="153" spans="2:22" ht="15" customHeight="1" x14ac:dyDescent="0.25">
      <c r="B153" s="389">
        <v>147</v>
      </c>
      <c r="C153" s="390"/>
      <c r="D153" s="843"/>
      <c r="E153" s="844"/>
      <c r="F153" s="844"/>
      <c r="G153" s="844"/>
      <c r="H153" s="844"/>
      <c r="I153" s="844"/>
      <c r="J153" s="844"/>
      <c r="K153" s="844"/>
      <c r="L153" s="844"/>
      <c r="M153" s="844"/>
      <c r="N153" s="844"/>
      <c r="O153" s="844"/>
      <c r="P153" s="845"/>
      <c r="Q153" s="482"/>
      <c r="R153" s="483"/>
      <c r="S153" s="482"/>
      <c r="T153" s="484"/>
      <c r="U153" s="485"/>
      <c r="V153" s="391"/>
    </row>
    <row r="154" spans="2:22" ht="15" customHeight="1" x14ac:dyDescent="0.25">
      <c r="B154" s="389">
        <v>148</v>
      </c>
      <c r="C154" s="390"/>
      <c r="D154" s="846"/>
      <c r="E154" s="849"/>
      <c r="F154" s="849"/>
      <c r="G154" s="849"/>
      <c r="H154" s="849"/>
      <c r="I154" s="849"/>
      <c r="J154" s="849"/>
      <c r="K154" s="849"/>
      <c r="L154" s="849"/>
      <c r="M154" s="849"/>
      <c r="N154" s="849"/>
      <c r="O154" s="849"/>
      <c r="P154" s="850"/>
      <c r="Q154" s="482"/>
      <c r="R154" s="483"/>
      <c r="S154" s="482"/>
      <c r="T154" s="484"/>
      <c r="U154" s="485"/>
      <c r="V154" s="391"/>
    </row>
    <row r="155" spans="2:22" ht="15" customHeight="1" x14ac:dyDescent="0.25">
      <c r="B155" s="389">
        <v>149</v>
      </c>
      <c r="C155" s="390"/>
      <c r="D155" s="846"/>
      <c r="E155" s="849"/>
      <c r="F155" s="849"/>
      <c r="G155" s="849"/>
      <c r="H155" s="849"/>
      <c r="I155" s="849"/>
      <c r="J155" s="849"/>
      <c r="K155" s="849"/>
      <c r="L155" s="849"/>
      <c r="M155" s="849"/>
      <c r="N155" s="849"/>
      <c r="O155" s="849"/>
      <c r="P155" s="850"/>
      <c r="Q155" s="482"/>
      <c r="R155" s="483"/>
      <c r="S155" s="482"/>
      <c r="T155" s="484"/>
      <c r="U155" s="485"/>
      <c r="V155" s="391"/>
    </row>
    <row r="156" spans="2:22" ht="15" customHeight="1" x14ac:dyDescent="0.25">
      <c r="B156" s="389">
        <v>150</v>
      </c>
      <c r="C156" s="390"/>
      <c r="D156" s="843"/>
      <c r="E156" s="844"/>
      <c r="F156" s="844"/>
      <c r="G156" s="844"/>
      <c r="H156" s="844"/>
      <c r="I156" s="844"/>
      <c r="J156" s="844"/>
      <c r="K156" s="844"/>
      <c r="L156" s="844"/>
      <c r="M156" s="844"/>
      <c r="N156" s="844"/>
      <c r="O156" s="844"/>
      <c r="P156" s="845"/>
      <c r="Q156" s="482"/>
      <c r="R156" s="483"/>
      <c r="S156" s="482"/>
      <c r="T156" s="484"/>
      <c r="U156" s="485"/>
      <c r="V156" s="391"/>
    </row>
    <row r="157" spans="2:22" ht="15.75" x14ac:dyDescent="0.25">
      <c r="B157" s="389">
        <v>151</v>
      </c>
      <c r="C157" s="390"/>
      <c r="D157" s="846"/>
      <c r="E157" s="849"/>
      <c r="F157" s="849"/>
      <c r="G157" s="849"/>
      <c r="H157" s="849"/>
      <c r="I157" s="849"/>
      <c r="J157" s="849"/>
      <c r="K157" s="849"/>
      <c r="L157" s="849"/>
      <c r="M157" s="849"/>
      <c r="N157" s="849"/>
      <c r="O157" s="849"/>
      <c r="P157" s="850"/>
      <c r="Q157" s="482"/>
      <c r="R157" s="483"/>
      <c r="S157" s="482"/>
      <c r="T157" s="484"/>
      <c r="U157" s="485"/>
      <c r="V157" s="391"/>
    </row>
    <row r="158" spans="2:22" ht="15" customHeight="1" x14ac:dyDescent="0.25">
      <c r="B158" s="389">
        <v>152</v>
      </c>
      <c r="C158" s="390"/>
      <c r="D158" s="846"/>
      <c r="E158" s="849"/>
      <c r="F158" s="849"/>
      <c r="G158" s="849"/>
      <c r="H158" s="849"/>
      <c r="I158" s="849"/>
      <c r="J158" s="849"/>
      <c r="K158" s="849"/>
      <c r="L158" s="849"/>
      <c r="M158" s="849"/>
      <c r="N158" s="849"/>
      <c r="O158" s="849"/>
      <c r="P158" s="850"/>
      <c r="Q158" s="482"/>
      <c r="R158" s="483"/>
      <c r="S158" s="482"/>
      <c r="T158" s="484"/>
      <c r="U158" s="485"/>
      <c r="V158" s="391"/>
    </row>
    <row r="159" spans="2:22" ht="15" customHeight="1" x14ac:dyDescent="0.25">
      <c r="B159" s="389">
        <v>153</v>
      </c>
      <c r="C159" s="390"/>
      <c r="D159" s="843"/>
      <c r="E159" s="844"/>
      <c r="F159" s="844"/>
      <c r="G159" s="844"/>
      <c r="H159" s="844"/>
      <c r="I159" s="844"/>
      <c r="J159" s="844"/>
      <c r="K159" s="844"/>
      <c r="L159" s="844"/>
      <c r="M159" s="844"/>
      <c r="N159" s="844"/>
      <c r="O159" s="844"/>
      <c r="P159" s="845"/>
      <c r="Q159" s="482"/>
      <c r="R159" s="483"/>
      <c r="S159" s="482"/>
      <c r="T159" s="484"/>
      <c r="U159" s="485"/>
      <c r="V159" s="391"/>
    </row>
    <row r="160" spans="2:22" ht="15" customHeight="1" x14ac:dyDescent="0.25">
      <c r="B160" s="389">
        <v>154</v>
      </c>
      <c r="C160" s="390"/>
      <c r="D160" s="846"/>
      <c r="E160" s="849"/>
      <c r="F160" s="849"/>
      <c r="G160" s="849"/>
      <c r="H160" s="849"/>
      <c r="I160" s="849"/>
      <c r="J160" s="849"/>
      <c r="K160" s="849"/>
      <c r="L160" s="849"/>
      <c r="M160" s="849"/>
      <c r="N160" s="849"/>
      <c r="O160" s="849"/>
      <c r="P160" s="850"/>
      <c r="Q160" s="482"/>
      <c r="R160" s="483"/>
      <c r="S160" s="482"/>
      <c r="T160" s="484"/>
      <c r="U160" s="485"/>
      <c r="V160" s="391"/>
    </row>
    <row r="161" spans="2:22" ht="15" customHeight="1" x14ac:dyDescent="0.25">
      <c r="B161" s="389">
        <v>155</v>
      </c>
      <c r="C161" s="390"/>
      <c r="D161" s="843"/>
      <c r="E161" s="844"/>
      <c r="F161" s="844"/>
      <c r="G161" s="844"/>
      <c r="H161" s="844"/>
      <c r="I161" s="844"/>
      <c r="J161" s="844"/>
      <c r="K161" s="844"/>
      <c r="L161" s="844"/>
      <c r="M161" s="844"/>
      <c r="N161" s="844"/>
      <c r="O161" s="844"/>
      <c r="P161" s="845"/>
      <c r="Q161" s="482"/>
      <c r="R161" s="483"/>
      <c r="S161" s="482"/>
      <c r="T161" s="484"/>
      <c r="U161" s="485"/>
      <c r="V161" s="391"/>
    </row>
    <row r="162" spans="2:22" ht="15.75" x14ac:dyDescent="0.25">
      <c r="B162" s="389">
        <v>156</v>
      </c>
      <c r="C162" s="390"/>
      <c r="D162" s="846"/>
      <c r="E162" s="849"/>
      <c r="F162" s="849"/>
      <c r="G162" s="849"/>
      <c r="H162" s="849"/>
      <c r="I162" s="849"/>
      <c r="J162" s="849"/>
      <c r="K162" s="849"/>
      <c r="L162" s="849"/>
      <c r="M162" s="849"/>
      <c r="N162" s="849"/>
      <c r="O162" s="849"/>
      <c r="P162" s="850"/>
      <c r="Q162" s="482"/>
      <c r="R162" s="483"/>
      <c r="S162" s="482"/>
      <c r="T162" s="484"/>
      <c r="U162" s="485"/>
      <c r="V162" s="391"/>
    </row>
    <row r="163" spans="2:22" ht="15" customHeight="1" x14ac:dyDescent="0.25">
      <c r="B163" s="389">
        <v>157</v>
      </c>
      <c r="C163" s="390"/>
      <c r="D163" s="846"/>
      <c r="E163" s="849"/>
      <c r="F163" s="849"/>
      <c r="G163" s="849"/>
      <c r="H163" s="849"/>
      <c r="I163" s="849"/>
      <c r="J163" s="849"/>
      <c r="K163" s="849"/>
      <c r="L163" s="849"/>
      <c r="M163" s="849"/>
      <c r="N163" s="849"/>
      <c r="O163" s="849"/>
      <c r="P163" s="850"/>
      <c r="Q163" s="482"/>
      <c r="R163" s="483"/>
      <c r="S163" s="482"/>
      <c r="T163" s="484"/>
      <c r="U163" s="485"/>
      <c r="V163" s="391"/>
    </row>
    <row r="164" spans="2:22" ht="15" customHeight="1" x14ac:dyDescent="0.25">
      <c r="B164" s="389">
        <v>158</v>
      </c>
      <c r="C164" s="390"/>
      <c r="D164" s="843"/>
      <c r="E164" s="844"/>
      <c r="F164" s="844"/>
      <c r="G164" s="844"/>
      <c r="H164" s="844"/>
      <c r="I164" s="844"/>
      <c r="J164" s="844"/>
      <c r="K164" s="844"/>
      <c r="L164" s="844"/>
      <c r="M164" s="844"/>
      <c r="N164" s="844"/>
      <c r="O164" s="844"/>
      <c r="P164" s="845"/>
      <c r="Q164" s="482"/>
      <c r="R164" s="483"/>
      <c r="S164" s="482"/>
      <c r="T164" s="484"/>
      <c r="U164" s="485"/>
      <c r="V164" s="391"/>
    </row>
    <row r="165" spans="2:22" ht="15" customHeight="1" x14ac:dyDescent="0.25">
      <c r="B165" s="389">
        <v>159</v>
      </c>
      <c r="C165" s="390"/>
      <c r="D165" s="846"/>
      <c r="E165" s="849"/>
      <c r="F165" s="849"/>
      <c r="G165" s="849"/>
      <c r="H165" s="849"/>
      <c r="I165" s="849"/>
      <c r="J165" s="849"/>
      <c r="K165" s="849"/>
      <c r="L165" s="849"/>
      <c r="M165" s="849"/>
      <c r="N165" s="849"/>
      <c r="O165" s="849"/>
      <c r="P165" s="850"/>
      <c r="Q165" s="482"/>
      <c r="R165" s="483"/>
      <c r="S165" s="482"/>
      <c r="T165" s="484"/>
      <c r="U165" s="485"/>
      <c r="V165" s="391"/>
    </row>
    <row r="166" spans="2:22" ht="15" customHeight="1" x14ac:dyDescent="0.25">
      <c r="B166" s="389">
        <v>160</v>
      </c>
      <c r="C166" s="390"/>
      <c r="D166" s="846"/>
      <c r="E166" s="849"/>
      <c r="F166" s="849"/>
      <c r="G166" s="849"/>
      <c r="H166" s="849"/>
      <c r="I166" s="849"/>
      <c r="J166" s="849"/>
      <c r="K166" s="849"/>
      <c r="L166" s="849"/>
      <c r="M166" s="849"/>
      <c r="N166" s="849"/>
      <c r="O166" s="849"/>
      <c r="P166" s="850"/>
      <c r="Q166" s="482"/>
      <c r="R166" s="483"/>
      <c r="S166" s="482"/>
      <c r="T166" s="484"/>
      <c r="U166" s="485"/>
      <c r="V166" s="391"/>
    </row>
    <row r="167" spans="2:22" ht="15" customHeight="1" x14ac:dyDescent="0.25">
      <c r="B167" s="389">
        <v>161</v>
      </c>
      <c r="C167" s="390"/>
      <c r="D167" s="843"/>
      <c r="E167" s="844"/>
      <c r="F167" s="844"/>
      <c r="G167" s="844"/>
      <c r="H167" s="844"/>
      <c r="I167" s="844"/>
      <c r="J167" s="844"/>
      <c r="K167" s="844"/>
      <c r="L167" s="844"/>
      <c r="M167" s="844"/>
      <c r="N167" s="844"/>
      <c r="O167" s="844"/>
      <c r="P167" s="845"/>
      <c r="Q167" s="482"/>
      <c r="R167" s="483"/>
      <c r="S167" s="482"/>
      <c r="T167" s="484"/>
      <c r="U167" s="485"/>
      <c r="V167" s="391"/>
    </row>
    <row r="168" spans="2:22" ht="15.75" x14ac:dyDescent="0.25">
      <c r="B168" s="389">
        <v>162</v>
      </c>
      <c r="C168" s="390"/>
      <c r="D168" s="846"/>
      <c r="E168" s="849"/>
      <c r="F168" s="849"/>
      <c r="G168" s="849"/>
      <c r="H168" s="849"/>
      <c r="I168" s="849"/>
      <c r="J168" s="849"/>
      <c r="K168" s="849"/>
      <c r="L168" s="849"/>
      <c r="M168" s="849"/>
      <c r="N168" s="849"/>
      <c r="O168" s="849"/>
      <c r="P168" s="850"/>
      <c r="Q168" s="482"/>
      <c r="R168" s="483"/>
      <c r="S168" s="482"/>
      <c r="T168" s="484"/>
      <c r="U168" s="485"/>
      <c r="V168" s="391"/>
    </row>
    <row r="169" spans="2:22" ht="15" customHeight="1" x14ac:dyDescent="0.25">
      <c r="B169" s="389">
        <v>163</v>
      </c>
      <c r="C169" s="390"/>
      <c r="D169" s="846"/>
      <c r="E169" s="849"/>
      <c r="F169" s="849"/>
      <c r="G169" s="849"/>
      <c r="H169" s="849"/>
      <c r="I169" s="849"/>
      <c r="J169" s="849"/>
      <c r="K169" s="849"/>
      <c r="L169" s="849"/>
      <c r="M169" s="849"/>
      <c r="N169" s="849"/>
      <c r="O169" s="849"/>
      <c r="P169" s="850"/>
      <c r="Q169" s="482"/>
      <c r="R169" s="483"/>
      <c r="S169" s="482"/>
      <c r="T169" s="484"/>
      <c r="U169" s="485"/>
      <c r="V169" s="391"/>
    </row>
    <row r="170" spans="2:22" ht="15" customHeight="1" x14ac:dyDescent="0.25">
      <c r="B170" s="389">
        <v>164</v>
      </c>
      <c r="C170" s="390"/>
      <c r="D170" s="843"/>
      <c r="E170" s="844"/>
      <c r="F170" s="844"/>
      <c r="G170" s="844"/>
      <c r="H170" s="844"/>
      <c r="I170" s="844"/>
      <c r="J170" s="844"/>
      <c r="K170" s="844"/>
      <c r="L170" s="844"/>
      <c r="M170" s="844"/>
      <c r="N170" s="844"/>
      <c r="O170" s="844"/>
      <c r="P170" s="845"/>
      <c r="Q170" s="482"/>
      <c r="R170" s="483"/>
      <c r="S170" s="482"/>
      <c r="T170" s="484"/>
      <c r="U170" s="485"/>
      <c r="V170" s="391"/>
    </row>
    <row r="171" spans="2:22" ht="15" customHeight="1" x14ac:dyDescent="0.25">
      <c r="B171" s="389">
        <v>165</v>
      </c>
      <c r="C171" s="390"/>
      <c r="D171" s="846"/>
      <c r="E171" s="849"/>
      <c r="F171" s="849"/>
      <c r="G171" s="849"/>
      <c r="H171" s="849"/>
      <c r="I171" s="849"/>
      <c r="J171" s="849"/>
      <c r="K171" s="849"/>
      <c r="L171" s="849"/>
      <c r="M171" s="849"/>
      <c r="N171" s="849"/>
      <c r="O171" s="849"/>
      <c r="P171" s="850"/>
      <c r="Q171" s="482"/>
      <c r="R171" s="483"/>
      <c r="S171" s="482"/>
      <c r="T171" s="484"/>
      <c r="U171" s="485"/>
      <c r="V171" s="391"/>
    </row>
    <row r="172" spans="2:22" ht="15" customHeight="1" x14ac:dyDescent="0.25">
      <c r="B172" s="389">
        <v>166</v>
      </c>
      <c r="C172" s="390"/>
      <c r="D172" s="846"/>
      <c r="E172" s="849"/>
      <c r="F172" s="849"/>
      <c r="G172" s="849"/>
      <c r="H172" s="849"/>
      <c r="I172" s="849"/>
      <c r="J172" s="849"/>
      <c r="K172" s="849"/>
      <c r="L172" s="849"/>
      <c r="M172" s="849"/>
      <c r="N172" s="849"/>
      <c r="O172" s="849"/>
      <c r="P172" s="850"/>
      <c r="Q172" s="482"/>
      <c r="R172" s="483"/>
      <c r="S172" s="482"/>
      <c r="T172" s="484"/>
      <c r="U172" s="485"/>
      <c r="V172" s="391"/>
    </row>
    <row r="173" spans="2:22" ht="15" customHeight="1" x14ac:dyDescent="0.25">
      <c r="B173" s="389">
        <v>167</v>
      </c>
      <c r="C173" s="390"/>
      <c r="D173" s="843"/>
      <c r="E173" s="844"/>
      <c r="F173" s="844"/>
      <c r="G173" s="844"/>
      <c r="H173" s="844"/>
      <c r="I173" s="844"/>
      <c r="J173" s="844"/>
      <c r="K173" s="844"/>
      <c r="L173" s="844"/>
      <c r="M173" s="844"/>
      <c r="N173" s="844"/>
      <c r="O173" s="844"/>
      <c r="P173" s="845"/>
      <c r="Q173" s="482"/>
      <c r="R173" s="483"/>
      <c r="S173" s="482"/>
      <c r="T173" s="484"/>
      <c r="U173" s="485"/>
      <c r="V173" s="391"/>
    </row>
    <row r="174" spans="2:22" ht="15.75" x14ac:dyDescent="0.25">
      <c r="B174" s="389">
        <v>168</v>
      </c>
      <c r="C174" s="390"/>
      <c r="D174" s="846"/>
      <c r="E174" s="849"/>
      <c r="F174" s="849"/>
      <c r="G174" s="849"/>
      <c r="H174" s="849"/>
      <c r="I174" s="849"/>
      <c r="J174" s="849"/>
      <c r="K174" s="849"/>
      <c r="L174" s="849"/>
      <c r="M174" s="849"/>
      <c r="N174" s="849"/>
      <c r="O174" s="849"/>
      <c r="P174" s="850"/>
      <c r="Q174" s="482"/>
      <c r="R174" s="483"/>
      <c r="S174" s="482"/>
      <c r="T174" s="484"/>
      <c r="U174" s="485"/>
      <c r="V174" s="391"/>
    </row>
    <row r="175" spans="2:22" ht="15" customHeight="1" x14ac:dyDescent="0.25">
      <c r="B175" s="389">
        <v>169</v>
      </c>
      <c r="C175" s="390"/>
      <c r="D175" s="846"/>
      <c r="E175" s="849"/>
      <c r="F175" s="849"/>
      <c r="G175" s="849"/>
      <c r="H175" s="849"/>
      <c r="I175" s="849"/>
      <c r="J175" s="849"/>
      <c r="K175" s="849"/>
      <c r="L175" s="849"/>
      <c r="M175" s="849"/>
      <c r="N175" s="849"/>
      <c r="O175" s="849"/>
      <c r="P175" s="850"/>
      <c r="Q175" s="482"/>
      <c r="R175" s="483"/>
      <c r="S175" s="482"/>
      <c r="T175" s="484"/>
      <c r="U175" s="485"/>
      <c r="V175" s="391"/>
    </row>
    <row r="176" spans="2:22" ht="15" customHeight="1" x14ac:dyDescent="0.25">
      <c r="B176" s="389">
        <v>170</v>
      </c>
      <c r="C176" s="390"/>
      <c r="D176" s="843"/>
      <c r="E176" s="844"/>
      <c r="F176" s="844"/>
      <c r="G176" s="844"/>
      <c r="H176" s="844"/>
      <c r="I176" s="844"/>
      <c r="J176" s="844"/>
      <c r="K176" s="844"/>
      <c r="L176" s="844"/>
      <c r="M176" s="844"/>
      <c r="N176" s="844"/>
      <c r="O176" s="844"/>
      <c r="P176" s="845"/>
      <c r="Q176" s="482"/>
      <c r="R176" s="483"/>
      <c r="S176" s="482"/>
      <c r="T176" s="484"/>
      <c r="U176" s="485"/>
      <c r="V176" s="391"/>
    </row>
    <row r="177" spans="2:22" ht="15" customHeight="1" x14ac:dyDescent="0.25">
      <c r="B177" s="389">
        <v>171</v>
      </c>
      <c r="C177" s="390"/>
      <c r="D177" s="846"/>
      <c r="E177" s="849"/>
      <c r="F177" s="849"/>
      <c r="G177" s="849"/>
      <c r="H177" s="849"/>
      <c r="I177" s="849"/>
      <c r="J177" s="849"/>
      <c r="K177" s="849"/>
      <c r="L177" s="849"/>
      <c r="M177" s="849"/>
      <c r="N177" s="849"/>
      <c r="O177" s="849"/>
      <c r="P177" s="850"/>
      <c r="Q177" s="482"/>
      <c r="R177" s="483"/>
      <c r="S177" s="482"/>
      <c r="T177" s="484"/>
      <c r="U177" s="485"/>
      <c r="V177" s="391"/>
    </row>
    <row r="178" spans="2:22" ht="15" customHeight="1" x14ac:dyDescent="0.25">
      <c r="B178" s="389">
        <v>172</v>
      </c>
      <c r="C178" s="390"/>
      <c r="D178" s="843"/>
      <c r="E178" s="844"/>
      <c r="F178" s="844"/>
      <c r="G178" s="844"/>
      <c r="H178" s="844"/>
      <c r="I178" s="844"/>
      <c r="J178" s="844"/>
      <c r="K178" s="844"/>
      <c r="L178" s="844"/>
      <c r="M178" s="844"/>
      <c r="N178" s="844"/>
      <c r="O178" s="844"/>
      <c r="P178" s="845"/>
      <c r="Q178" s="482"/>
      <c r="R178" s="483"/>
      <c r="S178" s="482"/>
      <c r="T178" s="484"/>
      <c r="U178" s="485"/>
      <c r="V178" s="391"/>
    </row>
    <row r="179" spans="2:22" ht="15.75" x14ac:dyDescent="0.25">
      <c r="B179" s="389">
        <v>173</v>
      </c>
      <c r="C179" s="390"/>
      <c r="D179" s="846"/>
      <c r="E179" s="849"/>
      <c r="F179" s="849"/>
      <c r="G179" s="849"/>
      <c r="H179" s="849"/>
      <c r="I179" s="849"/>
      <c r="J179" s="849"/>
      <c r="K179" s="849"/>
      <c r="L179" s="849"/>
      <c r="M179" s="849"/>
      <c r="N179" s="849"/>
      <c r="O179" s="849"/>
      <c r="P179" s="850"/>
      <c r="Q179" s="482"/>
      <c r="R179" s="483"/>
      <c r="S179" s="482"/>
      <c r="T179" s="484"/>
      <c r="U179" s="485"/>
      <c r="V179" s="391"/>
    </row>
    <row r="180" spans="2:22" ht="15" customHeight="1" x14ac:dyDescent="0.25">
      <c r="B180" s="389">
        <v>174</v>
      </c>
      <c r="C180" s="390"/>
      <c r="D180" s="846"/>
      <c r="E180" s="849"/>
      <c r="F180" s="849"/>
      <c r="G180" s="849"/>
      <c r="H180" s="849"/>
      <c r="I180" s="849"/>
      <c r="J180" s="849"/>
      <c r="K180" s="849"/>
      <c r="L180" s="849"/>
      <c r="M180" s="849"/>
      <c r="N180" s="849"/>
      <c r="O180" s="849"/>
      <c r="P180" s="850"/>
      <c r="Q180" s="482"/>
      <c r="R180" s="483"/>
      <c r="S180" s="482"/>
      <c r="T180" s="484"/>
      <c r="U180" s="485"/>
      <c r="V180" s="391"/>
    </row>
    <row r="181" spans="2:22" ht="15" customHeight="1" x14ac:dyDescent="0.25">
      <c r="B181" s="389">
        <v>175</v>
      </c>
      <c r="C181" s="390"/>
      <c r="D181" s="843"/>
      <c r="E181" s="844"/>
      <c r="F181" s="844"/>
      <c r="G181" s="844"/>
      <c r="H181" s="844"/>
      <c r="I181" s="844"/>
      <c r="J181" s="844"/>
      <c r="K181" s="844"/>
      <c r="L181" s="844"/>
      <c r="M181" s="844"/>
      <c r="N181" s="844"/>
      <c r="O181" s="844"/>
      <c r="P181" s="845"/>
      <c r="Q181" s="482"/>
      <c r="R181" s="483"/>
      <c r="S181" s="482"/>
      <c r="T181" s="484"/>
      <c r="U181" s="485"/>
      <c r="V181" s="391"/>
    </row>
    <row r="182" spans="2:22" ht="15" customHeight="1" x14ac:dyDescent="0.25">
      <c r="B182" s="389">
        <v>176</v>
      </c>
      <c r="C182" s="390"/>
      <c r="D182" s="846"/>
      <c r="E182" s="849"/>
      <c r="F182" s="849"/>
      <c r="G182" s="849"/>
      <c r="H182" s="849"/>
      <c r="I182" s="849"/>
      <c r="J182" s="849"/>
      <c r="K182" s="849"/>
      <c r="L182" s="849"/>
      <c r="M182" s="849"/>
      <c r="N182" s="849"/>
      <c r="O182" s="849"/>
      <c r="P182" s="850"/>
      <c r="Q182" s="482"/>
      <c r="R182" s="483"/>
      <c r="S182" s="482"/>
      <c r="T182" s="484"/>
      <c r="U182" s="485"/>
      <c r="V182" s="391"/>
    </row>
    <row r="183" spans="2:22" ht="15" customHeight="1" x14ac:dyDescent="0.25">
      <c r="B183" s="389">
        <v>177</v>
      </c>
      <c r="C183" s="390"/>
      <c r="D183" s="846"/>
      <c r="E183" s="849"/>
      <c r="F183" s="849"/>
      <c r="G183" s="849"/>
      <c r="H183" s="849"/>
      <c r="I183" s="849"/>
      <c r="J183" s="849"/>
      <c r="K183" s="849"/>
      <c r="L183" s="849"/>
      <c r="M183" s="849"/>
      <c r="N183" s="849"/>
      <c r="O183" s="849"/>
      <c r="P183" s="850"/>
      <c r="Q183" s="482"/>
      <c r="R183" s="483"/>
      <c r="S183" s="482"/>
      <c r="T183" s="484"/>
      <c r="U183" s="485"/>
      <c r="V183" s="391"/>
    </row>
    <row r="184" spans="2:22" ht="15" customHeight="1" x14ac:dyDescent="0.25">
      <c r="B184" s="389">
        <v>178</v>
      </c>
      <c r="C184" s="390"/>
      <c r="D184" s="843"/>
      <c r="E184" s="844"/>
      <c r="F184" s="844"/>
      <c r="G184" s="844"/>
      <c r="H184" s="844"/>
      <c r="I184" s="844"/>
      <c r="J184" s="844"/>
      <c r="K184" s="844"/>
      <c r="L184" s="844"/>
      <c r="M184" s="844"/>
      <c r="N184" s="844"/>
      <c r="O184" s="844"/>
      <c r="P184" s="845"/>
      <c r="Q184" s="482"/>
      <c r="R184" s="483"/>
      <c r="S184" s="482"/>
      <c r="T184" s="484"/>
      <c r="U184" s="485"/>
      <c r="V184" s="391"/>
    </row>
    <row r="185" spans="2:22" ht="15.75" x14ac:dyDescent="0.25">
      <c r="B185" s="389">
        <v>179</v>
      </c>
      <c r="C185" s="390"/>
      <c r="D185" s="846"/>
      <c r="E185" s="849"/>
      <c r="F185" s="849"/>
      <c r="G185" s="849"/>
      <c r="H185" s="849"/>
      <c r="I185" s="849"/>
      <c r="J185" s="849"/>
      <c r="K185" s="849"/>
      <c r="L185" s="849"/>
      <c r="M185" s="849"/>
      <c r="N185" s="849"/>
      <c r="O185" s="849"/>
      <c r="P185" s="850"/>
      <c r="Q185" s="482"/>
      <c r="R185" s="483"/>
      <c r="S185" s="482"/>
      <c r="T185" s="484"/>
      <c r="U185" s="485"/>
      <c r="V185" s="391"/>
    </row>
    <row r="186" spans="2:22" ht="15" customHeight="1" x14ac:dyDescent="0.25">
      <c r="B186" s="389">
        <v>180</v>
      </c>
      <c r="C186" s="390"/>
      <c r="D186" s="846"/>
      <c r="E186" s="849"/>
      <c r="F186" s="849"/>
      <c r="G186" s="849"/>
      <c r="H186" s="849"/>
      <c r="I186" s="849"/>
      <c r="J186" s="849"/>
      <c r="K186" s="849"/>
      <c r="L186" s="849"/>
      <c r="M186" s="849"/>
      <c r="N186" s="849"/>
      <c r="O186" s="849"/>
      <c r="P186" s="850"/>
      <c r="Q186" s="482"/>
      <c r="R186" s="483"/>
      <c r="S186" s="482"/>
      <c r="T186" s="484"/>
      <c r="U186" s="485"/>
      <c r="V186" s="391"/>
    </row>
    <row r="187" spans="2:22" ht="15" customHeight="1" x14ac:dyDescent="0.25">
      <c r="B187" s="389">
        <v>181</v>
      </c>
      <c r="C187" s="390"/>
      <c r="D187" s="843"/>
      <c r="E187" s="844"/>
      <c r="F187" s="844"/>
      <c r="G187" s="844"/>
      <c r="H187" s="844"/>
      <c r="I187" s="844"/>
      <c r="J187" s="844"/>
      <c r="K187" s="844"/>
      <c r="L187" s="844"/>
      <c r="M187" s="844"/>
      <c r="N187" s="844"/>
      <c r="O187" s="844"/>
      <c r="P187" s="845"/>
      <c r="Q187" s="482"/>
      <c r="R187" s="483"/>
      <c r="S187" s="482"/>
      <c r="T187" s="484"/>
      <c r="U187" s="485"/>
      <c r="V187" s="391"/>
    </row>
    <row r="188" spans="2:22" ht="15" customHeight="1" x14ac:dyDescent="0.25">
      <c r="B188" s="389">
        <v>182</v>
      </c>
      <c r="C188" s="390"/>
      <c r="D188" s="846"/>
      <c r="E188" s="849"/>
      <c r="F188" s="849"/>
      <c r="G188" s="849"/>
      <c r="H188" s="849"/>
      <c r="I188" s="849"/>
      <c r="J188" s="849"/>
      <c r="K188" s="849"/>
      <c r="L188" s="849"/>
      <c r="M188" s="849"/>
      <c r="N188" s="849"/>
      <c r="O188" s="849"/>
      <c r="P188" s="850"/>
      <c r="Q188" s="482"/>
      <c r="R188" s="483"/>
      <c r="S188" s="482"/>
      <c r="T188" s="484"/>
      <c r="U188" s="485"/>
      <c r="V188" s="391"/>
    </row>
    <row r="189" spans="2:22" ht="15" customHeight="1" x14ac:dyDescent="0.25">
      <c r="B189" s="389">
        <v>183</v>
      </c>
      <c r="C189" s="390"/>
      <c r="D189" s="846"/>
      <c r="E189" s="849"/>
      <c r="F189" s="849"/>
      <c r="G189" s="849"/>
      <c r="H189" s="849"/>
      <c r="I189" s="849"/>
      <c r="J189" s="849"/>
      <c r="K189" s="849"/>
      <c r="L189" s="849"/>
      <c r="M189" s="849"/>
      <c r="N189" s="849"/>
      <c r="O189" s="849"/>
      <c r="P189" s="850"/>
      <c r="Q189" s="482"/>
      <c r="R189" s="483"/>
      <c r="S189" s="482"/>
      <c r="T189" s="484"/>
      <c r="U189" s="485"/>
      <c r="V189" s="391"/>
    </row>
    <row r="190" spans="2:22" ht="15" customHeight="1" x14ac:dyDescent="0.25">
      <c r="B190" s="389">
        <v>184</v>
      </c>
      <c r="C190" s="390"/>
      <c r="D190" s="843"/>
      <c r="E190" s="844"/>
      <c r="F190" s="844"/>
      <c r="G190" s="844"/>
      <c r="H190" s="844"/>
      <c r="I190" s="844"/>
      <c r="J190" s="844"/>
      <c r="K190" s="844"/>
      <c r="L190" s="844"/>
      <c r="M190" s="844"/>
      <c r="N190" s="844"/>
      <c r="O190" s="844"/>
      <c r="P190" s="845"/>
      <c r="Q190" s="482"/>
      <c r="R190" s="483"/>
      <c r="S190" s="482"/>
      <c r="T190" s="484"/>
      <c r="U190" s="485"/>
      <c r="V190" s="391"/>
    </row>
    <row r="191" spans="2:22" ht="15.75" x14ac:dyDescent="0.25">
      <c r="B191" s="389">
        <v>185</v>
      </c>
      <c r="C191" s="390"/>
      <c r="D191" s="846"/>
      <c r="E191" s="849"/>
      <c r="F191" s="849"/>
      <c r="G191" s="849"/>
      <c r="H191" s="849"/>
      <c r="I191" s="849"/>
      <c r="J191" s="849"/>
      <c r="K191" s="849"/>
      <c r="L191" s="849"/>
      <c r="M191" s="849"/>
      <c r="N191" s="849"/>
      <c r="O191" s="849"/>
      <c r="P191" s="850"/>
      <c r="Q191" s="482"/>
      <c r="R191" s="483"/>
      <c r="S191" s="482"/>
      <c r="T191" s="484"/>
      <c r="U191" s="485"/>
      <c r="V191" s="391"/>
    </row>
    <row r="192" spans="2:22" ht="15" customHeight="1" x14ac:dyDescent="0.25">
      <c r="B192" s="389">
        <v>186</v>
      </c>
      <c r="C192" s="390"/>
      <c r="D192" s="846"/>
      <c r="E192" s="849"/>
      <c r="F192" s="849"/>
      <c r="G192" s="849"/>
      <c r="H192" s="849"/>
      <c r="I192" s="849"/>
      <c r="J192" s="849"/>
      <c r="K192" s="849"/>
      <c r="L192" s="849"/>
      <c r="M192" s="849"/>
      <c r="N192" s="849"/>
      <c r="O192" s="849"/>
      <c r="P192" s="850"/>
      <c r="Q192" s="482"/>
      <c r="R192" s="483"/>
      <c r="S192" s="482"/>
      <c r="T192" s="484"/>
      <c r="U192" s="485"/>
      <c r="V192" s="391"/>
    </row>
    <row r="193" spans="2:22" ht="15" customHeight="1" x14ac:dyDescent="0.25">
      <c r="B193" s="389">
        <v>187</v>
      </c>
      <c r="C193" s="390"/>
      <c r="D193" s="843"/>
      <c r="E193" s="844"/>
      <c r="F193" s="844"/>
      <c r="G193" s="844"/>
      <c r="H193" s="844"/>
      <c r="I193" s="844"/>
      <c r="J193" s="844"/>
      <c r="K193" s="844"/>
      <c r="L193" s="844"/>
      <c r="M193" s="844"/>
      <c r="N193" s="844"/>
      <c r="O193" s="844"/>
      <c r="P193" s="845"/>
      <c r="Q193" s="482"/>
      <c r="R193" s="483"/>
      <c r="S193" s="482"/>
      <c r="T193" s="484"/>
      <c r="U193" s="485"/>
      <c r="V193" s="391"/>
    </row>
    <row r="194" spans="2:22" ht="15" customHeight="1" x14ac:dyDescent="0.25">
      <c r="B194" s="389">
        <v>188</v>
      </c>
      <c r="C194" s="390"/>
      <c r="D194" s="846"/>
      <c r="E194" s="849"/>
      <c r="F194" s="849"/>
      <c r="G194" s="849"/>
      <c r="H194" s="849"/>
      <c r="I194" s="849"/>
      <c r="J194" s="849"/>
      <c r="K194" s="849"/>
      <c r="L194" s="849"/>
      <c r="M194" s="849"/>
      <c r="N194" s="849"/>
      <c r="O194" s="849"/>
      <c r="P194" s="850"/>
      <c r="Q194" s="482"/>
      <c r="R194" s="483"/>
      <c r="S194" s="482"/>
      <c r="T194" s="484"/>
      <c r="U194" s="485"/>
      <c r="V194" s="391"/>
    </row>
    <row r="195" spans="2:22" ht="15" customHeight="1" x14ac:dyDescent="0.25">
      <c r="B195" s="389">
        <v>189</v>
      </c>
      <c r="C195" s="390"/>
      <c r="D195" s="846"/>
      <c r="E195" s="849"/>
      <c r="F195" s="849"/>
      <c r="G195" s="849"/>
      <c r="H195" s="849"/>
      <c r="I195" s="849"/>
      <c r="J195" s="849"/>
      <c r="K195" s="849"/>
      <c r="L195" s="849"/>
      <c r="M195" s="849"/>
      <c r="N195" s="849"/>
      <c r="O195" s="849"/>
      <c r="P195" s="850"/>
      <c r="Q195" s="482"/>
      <c r="R195" s="483"/>
      <c r="S195" s="482"/>
      <c r="T195" s="484"/>
      <c r="U195" s="485"/>
      <c r="V195" s="391"/>
    </row>
    <row r="196" spans="2:22" ht="15" customHeight="1" x14ac:dyDescent="0.25">
      <c r="B196" s="389">
        <v>190</v>
      </c>
      <c r="C196" s="390"/>
      <c r="D196" s="843"/>
      <c r="E196" s="844"/>
      <c r="F196" s="844"/>
      <c r="G196" s="844"/>
      <c r="H196" s="844"/>
      <c r="I196" s="844"/>
      <c r="J196" s="844"/>
      <c r="K196" s="844"/>
      <c r="L196" s="844"/>
      <c r="M196" s="844"/>
      <c r="N196" s="844"/>
      <c r="O196" s="844"/>
      <c r="P196" s="845"/>
      <c r="Q196" s="482"/>
      <c r="R196" s="483"/>
      <c r="S196" s="482"/>
      <c r="T196" s="484"/>
      <c r="U196" s="485"/>
      <c r="V196" s="391"/>
    </row>
    <row r="197" spans="2:22" ht="15.75" x14ac:dyDescent="0.25">
      <c r="B197" s="389">
        <v>191</v>
      </c>
      <c r="C197" s="390"/>
      <c r="D197" s="846"/>
      <c r="E197" s="849"/>
      <c r="F197" s="849"/>
      <c r="G197" s="849"/>
      <c r="H197" s="849"/>
      <c r="I197" s="849"/>
      <c r="J197" s="849"/>
      <c r="K197" s="849"/>
      <c r="L197" s="849"/>
      <c r="M197" s="849"/>
      <c r="N197" s="849"/>
      <c r="O197" s="849"/>
      <c r="P197" s="850"/>
      <c r="Q197" s="482"/>
      <c r="R197" s="483"/>
      <c r="S197" s="482"/>
      <c r="T197" s="484"/>
      <c r="U197" s="485"/>
      <c r="V197" s="391"/>
    </row>
    <row r="198" spans="2:22" ht="15" customHeight="1" x14ac:dyDescent="0.25">
      <c r="B198" s="389">
        <v>192</v>
      </c>
      <c r="C198" s="390"/>
      <c r="D198" s="846"/>
      <c r="E198" s="849"/>
      <c r="F198" s="849"/>
      <c r="G198" s="849"/>
      <c r="H198" s="849"/>
      <c r="I198" s="849"/>
      <c r="J198" s="849"/>
      <c r="K198" s="849"/>
      <c r="L198" s="849"/>
      <c r="M198" s="849"/>
      <c r="N198" s="849"/>
      <c r="O198" s="849"/>
      <c r="P198" s="850"/>
      <c r="Q198" s="482"/>
      <c r="R198" s="483"/>
      <c r="S198" s="482"/>
      <c r="T198" s="484"/>
      <c r="U198" s="485"/>
      <c r="V198" s="391"/>
    </row>
    <row r="199" spans="2:22" ht="15" customHeight="1" x14ac:dyDescent="0.25">
      <c r="B199" s="389">
        <v>193</v>
      </c>
      <c r="C199" s="390"/>
      <c r="D199" s="843"/>
      <c r="E199" s="844"/>
      <c r="F199" s="844"/>
      <c r="G199" s="844"/>
      <c r="H199" s="844"/>
      <c r="I199" s="844"/>
      <c r="J199" s="844"/>
      <c r="K199" s="844"/>
      <c r="L199" s="844"/>
      <c r="M199" s="844"/>
      <c r="N199" s="844"/>
      <c r="O199" s="844"/>
      <c r="P199" s="845"/>
      <c r="Q199" s="482"/>
      <c r="R199" s="483"/>
      <c r="S199" s="482"/>
      <c r="T199" s="484"/>
      <c r="U199" s="485"/>
      <c r="V199" s="391"/>
    </row>
    <row r="200" spans="2:22" ht="15" customHeight="1" x14ac:dyDescent="0.25">
      <c r="B200" s="389">
        <v>194</v>
      </c>
      <c r="C200" s="390"/>
      <c r="D200" s="846"/>
      <c r="E200" s="849"/>
      <c r="F200" s="849"/>
      <c r="G200" s="849"/>
      <c r="H200" s="849"/>
      <c r="I200" s="849"/>
      <c r="J200" s="849"/>
      <c r="K200" s="849"/>
      <c r="L200" s="849"/>
      <c r="M200" s="849"/>
      <c r="N200" s="849"/>
      <c r="O200" s="849"/>
      <c r="P200" s="850"/>
      <c r="Q200" s="482"/>
      <c r="R200" s="483"/>
      <c r="S200" s="482"/>
      <c r="T200" s="484"/>
      <c r="U200" s="485"/>
      <c r="V200" s="391"/>
    </row>
    <row r="201" spans="2:22" ht="15" customHeight="1" x14ac:dyDescent="0.25">
      <c r="B201" s="389">
        <v>195</v>
      </c>
      <c r="C201" s="390"/>
      <c r="D201" s="846"/>
      <c r="E201" s="849"/>
      <c r="F201" s="849"/>
      <c r="G201" s="849"/>
      <c r="H201" s="849"/>
      <c r="I201" s="849"/>
      <c r="J201" s="849"/>
      <c r="K201" s="849"/>
      <c r="L201" s="849"/>
      <c r="M201" s="849"/>
      <c r="N201" s="849"/>
      <c r="O201" s="849"/>
      <c r="P201" s="850"/>
      <c r="Q201" s="482"/>
      <c r="R201" s="483"/>
      <c r="S201" s="482"/>
      <c r="T201" s="484"/>
      <c r="U201" s="485"/>
      <c r="V201" s="391"/>
    </row>
    <row r="202" spans="2:22" ht="15" customHeight="1" x14ac:dyDescent="0.25">
      <c r="B202" s="389">
        <v>196</v>
      </c>
      <c r="C202" s="390"/>
      <c r="D202" s="843"/>
      <c r="E202" s="844"/>
      <c r="F202" s="844"/>
      <c r="G202" s="844"/>
      <c r="H202" s="844"/>
      <c r="I202" s="844"/>
      <c r="J202" s="844"/>
      <c r="K202" s="844"/>
      <c r="L202" s="844"/>
      <c r="M202" s="844"/>
      <c r="N202" s="844"/>
      <c r="O202" s="844"/>
      <c r="P202" s="845"/>
      <c r="Q202" s="482"/>
      <c r="R202" s="483"/>
      <c r="S202" s="482"/>
      <c r="T202" s="484"/>
      <c r="U202" s="485"/>
      <c r="V202" s="391"/>
    </row>
    <row r="203" spans="2:22" ht="15.75" x14ac:dyDescent="0.25">
      <c r="B203" s="389">
        <v>197</v>
      </c>
      <c r="C203" s="390"/>
      <c r="D203" s="846"/>
      <c r="E203" s="849"/>
      <c r="F203" s="849"/>
      <c r="G203" s="849"/>
      <c r="H203" s="849"/>
      <c r="I203" s="849"/>
      <c r="J203" s="849"/>
      <c r="K203" s="849"/>
      <c r="L203" s="849"/>
      <c r="M203" s="849"/>
      <c r="N203" s="849"/>
      <c r="O203" s="849"/>
      <c r="P203" s="850"/>
      <c r="Q203" s="482"/>
      <c r="R203" s="483"/>
      <c r="S203" s="482"/>
      <c r="T203" s="484"/>
      <c r="U203" s="485"/>
      <c r="V203" s="391"/>
    </row>
    <row r="204" spans="2:22" ht="15" customHeight="1" x14ac:dyDescent="0.25">
      <c r="B204" s="389">
        <v>198</v>
      </c>
      <c r="C204" s="390"/>
      <c r="D204" s="846"/>
      <c r="E204" s="849"/>
      <c r="F204" s="849"/>
      <c r="G204" s="849"/>
      <c r="H204" s="849"/>
      <c r="I204" s="849"/>
      <c r="J204" s="849"/>
      <c r="K204" s="849"/>
      <c r="L204" s="849"/>
      <c r="M204" s="849"/>
      <c r="N204" s="849"/>
      <c r="O204" s="849"/>
      <c r="P204" s="850"/>
      <c r="Q204" s="482"/>
      <c r="R204" s="483"/>
      <c r="S204" s="482"/>
      <c r="T204" s="484"/>
      <c r="U204" s="485"/>
      <c r="V204" s="391"/>
    </row>
    <row r="205" spans="2:22" ht="15" customHeight="1" x14ac:dyDescent="0.25">
      <c r="B205" s="389">
        <v>199</v>
      </c>
      <c r="C205" s="390"/>
      <c r="D205" s="843"/>
      <c r="E205" s="844"/>
      <c r="F205" s="844"/>
      <c r="G205" s="844"/>
      <c r="H205" s="844"/>
      <c r="I205" s="844"/>
      <c r="J205" s="844"/>
      <c r="K205" s="844"/>
      <c r="L205" s="844"/>
      <c r="M205" s="844"/>
      <c r="N205" s="844"/>
      <c r="O205" s="844"/>
      <c r="P205" s="845"/>
      <c r="Q205" s="482"/>
      <c r="R205" s="483"/>
      <c r="S205" s="482"/>
      <c r="T205" s="484"/>
      <c r="U205" s="485"/>
      <c r="V205" s="391"/>
    </row>
    <row r="206" spans="2:22" ht="15" customHeight="1" x14ac:dyDescent="0.25">
      <c r="B206" s="389">
        <v>200</v>
      </c>
      <c r="C206" s="390"/>
      <c r="D206" s="846"/>
      <c r="E206" s="849"/>
      <c r="F206" s="849"/>
      <c r="G206" s="849"/>
      <c r="H206" s="849"/>
      <c r="I206" s="849"/>
      <c r="J206" s="849"/>
      <c r="K206" s="849"/>
      <c r="L206" s="849"/>
      <c r="M206" s="849"/>
      <c r="N206" s="849"/>
      <c r="O206" s="849"/>
      <c r="P206" s="850"/>
      <c r="Q206" s="482"/>
      <c r="R206" s="483"/>
      <c r="S206" s="482"/>
      <c r="T206" s="484"/>
      <c r="U206" s="485"/>
      <c r="V206" s="391"/>
    </row>
    <row r="207" spans="2:22" ht="15" customHeight="1" x14ac:dyDescent="0.25">
      <c r="B207" s="389">
        <v>201</v>
      </c>
      <c r="C207" s="390"/>
      <c r="D207" s="846"/>
      <c r="E207" s="849"/>
      <c r="F207" s="849"/>
      <c r="G207" s="849"/>
      <c r="H207" s="849"/>
      <c r="I207" s="849"/>
      <c r="J207" s="849"/>
      <c r="K207" s="849"/>
      <c r="L207" s="849"/>
      <c r="M207" s="849"/>
      <c r="N207" s="849"/>
      <c r="O207" s="849"/>
      <c r="P207" s="850"/>
      <c r="Q207" s="482"/>
      <c r="R207" s="483"/>
      <c r="S207" s="482"/>
      <c r="T207" s="484"/>
      <c r="U207" s="485"/>
      <c r="V207" s="391"/>
    </row>
    <row r="208" spans="2:22" ht="15" customHeight="1" x14ac:dyDescent="0.25">
      <c r="B208" s="389">
        <v>202</v>
      </c>
      <c r="C208" s="390"/>
      <c r="D208" s="843"/>
      <c r="E208" s="844"/>
      <c r="F208" s="844"/>
      <c r="G208" s="844"/>
      <c r="H208" s="844"/>
      <c r="I208" s="844"/>
      <c r="J208" s="844"/>
      <c r="K208" s="844"/>
      <c r="L208" s="844"/>
      <c r="M208" s="844"/>
      <c r="N208" s="844"/>
      <c r="O208" s="844"/>
      <c r="P208" s="845"/>
      <c r="Q208" s="482"/>
      <c r="R208" s="483"/>
      <c r="S208" s="482"/>
      <c r="T208" s="484"/>
      <c r="U208" s="485"/>
      <c r="V208" s="391"/>
    </row>
    <row r="209" spans="2:22" ht="15.75" x14ac:dyDescent="0.25">
      <c r="B209" s="389">
        <v>203</v>
      </c>
      <c r="C209" s="390"/>
      <c r="D209" s="846"/>
      <c r="E209" s="849"/>
      <c r="F209" s="849"/>
      <c r="G209" s="849"/>
      <c r="H209" s="849"/>
      <c r="I209" s="849"/>
      <c r="J209" s="849"/>
      <c r="K209" s="849"/>
      <c r="L209" s="849"/>
      <c r="M209" s="849"/>
      <c r="N209" s="849"/>
      <c r="O209" s="849"/>
      <c r="P209" s="850"/>
      <c r="Q209" s="482"/>
      <c r="R209" s="483"/>
      <c r="S209" s="482"/>
      <c r="T209" s="484"/>
      <c r="U209" s="485"/>
      <c r="V209" s="391"/>
    </row>
    <row r="210" spans="2:22" ht="15" customHeight="1" x14ac:dyDescent="0.25">
      <c r="B210" s="389">
        <v>204</v>
      </c>
      <c r="C210" s="390"/>
      <c r="D210" s="846"/>
      <c r="E210" s="849"/>
      <c r="F210" s="849"/>
      <c r="G210" s="849"/>
      <c r="H210" s="849"/>
      <c r="I210" s="849"/>
      <c r="J210" s="849"/>
      <c r="K210" s="849"/>
      <c r="L210" s="849"/>
      <c r="M210" s="849"/>
      <c r="N210" s="849"/>
      <c r="O210" s="849"/>
      <c r="P210" s="850"/>
      <c r="Q210" s="482"/>
      <c r="R210" s="483"/>
      <c r="S210" s="482"/>
      <c r="T210" s="484"/>
      <c r="U210" s="485"/>
      <c r="V210" s="391"/>
    </row>
    <row r="211" spans="2:22" ht="15" customHeight="1" x14ac:dyDescent="0.25">
      <c r="B211" s="389">
        <v>205</v>
      </c>
      <c r="C211" s="390"/>
      <c r="D211" s="843"/>
      <c r="E211" s="844"/>
      <c r="F211" s="844"/>
      <c r="G211" s="844"/>
      <c r="H211" s="844"/>
      <c r="I211" s="844"/>
      <c r="J211" s="844"/>
      <c r="K211" s="844"/>
      <c r="L211" s="844"/>
      <c r="M211" s="844"/>
      <c r="N211" s="844"/>
      <c r="O211" s="844"/>
      <c r="P211" s="845"/>
      <c r="Q211" s="482"/>
      <c r="R211" s="483"/>
      <c r="S211" s="482"/>
      <c r="T211" s="484"/>
      <c r="U211" s="485"/>
      <c r="V211" s="391"/>
    </row>
    <row r="212" spans="2:22" ht="15" customHeight="1" x14ac:dyDescent="0.25">
      <c r="B212" s="389">
        <v>206</v>
      </c>
      <c r="C212" s="390"/>
      <c r="D212" s="843"/>
      <c r="E212" s="844"/>
      <c r="F212" s="844"/>
      <c r="G212" s="844"/>
      <c r="H212" s="844"/>
      <c r="I212" s="844"/>
      <c r="J212" s="844"/>
      <c r="K212" s="844"/>
      <c r="L212" s="844"/>
      <c r="M212" s="844"/>
      <c r="N212" s="844"/>
      <c r="O212" s="844"/>
      <c r="P212" s="845"/>
      <c r="Q212" s="482"/>
      <c r="R212" s="483"/>
      <c r="S212" s="482"/>
      <c r="T212" s="484"/>
      <c r="U212" s="485"/>
      <c r="V212" s="391"/>
    </row>
    <row r="213" spans="2:22" ht="15" customHeight="1" x14ac:dyDescent="0.25">
      <c r="B213" s="389">
        <v>207</v>
      </c>
      <c r="C213" s="390"/>
      <c r="D213" s="843"/>
      <c r="E213" s="844"/>
      <c r="F213" s="844"/>
      <c r="G213" s="844"/>
      <c r="H213" s="844"/>
      <c r="I213" s="844"/>
      <c r="J213" s="844"/>
      <c r="K213" s="844"/>
      <c r="L213" s="844"/>
      <c r="M213" s="844"/>
      <c r="N213" s="844"/>
      <c r="O213" s="844"/>
      <c r="P213" s="845"/>
      <c r="Q213" s="482"/>
      <c r="R213" s="483"/>
      <c r="S213" s="482"/>
      <c r="T213" s="484"/>
      <c r="U213" s="485"/>
      <c r="V213" s="391"/>
    </row>
    <row r="214" spans="2:22" ht="15" customHeight="1" x14ac:dyDescent="0.25">
      <c r="B214" s="389">
        <v>208</v>
      </c>
      <c r="C214" s="390"/>
      <c r="D214" s="843"/>
      <c r="E214" s="844"/>
      <c r="F214" s="844"/>
      <c r="G214" s="844"/>
      <c r="H214" s="844"/>
      <c r="I214" s="844"/>
      <c r="J214" s="844"/>
      <c r="K214" s="844"/>
      <c r="L214" s="844"/>
      <c r="M214" s="844"/>
      <c r="N214" s="844"/>
      <c r="O214" s="844"/>
      <c r="P214" s="845"/>
      <c r="Q214" s="482"/>
      <c r="R214" s="483"/>
      <c r="S214" s="482"/>
      <c r="T214" s="484"/>
      <c r="U214" s="485"/>
      <c r="V214" s="391"/>
    </row>
    <row r="215" spans="2:22" ht="15.75" x14ac:dyDescent="0.25">
      <c r="B215" s="389">
        <v>209</v>
      </c>
      <c r="C215" s="390"/>
      <c r="D215" s="846"/>
      <c r="E215" s="847"/>
      <c r="F215" s="847"/>
      <c r="G215" s="847"/>
      <c r="H215" s="847"/>
      <c r="I215" s="847"/>
      <c r="J215" s="847"/>
      <c r="K215" s="847"/>
      <c r="L215" s="847"/>
      <c r="M215" s="847"/>
      <c r="N215" s="847"/>
      <c r="O215" s="847"/>
      <c r="P215" s="848"/>
      <c r="Q215" s="482"/>
      <c r="R215" s="483"/>
      <c r="S215" s="482"/>
      <c r="T215" s="484"/>
      <c r="U215" s="485"/>
      <c r="V215" s="391"/>
    </row>
    <row r="216" spans="2:22" ht="15" customHeight="1" x14ac:dyDescent="0.25">
      <c r="B216" s="389">
        <v>210</v>
      </c>
      <c r="C216" s="390"/>
      <c r="D216" s="846"/>
      <c r="E216" s="847"/>
      <c r="F216" s="847"/>
      <c r="G216" s="847"/>
      <c r="H216" s="847"/>
      <c r="I216" s="847"/>
      <c r="J216" s="847"/>
      <c r="K216" s="847"/>
      <c r="L216" s="847"/>
      <c r="M216" s="847"/>
      <c r="N216" s="847"/>
      <c r="O216" s="847"/>
      <c r="P216" s="848"/>
      <c r="Q216" s="482"/>
      <c r="R216" s="483"/>
      <c r="S216" s="482"/>
      <c r="T216" s="484"/>
      <c r="U216" s="485"/>
      <c r="V216" s="391"/>
    </row>
    <row r="217" spans="2:22" ht="15" customHeight="1" x14ac:dyDescent="0.25">
      <c r="B217" s="389">
        <v>211</v>
      </c>
      <c r="C217" s="390"/>
      <c r="D217" s="843"/>
      <c r="E217" s="844"/>
      <c r="F217" s="844"/>
      <c r="G217" s="844"/>
      <c r="H217" s="844"/>
      <c r="I217" s="844"/>
      <c r="J217" s="844"/>
      <c r="K217" s="844"/>
      <c r="L217" s="844"/>
      <c r="M217" s="844"/>
      <c r="N217" s="844"/>
      <c r="O217" s="844"/>
      <c r="P217" s="845"/>
      <c r="Q217" s="482"/>
      <c r="R217" s="483"/>
      <c r="S217" s="482"/>
      <c r="T217" s="484"/>
      <c r="U217" s="485"/>
      <c r="V217" s="391"/>
    </row>
    <row r="218" spans="2:22" ht="15" customHeight="1" x14ac:dyDescent="0.25">
      <c r="B218" s="389">
        <v>212</v>
      </c>
      <c r="C218" s="390"/>
      <c r="D218" s="846"/>
      <c r="E218" s="847"/>
      <c r="F218" s="847"/>
      <c r="G218" s="847"/>
      <c r="H218" s="847"/>
      <c r="I218" s="847"/>
      <c r="J218" s="847"/>
      <c r="K218" s="847"/>
      <c r="L218" s="847"/>
      <c r="M218" s="847"/>
      <c r="N218" s="847"/>
      <c r="O218" s="847"/>
      <c r="P218" s="848"/>
      <c r="Q218" s="482"/>
      <c r="R218" s="483"/>
      <c r="S218" s="482"/>
      <c r="T218" s="484"/>
      <c r="U218" s="485"/>
      <c r="V218" s="391"/>
    </row>
    <row r="219" spans="2:22" ht="15" customHeight="1" x14ac:dyDescent="0.25">
      <c r="B219" s="389">
        <v>213</v>
      </c>
      <c r="C219" s="390"/>
      <c r="D219" s="846"/>
      <c r="E219" s="847"/>
      <c r="F219" s="847"/>
      <c r="G219" s="847"/>
      <c r="H219" s="847"/>
      <c r="I219" s="847"/>
      <c r="J219" s="847"/>
      <c r="K219" s="847"/>
      <c r="L219" s="847"/>
      <c r="M219" s="847"/>
      <c r="N219" s="847"/>
      <c r="O219" s="847"/>
      <c r="P219" s="848"/>
      <c r="Q219" s="482"/>
      <c r="R219" s="483"/>
      <c r="S219" s="482"/>
      <c r="T219" s="484"/>
      <c r="U219" s="485"/>
      <c r="V219" s="391"/>
    </row>
    <row r="220" spans="2:22" ht="15" customHeight="1" x14ac:dyDescent="0.25">
      <c r="B220" s="389">
        <v>214</v>
      </c>
      <c r="C220" s="390"/>
      <c r="D220" s="843"/>
      <c r="E220" s="844"/>
      <c r="F220" s="844"/>
      <c r="G220" s="844"/>
      <c r="H220" s="844"/>
      <c r="I220" s="844"/>
      <c r="J220" s="844"/>
      <c r="K220" s="844"/>
      <c r="L220" s="844"/>
      <c r="M220" s="844"/>
      <c r="N220" s="844"/>
      <c r="O220" s="844"/>
      <c r="P220" s="845"/>
      <c r="Q220" s="482"/>
      <c r="R220" s="483"/>
      <c r="S220" s="482"/>
      <c r="T220" s="484"/>
      <c r="U220" s="485"/>
      <c r="V220" s="391"/>
    </row>
    <row r="221" spans="2:22" ht="15.75" x14ac:dyDescent="0.25">
      <c r="B221" s="389">
        <v>215</v>
      </c>
      <c r="C221" s="390"/>
      <c r="D221" s="846"/>
      <c r="E221" s="847"/>
      <c r="F221" s="847"/>
      <c r="G221" s="847"/>
      <c r="H221" s="847"/>
      <c r="I221" s="847"/>
      <c r="J221" s="847"/>
      <c r="K221" s="847"/>
      <c r="L221" s="847"/>
      <c r="M221" s="847"/>
      <c r="N221" s="847"/>
      <c r="O221" s="847"/>
      <c r="P221" s="848"/>
      <c r="Q221" s="482"/>
      <c r="R221" s="483"/>
      <c r="S221" s="482"/>
      <c r="T221" s="484"/>
      <c r="U221" s="485"/>
      <c r="V221" s="391"/>
    </row>
    <row r="222" spans="2:22" ht="15" customHeight="1" x14ac:dyDescent="0.25">
      <c r="B222" s="389">
        <v>216</v>
      </c>
      <c r="C222" s="390"/>
      <c r="D222" s="846"/>
      <c r="E222" s="847"/>
      <c r="F222" s="847"/>
      <c r="G222" s="847"/>
      <c r="H222" s="847"/>
      <c r="I222" s="847"/>
      <c r="J222" s="847"/>
      <c r="K222" s="847"/>
      <c r="L222" s="847"/>
      <c r="M222" s="847"/>
      <c r="N222" s="847"/>
      <c r="O222" s="847"/>
      <c r="P222" s="848"/>
      <c r="Q222" s="482"/>
      <c r="R222" s="483"/>
      <c r="S222" s="482"/>
      <c r="T222" s="484"/>
      <c r="U222" s="485"/>
      <c r="V222" s="391"/>
    </row>
    <row r="223" spans="2:22" ht="15" customHeight="1" x14ac:dyDescent="0.25">
      <c r="B223" s="389">
        <v>217</v>
      </c>
      <c r="C223" s="390"/>
      <c r="D223" s="843"/>
      <c r="E223" s="844"/>
      <c r="F223" s="844"/>
      <c r="G223" s="844"/>
      <c r="H223" s="844"/>
      <c r="I223" s="844"/>
      <c r="J223" s="844"/>
      <c r="K223" s="844"/>
      <c r="L223" s="844"/>
      <c r="M223" s="844"/>
      <c r="N223" s="844"/>
      <c r="O223" s="844"/>
      <c r="P223" s="845"/>
      <c r="Q223" s="482"/>
      <c r="R223" s="483"/>
      <c r="S223" s="482"/>
      <c r="T223" s="484"/>
      <c r="U223" s="485"/>
      <c r="V223" s="391"/>
    </row>
    <row r="224" spans="2:22" ht="15" customHeight="1" x14ac:dyDescent="0.25">
      <c r="B224" s="389">
        <v>218</v>
      </c>
      <c r="C224" s="390"/>
      <c r="D224" s="846"/>
      <c r="E224" s="847"/>
      <c r="F224" s="847"/>
      <c r="G224" s="847"/>
      <c r="H224" s="847"/>
      <c r="I224" s="847"/>
      <c r="J224" s="847"/>
      <c r="K224" s="847"/>
      <c r="L224" s="847"/>
      <c r="M224" s="847"/>
      <c r="N224" s="847"/>
      <c r="O224" s="847"/>
      <c r="P224" s="848"/>
      <c r="Q224" s="482"/>
      <c r="R224" s="483"/>
      <c r="S224" s="482"/>
      <c r="T224" s="484"/>
      <c r="U224" s="485"/>
      <c r="V224" s="391"/>
    </row>
    <row r="225" spans="2:22" ht="15" customHeight="1" x14ac:dyDescent="0.25">
      <c r="B225" s="389">
        <v>219</v>
      </c>
      <c r="C225" s="390"/>
      <c r="D225" s="846"/>
      <c r="E225" s="847"/>
      <c r="F225" s="847"/>
      <c r="G225" s="847"/>
      <c r="H225" s="847"/>
      <c r="I225" s="847"/>
      <c r="J225" s="847"/>
      <c r="K225" s="847"/>
      <c r="L225" s="847"/>
      <c r="M225" s="847"/>
      <c r="N225" s="847"/>
      <c r="O225" s="847"/>
      <c r="P225" s="848"/>
      <c r="Q225" s="482"/>
      <c r="R225" s="483"/>
      <c r="S225" s="482"/>
      <c r="T225" s="484"/>
      <c r="U225" s="485"/>
      <c r="V225" s="391"/>
    </row>
    <row r="226" spans="2:22" ht="15" customHeight="1" x14ac:dyDescent="0.25">
      <c r="B226" s="389">
        <v>220</v>
      </c>
      <c r="C226" s="390"/>
      <c r="D226" s="843"/>
      <c r="E226" s="844"/>
      <c r="F226" s="844"/>
      <c r="G226" s="844"/>
      <c r="H226" s="844"/>
      <c r="I226" s="844"/>
      <c r="J226" s="844"/>
      <c r="K226" s="844"/>
      <c r="L226" s="844"/>
      <c r="M226" s="844"/>
      <c r="N226" s="844"/>
      <c r="O226" s="844"/>
      <c r="P226" s="845"/>
      <c r="Q226" s="482"/>
      <c r="R226" s="483"/>
      <c r="S226" s="482"/>
      <c r="T226" s="484"/>
      <c r="U226" s="485"/>
      <c r="V226" s="391"/>
    </row>
    <row r="227" spans="2:22" ht="15.75" x14ac:dyDescent="0.25">
      <c r="B227" s="389">
        <v>221</v>
      </c>
      <c r="C227" s="390"/>
      <c r="D227" s="846"/>
      <c r="E227" s="847"/>
      <c r="F227" s="847"/>
      <c r="G227" s="847"/>
      <c r="H227" s="847"/>
      <c r="I227" s="847"/>
      <c r="J227" s="847"/>
      <c r="K227" s="847"/>
      <c r="L227" s="847"/>
      <c r="M227" s="847"/>
      <c r="N227" s="847"/>
      <c r="O227" s="847"/>
      <c r="P227" s="848"/>
      <c r="Q227" s="482"/>
      <c r="R227" s="483"/>
      <c r="S227" s="482"/>
      <c r="T227" s="484"/>
      <c r="U227" s="485"/>
      <c r="V227" s="391"/>
    </row>
    <row r="228" spans="2:22" ht="15" customHeight="1" x14ac:dyDescent="0.25">
      <c r="B228" s="389">
        <v>222</v>
      </c>
      <c r="C228" s="390"/>
      <c r="D228" s="846"/>
      <c r="E228" s="847"/>
      <c r="F228" s="847"/>
      <c r="G228" s="847"/>
      <c r="H228" s="847"/>
      <c r="I228" s="847"/>
      <c r="J228" s="847"/>
      <c r="K228" s="847"/>
      <c r="L228" s="847"/>
      <c r="M228" s="847"/>
      <c r="N228" s="847"/>
      <c r="O228" s="847"/>
      <c r="P228" s="848"/>
      <c r="Q228" s="482"/>
      <c r="R228" s="483"/>
      <c r="S228" s="482"/>
      <c r="T228" s="484"/>
      <c r="U228" s="485"/>
      <c r="V228" s="391"/>
    </row>
    <row r="229" spans="2:22" ht="15" customHeight="1" x14ac:dyDescent="0.25">
      <c r="B229" s="389">
        <v>223</v>
      </c>
      <c r="C229" s="390"/>
      <c r="D229" s="843"/>
      <c r="E229" s="844"/>
      <c r="F229" s="844"/>
      <c r="G229" s="844"/>
      <c r="H229" s="844"/>
      <c r="I229" s="844"/>
      <c r="J229" s="844"/>
      <c r="K229" s="844"/>
      <c r="L229" s="844"/>
      <c r="M229" s="844"/>
      <c r="N229" s="844"/>
      <c r="O229" s="844"/>
      <c r="P229" s="845"/>
      <c r="Q229" s="482"/>
      <c r="R229" s="483"/>
      <c r="S229" s="482"/>
      <c r="T229" s="484"/>
      <c r="U229" s="485"/>
      <c r="V229" s="391"/>
    </row>
    <row r="230" spans="2:22" ht="15" customHeight="1" x14ac:dyDescent="0.25">
      <c r="B230" s="389">
        <v>224</v>
      </c>
      <c r="C230" s="390"/>
      <c r="D230" s="846"/>
      <c r="E230" s="847"/>
      <c r="F230" s="847"/>
      <c r="G230" s="847"/>
      <c r="H230" s="847"/>
      <c r="I230" s="847"/>
      <c r="J230" s="847"/>
      <c r="K230" s="847"/>
      <c r="L230" s="847"/>
      <c r="M230" s="847"/>
      <c r="N230" s="847"/>
      <c r="O230" s="847"/>
      <c r="P230" s="848"/>
      <c r="Q230" s="482"/>
      <c r="R230" s="483"/>
      <c r="S230" s="482"/>
      <c r="T230" s="484"/>
      <c r="U230" s="485"/>
      <c r="V230" s="391"/>
    </row>
    <row r="231" spans="2:22" ht="15" customHeight="1" x14ac:dyDescent="0.25">
      <c r="B231" s="389">
        <v>225</v>
      </c>
      <c r="C231" s="390"/>
      <c r="D231" s="846"/>
      <c r="E231" s="847"/>
      <c r="F231" s="847"/>
      <c r="G231" s="847"/>
      <c r="H231" s="847"/>
      <c r="I231" s="847"/>
      <c r="J231" s="847"/>
      <c r="K231" s="847"/>
      <c r="L231" s="847"/>
      <c r="M231" s="847"/>
      <c r="N231" s="847"/>
      <c r="O231" s="847"/>
      <c r="P231" s="848"/>
      <c r="Q231" s="482"/>
      <c r="R231" s="483"/>
      <c r="S231" s="482"/>
      <c r="T231" s="484"/>
      <c r="U231" s="485"/>
      <c r="V231" s="391"/>
    </row>
    <row r="232" spans="2:22" ht="15" customHeight="1" x14ac:dyDescent="0.25">
      <c r="B232" s="389">
        <v>226</v>
      </c>
      <c r="C232" s="390"/>
      <c r="D232" s="843"/>
      <c r="E232" s="844"/>
      <c r="F232" s="844"/>
      <c r="G232" s="844"/>
      <c r="H232" s="844"/>
      <c r="I232" s="844"/>
      <c r="J232" s="844"/>
      <c r="K232" s="844"/>
      <c r="L232" s="844"/>
      <c r="M232" s="844"/>
      <c r="N232" s="844"/>
      <c r="O232" s="844"/>
      <c r="P232" s="845"/>
      <c r="Q232" s="482"/>
      <c r="R232" s="483"/>
      <c r="S232" s="482"/>
      <c r="T232" s="484"/>
      <c r="U232" s="485"/>
      <c r="V232" s="391"/>
    </row>
    <row r="233" spans="2:22" ht="15.75" x14ac:dyDescent="0.25">
      <c r="B233" s="389">
        <v>227</v>
      </c>
      <c r="C233" s="390"/>
      <c r="D233" s="846"/>
      <c r="E233" s="847"/>
      <c r="F233" s="847"/>
      <c r="G233" s="847"/>
      <c r="H233" s="847"/>
      <c r="I233" s="847"/>
      <c r="J233" s="847"/>
      <c r="K233" s="847"/>
      <c r="L233" s="847"/>
      <c r="M233" s="847"/>
      <c r="N233" s="847"/>
      <c r="O233" s="847"/>
      <c r="P233" s="848"/>
      <c r="Q233" s="482"/>
      <c r="R233" s="483"/>
      <c r="S233" s="482"/>
      <c r="T233" s="484"/>
      <c r="U233" s="485"/>
      <c r="V233" s="391"/>
    </row>
    <row r="234" spans="2:22" ht="15" customHeight="1" x14ac:dyDescent="0.25">
      <c r="B234" s="389">
        <v>228</v>
      </c>
      <c r="C234" s="390"/>
      <c r="D234" s="846"/>
      <c r="E234" s="847"/>
      <c r="F234" s="847"/>
      <c r="G234" s="847"/>
      <c r="H234" s="847"/>
      <c r="I234" s="847"/>
      <c r="J234" s="847"/>
      <c r="K234" s="847"/>
      <c r="L234" s="847"/>
      <c r="M234" s="847"/>
      <c r="N234" s="847"/>
      <c r="O234" s="847"/>
      <c r="P234" s="848"/>
      <c r="Q234" s="482"/>
      <c r="R234" s="483"/>
      <c r="S234" s="482"/>
      <c r="T234" s="484"/>
      <c r="U234" s="485"/>
      <c r="V234" s="391"/>
    </row>
    <row r="235" spans="2:22" ht="15" customHeight="1" x14ac:dyDescent="0.25">
      <c r="B235" s="389">
        <v>229</v>
      </c>
      <c r="C235" s="390"/>
      <c r="D235" s="843"/>
      <c r="E235" s="844"/>
      <c r="F235" s="844"/>
      <c r="G235" s="844"/>
      <c r="H235" s="844"/>
      <c r="I235" s="844"/>
      <c r="J235" s="844"/>
      <c r="K235" s="844"/>
      <c r="L235" s="844"/>
      <c r="M235" s="844"/>
      <c r="N235" s="844"/>
      <c r="O235" s="844"/>
      <c r="P235" s="845"/>
      <c r="Q235" s="482"/>
      <c r="R235" s="483"/>
      <c r="S235" s="482"/>
      <c r="T235" s="484"/>
      <c r="U235" s="485"/>
      <c r="V235" s="391"/>
    </row>
    <row r="236" spans="2:22" ht="15" customHeight="1" x14ac:dyDescent="0.25">
      <c r="B236" s="389">
        <v>230</v>
      </c>
      <c r="C236" s="390"/>
      <c r="D236" s="846"/>
      <c r="E236" s="847"/>
      <c r="F236" s="847"/>
      <c r="G236" s="847"/>
      <c r="H236" s="847"/>
      <c r="I236" s="847"/>
      <c r="J236" s="847"/>
      <c r="K236" s="847"/>
      <c r="L236" s="847"/>
      <c r="M236" s="847"/>
      <c r="N236" s="847"/>
      <c r="O236" s="847"/>
      <c r="P236" s="848"/>
      <c r="Q236" s="482"/>
      <c r="R236" s="483"/>
      <c r="S236" s="482"/>
      <c r="T236" s="484"/>
      <c r="U236" s="485"/>
      <c r="V236" s="391"/>
    </row>
    <row r="237" spans="2:22" ht="15" customHeight="1" x14ac:dyDescent="0.25">
      <c r="B237" s="389">
        <v>231</v>
      </c>
      <c r="C237" s="390"/>
      <c r="D237" s="846"/>
      <c r="E237" s="847"/>
      <c r="F237" s="847"/>
      <c r="G237" s="847"/>
      <c r="H237" s="847"/>
      <c r="I237" s="847"/>
      <c r="J237" s="847"/>
      <c r="K237" s="847"/>
      <c r="L237" s="847"/>
      <c r="M237" s="847"/>
      <c r="N237" s="847"/>
      <c r="O237" s="847"/>
      <c r="P237" s="848"/>
      <c r="Q237" s="482"/>
      <c r="R237" s="483"/>
      <c r="S237" s="482"/>
      <c r="T237" s="484"/>
      <c r="U237" s="485"/>
      <c r="V237" s="391"/>
    </row>
    <row r="238" spans="2:22" ht="15" customHeight="1" x14ac:dyDescent="0.25">
      <c r="B238" s="389">
        <v>232</v>
      </c>
      <c r="C238" s="390"/>
      <c r="D238" s="843"/>
      <c r="E238" s="844"/>
      <c r="F238" s="844"/>
      <c r="G238" s="844"/>
      <c r="H238" s="844"/>
      <c r="I238" s="844"/>
      <c r="J238" s="844"/>
      <c r="K238" s="844"/>
      <c r="L238" s="844"/>
      <c r="M238" s="844"/>
      <c r="N238" s="844"/>
      <c r="O238" s="844"/>
      <c r="P238" s="845"/>
      <c r="Q238" s="482"/>
      <c r="R238" s="483"/>
      <c r="S238" s="482"/>
      <c r="T238" s="484"/>
      <c r="U238" s="485"/>
      <c r="V238" s="391"/>
    </row>
    <row r="239" spans="2:22" ht="15.75" x14ac:dyDescent="0.25">
      <c r="B239" s="389">
        <v>233</v>
      </c>
      <c r="C239" s="390"/>
      <c r="D239" s="843"/>
      <c r="E239" s="844"/>
      <c r="F239" s="844"/>
      <c r="G239" s="844"/>
      <c r="H239" s="844"/>
      <c r="I239" s="844"/>
      <c r="J239" s="844"/>
      <c r="K239" s="844"/>
      <c r="L239" s="844"/>
      <c r="M239" s="844"/>
      <c r="N239" s="844"/>
      <c r="O239" s="844"/>
      <c r="P239" s="845"/>
      <c r="Q239" s="482"/>
      <c r="R239" s="483"/>
      <c r="S239" s="482"/>
      <c r="T239" s="484"/>
      <c r="U239" s="485"/>
      <c r="V239" s="391"/>
    </row>
    <row r="240" spans="2:22" ht="15.75" x14ac:dyDescent="0.25">
      <c r="B240" s="389">
        <v>234</v>
      </c>
      <c r="C240" s="390"/>
      <c r="D240" s="843"/>
      <c r="E240" s="844"/>
      <c r="F240" s="844"/>
      <c r="G240" s="844"/>
      <c r="H240" s="844"/>
      <c r="I240" s="844"/>
      <c r="J240" s="844"/>
      <c r="K240" s="844"/>
      <c r="L240" s="844"/>
      <c r="M240" s="844"/>
      <c r="N240" s="844"/>
      <c r="O240" s="844"/>
      <c r="P240" s="845"/>
      <c r="Q240" s="482"/>
      <c r="R240" s="483"/>
      <c r="S240" s="482"/>
      <c r="T240" s="484"/>
      <c r="U240" s="485"/>
      <c r="V240" s="391"/>
    </row>
    <row r="241" spans="2:22" ht="15.75" x14ac:dyDescent="0.25">
      <c r="B241" s="389">
        <v>235</v>
      </c>
      <c r="C241" s="390"/>
      <c r="D241" s="843"/>
      <c r="E241" s="844"/>
      <c r="F241" s="844"/>
      <c r="G241" s="844"/>
      <c r="H241" s="844"/>
      <c r="I241" s="844"/>
      <c r="J241" s="844"/>
      <c r="K241" s="844"/>
      <c r="L241" s="844"/>
      <c r="M241" s="844"/>
      <c r="N241" s="844"/>
      <c r="O241" s="844"/>
      <c r="P241" s="845"/>
      <c r="Q241" s="482"/>
      <c r="R241" s="483"/>
      <c r="S241" s="482"/>
      <c r="T241" s="484"/>
      <c r="U241" s="485"/>
      <c r="V241" s="391"/>
    </row>
    <row r="242" spans="2:22" ht="15.75" x14ac:dyDescent="0.25">
      <c r="B242" s="389">
        <v>236</v>
      </c>
      <c r="C242" s="390"/>
      <c r="D242" s="843"/>
      <c r="E242" s="844"/>
      <c r="F242" s="844"/>
      <c r="G242" s="844"/>
      <c r="H242" s="844"/>
      <c r="I242" s="844"/>
      <c r="J242" s="844"/>
      <c r="K242" s="844"/>
      <c r="L242" s="844"/>
      <c r="M242" s="844"/>
      <c r="N242" s="844"/>
      <c r="O242" s="844"/>
      <c r="P242" s="845"/>
      <c r="Q242" s="482"/>
      <c r="R242" s="483"/>
      <c r="S242" s="482"/>
      <c r="T242" s="484"/>
      <c r="U242" s="485"/>
      <c r="V242" s="391"/>
    </row>
    <row r="243" spans="2:22" ht="15.75" x14ac:dyDescent="0.25">
      <c r="B243" s="389">
        <v>237</v>
      </c>
      <c r="C243" s="390"/>
      <c r="D243" s="843"/>
      <c r="E243" s="844"/>
      <c r="F243" s="844"/>
      <c r="G243" s="844"/>
      <c r="H243" s="844"/>
      <c r="I243" s="844"/>
      <c r="J243" s="844"/>
      <c r="K243" s="844"/>
      <c r="L243" s="844"/>
      <c r="M243" s="844"/>
      <c r="N243" s="844"/>
      <c r="O243" s="844"/>
      <c r="P243" s="845"/>
      <c r="Q243" s="482"/>
      <c r="R243" s="483"/>
      <c r="S243" s="482"/>
      <c r="T243" s="484"/>
      <c r="U243" s="485"/>
      <c r="V243" s="391"/>
    </row>
    <row r="244" spans="2:22" ht="15.75" x14ac:dyDescent="0.25">
      <c r="B244" s="389">
        <v>238</v>
      </c>
      <c r="C244" s="390"/>
      <c r="D244" s="843"/>
      <c r="E244" s="844"/>
      <c r="F244" s="844"/>
      <c r="G244" s="844"/>
      <c r="H244" s="844"/>
      <c r="I244" s="844"/>
      <c r="J244" s="844"/>
      <c r="K244" s="844"/>
      <c r="L244" s="844"/>
      <c r="M244" s="844"/>
      <c r="N244" s="844"/>
      <c r="O244" s="844"/>
      <c r="P244" s="845"/>
      <c r="Q244" s="482"/>
      <c r="R244" s="483"/>
      <c r="S244" s="482"/>
      <c r="T244" s="484"/>
      <c r="U244" s="485"/>
      <c r="V244" s="391"/>
    </row>
    <row r="245" spans="2:22" ht="15.75" x14ac:dyDescent="0.25">
      <c r="B245" s="389">
        <v>239</v>
      </c>
      <c r="C245" s="390"/>
      <c r="D245" s="843"/>
      <c r="E245" s="844"/>
      <c r="F245" s="844"/>
      <c r="G245" s="844"/>
      <c r="H245" s="844"/>
      <c r="I245" s="844"/>
      <c r="J245" s="844"/>
      <c r="K245" s="844"/>
      <c r="L245" s="844"/>
      <c r="M245" s="844"/>
      <c r="N245" s="844"/>
      <c r="O245" s="844"/>
      <c r="P245" s="845"/>
      <c r="Q245" s="482"/>
      <c r="R245" s="483"/>
      <c r="S245" s="482"/>
      <c r="T245" s="484"/>
      <c r="U245" s="485"/>
      <c r="V245" s="391"/>
    </row>
    <row r="246" spans="2:22" ht="15.75" x14ac:dyDescent="0.25">
      <c r="B246" s="389">
        <v>240</v>
      </c>
      <c r="C246" s="390"/>
      <c r="D246" s="843"/>
      <c r="E246" s="844"/>
      <c r="F246" s="844"/>
      <c r="G246" s="844"/>
      <c r="H246" s="844"/>
      <c r="I246" s="844"/>
      <c r="J246" s="844"/>
      <c r="K246" s="844"/>
      <c r="L246" s="844"/>
      <c r="M246" s="844"/>
      <c r="N246" s="844"/>
      <c r="O246" s="844"/>
      <c r="P246" s="845"/>
      <c r="Q246" s="482"/>
      <c r="R246" s="483"/>
      <c r="S246" s="482"/>
      <c r="T246" s="484"/>
      <c r="U246" s="485"/>
      <c r="V246" s="391"/>
    </row>
    <row r="247" spans="2:22" ht="15.75" x14ac:dyDescent="0.25">
      <c r="B247" s="389">
        <v>241</v>
      </c>
      <c r="C247" s="390"/>
      <c r="D247" s="843"/>
      <c r="E247" s="844"/>
      <c r="F247" s="844"/>
      <c r="G247" s="844"/>
      <c r="H247" s="844"/>
      <c r="I247" s="844"/>
      <c r="J247" s="844"/>
      <c r="K247" s="844"/>
      <c r="L247" s="844"/>
      <c r="M247" s="844"/>
      <c r="N247" s="844"/>
      <c r="O247" s="844"/>
      <c r="P247" s="845"/>
      <c r="Q247" s="482"/>
      <c r="R247" s="483"/>
      <c r="S247" s="482"/>
      <c r="T247" s="484"/>
      <c r="U247" s="485"/>
      <c r="V247" s="391"/>
    </row>
    <row r="248" spans="2:22" ht="15.75" x14ac:dyDescent="0.25">
      <c r="B248" s="389">
        <v>242</v>
      </c>
      <c r="C248" s="390"/>
      <c r="D248" s="843"/>
      <c r="E248" s="844"/>
      <c r="F248" s="844"/>
      <c r="G248" s="844"/>
      <c r="H248" s="844"/>
      <c r="I248" s="844"/>
      <c r="J248" s="844"/>
      <c r="K248" s="844"/>
      <c r="L248" s="844"/>
      <c r="M248" s="844"/>
      <c r="N248" s="844"/>
      <c r="O248" s="844"/>
      <c r="P248" s="845"/>
      <c r="Q248" s="482"/>
      <c r="R248" s="483"/>
      <c r="S248" s="482"/>
      <c r="T248" s="484"/>
      <c r="U248" s="485"/>
      <c r="V248" s="391"/>
    </row>
    <row r="249" spans="2:22" ht="15" customHeight="1" x14ac:dyDescent="0.25">
      <c r="B249" s="389">
        <v>243</v>
      </c>
      <c r="C249" s="390"/>
      <c r="D249" s="843"/>
      <c r="E249" s="844"/>
      <c r="F249" s="844"/>
      <c r="G249" s="844"/>
      <c r="H249" s="844"/>
      <c r="I249" s="844"/>
      <c r="J249" s="844"/>
      <c r="K249" s="844"/>
      <c r="L249" s="844"/>
      <c r="M249" s="844"/>
      <c r="N249" s="844"/>
      <c r="O249" s="844"/>
      <c r="P249" s="845"/>
      <c r="Q249" s="482"/>
      <c r="R249" s="483"/>
      <c r="S249" s="482"/>
      <c r="T249" s="484"/>
      <c r="U249" s="485"/>
      <c r="V249" s="391"/>
    </row>
    <row r="250" spans="2:22" ht="15" customHeight="1" x14ac:dyDescent="0.25">
      <c r="B250" s="389">
        <v>244</v>
      </c>
      <c r="C250" s="390"/>
      <c r="D250" s="843"/>
      <c r="E250" s="844"/>
      <c r="F250" s="844"/>
      <c r="G250" s="844"/>
      <c r="H250" s="844"/>
      <c r="I250" s="844"/>
      <c r="J250" s="844"/>
      <c r="K250" s="844"/>
      <c r="L250" s="844"/>
      <c r="M250" s="844"/>
      <c r="N250" s="844"/>
      <c r="O250" s="844"/>
      <c r="P250" s="845"/>
      <c r="Q250" s="482"/>
      <c r="R250" s="483"/>
      <c r="S250" s="482"/>
      <c r="T250" s="484"/>
      <c r="U250" s="485"/>
      <c r="V250" s="391"/>
    </row>
    <row r="251" spans="2:22" ht="15" customHeight="1" x14ac:dyDescent="0.25">
      <c r="B251" s="389">
        <v>245</v>
      </c>
      <c r="C251" s="390"/>
      <c r="D251" s="843"/>
      <c r="E251" s="844"/>
      <c r="F251" s="844"/>
      <c r="G251" s="844"/>
      <c r="H251" s="844"/>
      <c r="I251" s="844"/>
      <c r="J251" s="844"/>
      <c r="K251" s="844"/>
      <c r="L251" s="844"/>
      <c r="M251" s="844"/>
      <c r="N251" s="844"/>
      <c r="O251" s="844"/>
      <c r="P251" s="845"/>
      <c r="Q251" s="482"/>
      <c r="R251" s="483"/>
      <c r="S251" s="482"/>
      <c r="T251" s="484"/>
      <c r="U251" s="485"/>
      <c r="V251" s="391"/>
    </row>
    <row r="252" spans="2:22" ht="15.75" x14ac:dyDescent="0.25">
      <c r="B252" s="389">
        <v>246</v>
      </c>
      <c r="C252" s="390"/>
      <c r="D252" s="843"/>
      <c r="E252" s="844"/>
      <c r="F252" s="844"/>
      <c r="G252" s="844"/>
      <c r="H252" s="844"/>
      <c r="I252" s="844"/>
      <c r="J252" s="844"/>
      <c r="K252" s="844"/>
      <c r="L252" s="844"/>
      <c r="M252" s="844"/>
      <c r="N252" s="844"/>
      <c r="O252" s="844"/>
      <c r="P252" s="845"/>
      <c r="Q252" s="482"/>
      <c r="R252" s="483"/>
      <c r="S252" s="482"/>
      <c r="T252" s="484"/>
      <c r="U252" s="485"/>
      <c r="V252" s="391"/>
    </row>
    <row r="253" spans="2:22" ht="15.75" x14ac:dyDescent="0.25">
      <c r="B253" s="389">
        <v>247</v>
      </c>
      <c r="C253" s="390"/>
      <c r="D253" s="843"/>
      <c r="E253" s="844"/>
      <c r="F253" s="844"/>
      <c r="G253" s="844"/>
      <c r="H253" s="844"/>
      <c r="I253" s="844"/>
      <c r="J253" s="844"/>
      <c r="K253" s="844"/>
      <c r="L253" s="844"/>
      <c r="M253" s="844"/>
      <c r="N253" s="844"/>
      <c r="O253" s="844"/>
      <c r="P253" s="845"/>
      <c r="Q253" s="482"/>
      <c r="R253" s="483"/>
      <c r="S253" s="482"/>
      <c r="T253" s="484"/>
      <c r="U253" s="485"/>
      <c r="V253" s="391"/>
    </row>
    <row r="254" spans="2:22" ht="15" customHeight="1" x14ac:dyDescent="0.25">
      <c r="B254" s="389">
        <v>248</v>
      </c>
      <c r="C254" s="390"/>
      <c r="D254" s="843"/>
      <c r="E254" s="844"/>
      <c r="F254" s="844"/>
      <c r="G254" s="844"/>
      <c r="H254" s="844"/>
      <c r="I254" s="844"/>
      <c r="J254" s="844"/>
      <c r="K254" s="844"/>
      <c r="L254" s="844"/>
      <c r="M254" s="844"/>
      <c r="N254" s="844"/>
      <c r="O254" s="844"/>
      <c r="P254" s="845"/>
      <c r="Q254" s="482"/>
      <c r="R254" s="483"/>
      <c r="S254" s="482"/>
      <c r="T254" s="484"/>
      <c r="U254" s="485"/>
      <c r="V254" s="391"/>
    </row>
    <row r="255" spans="2:22" ht="15" customHeight="1" x14ac:dyDescent="0.25">
      <c r="B255" s="389">
        <v>249</v>
      </c>
      <c r="C255" s="390"/>
      <c r="D255" s="843"/>
      <c r="E255" s="844"/>
      <c r="F255" s="844"/>
      <c r="G255" s="844"/>
      <c r="H255" s="844"/>
      <c r="I255" s="844"/>
      <c r="J255" s="844"/>
      <c r="K255" s="844"/>
      <c r="L255" s="844"/>
      <c r="M255" s="844"/>
      <c r="N255" s="844"/>
      <c r="O255" s="844"/>
      <c r="P255" s="845"/>
      <c r="Q255" s="482"/>
      <c r="R255" s="483"/>
      <c r="S255" s="482"/>
      <c r="T255" s="484"/>
      <c r="U255" s="485"/>
      <c r="V255" s="391"/>
    </row>
    <row r="256" spans="2:22" ht="15" customHeight="1" x14ac:dyDescent="0.25">
      <c r="B256" s="389">
        <v>250</v>
      </c>
      <c r="C256" s="390"/>
      <c r="D256" s="843"/>
      <c r="E256" s="844"/>
      <c r="F256" s="844"/>
      <c r="G256" s="844"/>
      <c r="H256" s="844"/>
      <c r="I256" s="844"/>
      <c r="J256" s="844"/>
      <c r="K256" s="844"/>
      <c r="L256" s="844"/>
      <c r="M256" s="844"/>
      <c r="N256" s="844"/>
      <c r="O256" s="844"/>
      <c r="P256" s="845"/>
      <c r="Q256" s="482"/>
      <c r="R256" s="483"/>
      <c r="S256" s="482"/>
      <c r="T256" s="484"/>
      <c r="U256" s="485"/>
      <c r="V256" s="391"/>
    </row>
    <row r="257" spans="2:24" ht="15" customHeight="1" x14ac:dyDescent="0.25">
      <c r="B257" s="389">
        <v>251</v>
      </c>
      <c r="C257" s="390"/>
      <c r="D257" s="843"/>
      <c r="E257" s="844"/>
      <c r="F257" s="844"/>
      <c r="G257" s="844"/>
      <c r="H257" s="844"/>
      <c r="I257" s="844"/>
      <c r="J257" s="844"/>
      <c r="K257" s="844"/>
      <c r="L257" s="844"/>
      <c r="M257" s="844"/>
      <c r="N257" s="844"/>
      <c r="O257" s="844"/>
      <c r="P257" s="845"/>
      <c r="Q257" s="482"/>
      <c r="R257" s="483"/>
      <c r="S257" s="482"/>
      <c r="T257" s="484"/>
      <c r="U257" s="485"/>
      <c r="V257" s="391"/>
    </row>
    <row r="258" spans="2:24" ht="15" customHeight="1" x14ac:dyDescent="0.25">
      <c r="B258" s="389">
        <v>252</v>
      </c>
      <c r="C258" s="390"/>
      <c r="D258" s="843"/>
      <c r="E258" s="844"/>
      <c r="F258" s="844"/>
      <c r="G258" s="844"/>
      <c r="H258" s="844"/>
      <c r="I258" s="844"/>
      <c r="J258" s="844"/>
      <c r="K258" s="844"/>
      <c r="L258" s="844"/>
      <c r="M258" s="844"/>
      <c r="N258" s="844"/>
      <c r="O258" s="844"/>
      <c r="P258" s="845"/>
      <c r="Q258" s="482"/>
      <c r="R258" s="483"/>
      <c r="S258" s="482"/>
      <c r="T258" s="484"/>
      <c r="U258" s="485"/>
      <c r="V258" s="391"/>
    </row>
    <row r="259" spans="2:24" ht="15" customHeight="1" x14ac:dyDescent="0.25">
      <c r="B259" s="389">
        <v>253</v>
      </c>
      <c r="C259" s="390"/>
      <c r="D259" s="843"/>
      <c r="E259" s="844"/>
      <c r="F259" s="844"/>
      <c r="G259" s="844"/>
      <c r="H259" s="844"/>
      <c r="I259" s="844"/>
      <c r="J259" s="844"/>
      <c r="K259" s="844"/>
      <c r="L259" s="844"/>
      <c r="M259" s="844"/>
      <c r="N259" s="844"/>
      <c r="O259" s="844"/>
      <c r="P259" s="845"/>
      <c r="Q259" s="482"/>
      <c r="R259" s="483"/>
      <c r="S259" s="482"/>
      <c r="T259" s="484"/>
      <c r="U259" s="485"/>
      <c r="V259" s="391"/>
    </row>
    <row r="260" spans="2:24" ht="15" customHeight="1" x14ac:dyDescent="0.25">
      <c r="B260" s="389">
        <v>254</v>
      </c>
      <c r="C260" s="390"/>
      <c r="D260" s="843"/>
      <c r="E260" s="844"/>
      <c r="F260" s="844"/>
      <c r="G260" s="844"/>
      <c r="H260" s="844"/>
      <c r="I260" s="844"/>
      <c r="J260" s="844"/>
      <c r="K260" s="844"/>
      <c r="L260" s="844"/>
      <c r="M260" s="844"/>
      <c r="N260" s="844"/>
      <c r="O260" s="844"/>
      <c r="P260" s="845"/>
      <c r="Q260" s="482"/>
      <c r="R260" s="483"/>
      <c r="S260" s="482"/>
      <c r="T260" s="484"/>
      <c r="U260" s="485"/>
      <c r="V260" s="391"/>
    </row>
    <row r="261" spans="2:24" ht="15" customHeight="1" x14ac:dyDescent="0.25">
      <c r="B261" s="389">
        <v>255</v>
      </c>
      <c r="C261" s="390"/>
      <c r="D261" s="843"/>
      <c r="E261" s="844"/>
      <c r="F261" s="844"/>
      <c r="G261" s="844"/>
      <c r="H261" s="844"/>
      <c r="I261" s="844"/>
      <c r="J261" s="844"/>
      <c r="K261" s="844"/>
      <c r="L261" s="844"/>
      <c r="M261" s="844"/>
      <c r="N261" s="844"/>
      <c r="O261" s="844"/>
      <c r="P261" s="845"/>
      <c r="Q261" s="482"/>
      <c r="R261" s="483"/>
      <c r="S261" s="482"/>
      <c r="T261" s="484"/>
      <c r="U261" s="485"/>
      <c r="V261" s="391"/>
    </row>
    <row r="262" spans="2:24" ht="15" customHeight="1" x14ac:dyDescent="0.25">
      <c r="B262" s="389">
        <v>256</v>
      </c>
      <c r="C262" s="390"/>
      <c r="D262" s="843"/>
      <c r="E262" s="844"/>
      <c r="F262" s="844"/>
      <c r="G262" s="844"/>
      <c r="H262" s="844"/>
      <c r="I262" s="844"/>
      <c r="J262" s="844"/>
      <c r="K262" s="844"/>
      <c r="L262" s="844"/>
      <c r="M262" s="844"/>
      <c r="N262" s="844"/>
      <c r="O262" s="844"/>
      <c r="P262" s="845"/>
      <c r="Q262" s="482"/>
      <c r="R262" s="483"/>
      <c r="S262" s="482"/>
      <c r="T262" s="484"/>
      <c r="U262" s="485"/>
      <c r="V262" s="391"/>
    </row>
    <row r="263" spans="2:24" ht="15" customHeight="1" x14ac:dyDescent="0.25">
      <c r="B263" s="389">
        <v>257</v>
      </c>
      <c r="C263" s="390"/>
      <c r="D263" s="843"/>
      <c r="E263" s="844"/>
      <c r="F263" s="844"/>
      <c r="G263" s="844"/>
      <c r="H263" s="844"/>
      <c r="I263" s="844"/>
      <c r="J263" s="844"/>
      <c r="K263" s="844"/>
      <c r="L263" s="844"/>
      <c r="M263" s="844"/>
      <c r="N263" s="844"/>
      <c r="O263" s="844"/>
      <c r="P263" s="845"/>
      <c r="Q263" s="482"/>
      <c r="R263" s="483"/>
      <c r="S263" s="482"/>
      <c r="T263" s="484"/>
      <c r="U263" s="485"/>
      <c r="V263" s="391"/>
    </row>
    <row r="264" spans="2:24" ht="15.75" x14ac:dyDescent="0.25">
      <c r="B264" s="389">
        <v>258</v>
      </c>
      <c r="C264" s="390"/>
      <c r="D264" s="843"/>
      <c r="E264" s="844"/>
      <c r="F264" s="844"/>
      <c r="G264" s="844"/>
      <c r="H264" s="844"/>
      <c r="I264" s="844"/>
      <c r="J264" s="844"/>
      <c r="K264" s="844"/>
      <c r="L264" s="844"/>
      <c r="M264" s="844"/>
      <c r="N264" s="844"/>
      <c r="O264" s="844"/>
      <c r="P264" s="845"/>
      <c r="Q264" s="482"/>
      <c r="R264" s="483"/>
      <c r="S264" s="482"/>
      <c r="T264" s="484"/>
      <c r="U264" s="485"/>
      <c r="V264" s="391"/>
    </row>
    <row r="265" spans="2:24" ht="15.75" x14ac:dyDescent="0.25">
      <c r="B265" s="389">
        <v>259</v>
      </c>
      <c r="C265" s="390"/>
      <c r="D265" s="846"/>
      <c r="E265" s="847"/>
      <c r="F265" s="847"/>
      <c r="G265" s="847"/>
      <c r="H265" s="847"/>
      <c r="I265" s="847"/>
      <c r="J265" s="847"/>
      <c r="K265" s="847"/>
      <c r="L265" s="847"/>
      <c r="M265" s="847"/>
      <c r="N265" s="847"/>
      <c r="O265" s="847"/>
      <c r="P265" s="848"/>
      <c r="Q265" s="482"/>
      <c r="R265" s="483"/>
      <c r="S265" s="482"/>
      <c r="T265" s="484"/>
      <c r="U265" s="485"/>
      <c r="V265" s="391"/>
      <c r="X265" s="69" t="s">
        <v>1321</v>
      </c>
    </row>
    <row r="266" spans="2:24" ht="15" customHeight="1" x14ac:dyDescent="0.25">
      <c r="B266" s="389">
        <v>260</v>
      </c>
      <c r="C266" s="390"/>
      <c r="D266" s="846"/>
      <c r="E266" s="847"/>
      <c r="F266" s="847"/>
      <c r="G266" s="847"/>
      <c r="H266" s="847"/>
      <c r="I266" s="847"/>
      <c r="J266" s="847"/>
      <c r="K266" s="847"/>
      <c r="L266" s="847"/>
      <c r="M266" s="847"/>
      <c r="N266" s="847"/>
      <c r="O266" s="847"/>
      <c r="P266" s="848"/>
      <c r="Q266" s="482"/>
      <c r="R266" s="483"/>
      <c r="S266" s="482"/>
      <c r="T266" s="484"/>
      <c r="U266" s="485"/>
      <c r="V266" s="391"/>
      <c r="X266" s="69"/>
    </row>
    <row r="267" spans="2:24" ht="15" customHeight="1" x14ac:dyDescent="0.25">
      <c r="B267" s="389">
        <v>261</v>
      </c>
      <c r="C267" s="390"/>
      <c r="D267" s="846"/>
      <c r="E267" s="847"/>
      <c r="F267" s="847"/>
      <c r="G267" s="847"/>
      <c r="H267" s="847"/>
      <c r="I267" s="847"/>
      <c r="J267" s="847"/>
      <c r="K267" s="847"/>
      <c r="L267" s="847"/>
      <c r="M267" s="847"/>
      <c r="N267" s="847"/>
      <c r="O267" s="847"/>
      <c r="P267" s="848"/>
      <c r="Q267" s="482"/>
      <c r="R267" s="483"/>
      <c r="S267" s="482"/>
      <c r="T267" s="484"/>
      <c r="U267" s="485"/>
      <c r="V267" s="391"/>
      <c r="X267" s="69"/>
    </row>
    <row r="268" spans="2:24" ht="15" customHeight="1" x14ac:dyDescent="0.25">
      <c r="B268" s="389">
        <v>262</v>
      </c>
      <c r="C268" s="390"/>
      <c r="D268" s="846"/>
      <c r="E268" s="847"/>
      <c r="F268" s="847"/>
      <c r="G268" s="847"/>
      <c r="H268" s="847"/>
      <c r="I268" s="847"/>
      <c r="J268" s="847"/>
      <c r="K268" s="847"/>
      <c r="L268" s="847"/>
      <c r="M268" s="847"/>
      <c r="N268" s="847"/>
      <c r="O268" s="847"/>
      <c r="P268" s="848"/>
      <c r="Q268" s="482"/>
      <c r="R268" s="483"/>
      <c r="S268" s="482"/>
      <c r="T268" s="484"/>
      <c r="U268" s="485"/>
      <c r="V268" s="391"/>
      <c r="X268" s="69"/>
    </row>
    <row r="269" spans="2:24" ht="15" customHeight="1" x14ac:dyDescent="0.25">
      <c r="B269" s="389">
        <v>263</v>
      </c>
      <c r="C269" s="390"/>
      <c r="D269" s="846"/>
      <c r="E269" s="847"/>
      <c r="F269" s="847"/>
      <c r="G269" s="847"/>
      <c r="H269" s="847"/>
      <c r="I269" s="847"/>
      <c r="J269" s="847"/>
      <c r="K269" s="847"/>
      <c r="L269" s="847"/>
      <c r="M269" s="847"/>
      <c r="N269" s="847"/>
      <c r="O269" s="847"/>
      <c r="P269" s="848"/>
      <c r="Q269" s="482"/>
      <c r="R269" s="483"/>
      <c r="S269" s="482"/>
      <c r="T269" s="484"/>
      <c r="U269" s="485"/>
      <c r="V269" s="391"/>
      <c r="X269" s="69"/>
    </row>
    <row r="270" spans="2:24" ht="15" customHeight="1" x14ac:dyDescent="0.25">
      <c r="B270" s="389">
        <v>264</v>
      </c>
      <c r="C270" s="390"/>
      <c r="D270" s="846"/>
      <c r="E270" s="847"/>
      <c r="F270" s="847"/>
      <c r="G270" s="847"/>
      <c r="H270" s="847"/>
      <c r="I270" s="847"/>
      <c r="J270" s="847"/>
      <c r="K270" s="847"/>
      <c r="L270" s="847"/>
      <c r="M270" s="847"/>
      <c r="N270" s="847"/>
      <c r="O270" s="847"/>
      <c r="P270" s="848"/>
      <c r="Q270" s="482"/>
      <c r="R270" s="483"/>
      <c r="S270" s="482"/>
      <c r="T270" s="484"/>
      <c r="U270" s="485"/>
      <c r="V270" s="391"/>
      <c r="X270" s="69"/>
    </row>
    <row r="271" spans="2:24" ht="15" customHeight="1" x14ac:dyDescent="0.25">
      <c r="B271" s="389">
        <v>265</v>
      </c>
      <c r="C271" s="390"/>
      <c r="D271" s="846"/>
      <c r="E271" s="847"/>
      <c r="F271" s="847"/>
      <c r="G271" s="847"/>
      <c r="H271" s="847"/>
      <c r="I271" s="847"/>
      <c r="J271" s="847"/>
      <c r="K271" s="847"/>
      <c r="L271" s="847"/>
      <c r="M271" s="847"/>
      <c r="N271" s="847"/>
      <c r="O271" s="847"/>
      <c r="P271" s="848"/>
      <c r="Q271" s="482"/>
      <c r="R271" s="483"/>
      <c r="S271" s="482"/>
      <c r="T271" s="484"/>
      <c r="U271" s="485"/>
      <c r="V271" s="391"/>
      <c r="X271" s="69"/>
    </row>
    <row r="272" spans="2:24" ht="15" customHeight="1" x14ac:dyDescent="0.25">
      <c r="B272" s="389">
        <v>266</v>
      </c>
      <c r="C272" s="390"/>
      <c r="D272" s="846"/>
      <c r="E272" s="847"/>
      <c r="F272" s="847"/>
      <c r="G272" s="847"/>
      <c r="H272" s="847"/>
      <c r="I272" s="847"/>
      <c r="J272" s="847"/>
      <c r="K272" s="847"/>
      <c r="L272" s="847"/>
      <c r="M272" s="847"/>
      <c r="N272" s="847"/>
      <c r="O272" s="847"/>
      <c r="P272" s="848"/>
      <c r="Q272" s="482"/>
      <c r="R272" s="483"/>
      <c r="S272" s="482"/>
      <c r="T272" s="484"/>
      <c r="U272" s="485"/>
      <c r="V272" s="391"/>
      <c r="X272" s="69"/>
    </row>
    <row r="273" spans="2:24" ht="15" customHeight="1" x14ac:dyDescent="0.25">
      <c r="B273" s="389">
        <v>267</v>
      </c>
      <c r="C273" s="390"/>
      <c r="D273" s="846"/>
      <c r="E273" s="847"/>
      <c r="F273" s="847"/>
      <c r="G273" s="847"/>
      <c r="H273" s="847"/>
      <c r="I273" s="847"/>
      <c r="J273" s="847"/>
      <c r="K273" s="847"/>
      <c r="L273" s="847"/>
      <c r="M273" s="847"/>
      <c r="N273" s="847"/>
      <c r="O273" s="847"/>
      <c r="P273" s="848"/>
      <c r="Q273" s="482"/>
      <c r="R273" s="483"/>
      <c r="S273" s="482"/>
      <c r="T273" s="484"/>
      <c r="U273" s="485"/>
      <c r="V273" s="391"/>
      <c r="X273" s="69"/>
    </row>
    <row r="274" spans="2:24" ht="15" customHeight="1" x14ac:dyDescent="0.25">
      <c r="B274" s="389">
        <v>268</v>
      </c>
      <c r="C274" s="390"/>
      <c r="D274" s="846"/>
      <c r="E274" s="847"/>
      <c r="F274" s="847"/>
      <c r="G274" s="847"/>
      <c r="H274" s="847"/>
      <c r="I274" s="847"/>
      <c r="J274" s="847"/>
      <c r="K274" s="847"/>
      <c r="L274" s="847"/>
      <c r="M274" s="847"/>
      <c r="N274" s="847"/>
      <c r="O274" s="847"/>
      <c r="P274" s="848"/>
      <c r="Q274" s="482"/>
      <c r="R274" s="483"/>
      <c r="S274" s="482"/>
      <c r="T274" s="484"/>
      <c r="U274" s="485"/>
      <c r="V274" s="391"/>
      <c r="X274" s="69"/>
    </row>
    <row r="275" spans="2:24" ht="15" customHeight="1" x14ac:dyDescent="0.25">
      <c r="B275" s="389">
        <v>269</v>
      </c>
      <c r="C275" s="390"/>
      <c r="D275" s="846"/>
      <c r="E275" s="847"/>
      <c r="F275" s="847"/>
      <c r="G275" s="847"/>
      <c r="H275" s="847"/>
      <c r="I275" s="847"/>
      <c r="J275" s="847"/>
      <c r="K275" s="847"/>
      <c r="L275" s="847"/>
      <c r="M275" s="847"/>
      <c r="N275" s="847"/>
      <c r="O275" s="847"/>
      <c r="P275" s="848"/>
      <c r="Q275" s="482"/>
      <c r="R275" s="483"/>
      <c r="S275" s="482"/>
      <c r="T275" s="484"/>
      <c r="U275" s="485"/>
      <c r="V275" s="391"/>
      <c r="X275" s="69"/>
    </row>
    <row r="276" spans="2:24" ht="15" customHeight="1" x14ac:dyDescent="0.25">
      <c r="B276" s="389">
        <v>270</v>
      </c>
      <c r="C276" s="390"/>
      <c r="D276" s="846"/>
      <c r="E276" s="847"/>
      <c r="F276" s="847"/>
      <c r="G276" s="847"/>
      <c r="H276" s="847"/>
      <c r="I276" s="847"/>
      <c r="J276" s="847"/>
      <c r="K276" s="847"/>
      <c r="L276" s="847"/>
      <c r="M276" s="847"/>
      <c r="N276" s="847"/>
      <c r="O276" s="847"/>
      <c r="P276" s="848"/>
      <c r="Q276" s="482"/>
      <c r="R276" s="483"/>
      <c r="S276" s="482"/>
      <c r="T276" s="484"/>
      <c r="U276" s="485"/>
      <c r="V276" s="391"/>
      <c r="X276" s="69"/>
    </row>
    <row r="277" spans="2:24" ht="15" customHeight="1" x14ac:dyDescent="0.25">
      <c r="B277" s="389">
        <v>271</v>
      </c>
      <c r="C277" s="390"/>
      <c r="D277" s="846"/>
      <c r="E277" s="847"/>
      <c r="F277" s="847"/>
      <c r="G277" s="847"/>
      <c r="H277" s="847"/>
      <c r="I277" s="847"/>
      <c r="J277" s="847"/>
      <c r="K277" s="847"/>
      <c r="L277" s="847"/>
      <c r="M277" s="847"/>
      <c r="N277" s="847"/>
      <c r="O277" s="847"/>
      <c r="P277" s="848"/>
      <c r="Q277" s="482"/>
      <c r="R277" s="483"/>
      <c r="S277" s="482"/>
      <c r="T277" s="484"/>
      <c r="U277" s="485"/>
      <c r="V277" s="391"/>
      <c r="X277" s="69"/>
    </row>
    <row r="278" spans="2:24" ht="15" customHeight="1" x14ac:dyDescent="0.25">
      <c r="B278" s="389">
        <v>272</v>
      </c>
      <c r="C278" s="390"/>
      <c r="D278" s="846"/>
      <c r="E278" s="847"/>
      <c r="F278" s="847"/>
      <c r="G278" s="847"/>
      <c r="H278" s="847"/>
      <c r="I278" s="847"/>
      <c r="J278" s="847"/>
      <c r="K278" s="847"/>
      <c r="L278" s="847"/>
      <c r="M278" s="847"/>
      <c r="N278" s="847"/>
      <c r="O278" s="847"/>
      <c r="P278" s="848"/>
      <c r="Q278" s="482"/>
      <c r="R278" s="483"/>
      <c r="S278" s="482"/>
      <c r="T278" s="484"/>
      <c r="U278" s="485"/>
      <c r="V278" s="391"/>
      <c r="X278" s="69"/>
    </row>
    <row r="279" spans="2:24" ht="15" customHeight="1" x14ac:dyDescent="0.25">
      <c r="B279" s="389">
        <v>273</v>
      </c>
      <c r="C279" s="390"/>
      <c r="D279" s="846"/>
      <c r="E279" s="847"/>
      <c r="F279" s="847"/>
      <c r="G279" s="847"/>
      <c r="H279" s="847"/>
      <c r="I279" s="847"/>
      <c r="J279" s="847"/>
      <c r="K279" s="847"/>
      <c r="L279" s="847"/>
      <c r="M279" s="847"/>
      <c r="N279" s="847"/>
      <c r="O279" s="847"/>
      <c r="P279" s="848"/>
      <c r="Q279" s="482"/>
      <c r="R279" s="483"/>
      <c r="S279" s="482"/>
      <c r="T279" s="484"/>
      <c r="U279" s="485"/>
      <c r="V279" s="391"/>
      <c r="X279" s="69"/>
    </row>
    <row r="280" spans="2:24" ht="15" customHeight="1" x14ac:dyDescent="0.25">
      <c r="B280" s="389">
        <v>274</v>
      </c>
      <c r="C280" s="390"/>
      <c r="D280" s="846"/>
      <c r="E280" s="847"/>
      <c r="F280" s="847"/>
      <c r="G280" s="847"/>
      <c r="H280" s="847"/>
      <c r="I280" s="847"/>
      <c r="J280" s="847"/>
      <c r="K280" s="847"/>
      <c r="L280" s="847"/>
      <c r="M280" s="847"/>
      <c r="N280" s="847"/>
      <c r="O280" s="847"/>
      <c r="P280" s="848"/>
      <c r="Q280" s="482"/>
      <c r="R280" s="483"/>
      <c r="S280" s="482"/>
      <c r="T280" s="484"/>
      <c r="U280" s="485"/>
      <c r="V280" s="391"/>
      <c r="X280" s="69"/>
    </row>
    <row r="281" spans="2:24" ht="15" customHeight="1" x14ac:dyDescent="0.25">
      <c r="B281" s="389">
        <v>275</v>
      </c>
      <c r="C281" s="390"/>
      <c r="D281" s="846"/>
      <c r="E281" s="847"/>
      <c r="F281" s="847"/>
      <c r="G281" s="847"/>
      <c r="H281" s="847"/>
      <c r="I281" s="847"/>
      <c r="J281" s="847"/>
      <c r="K281" s="847"/>
      <c r="L281" s="847"/>
      <c r="M281" s="847"/>
      <c r="N281" s="847"/>
      <c r="O281" s="847"/>
      <c r="P281" s="848"/>
      <c r="Q281" s="482"/>
      <c r="R281" s="483"/>
      <c r="S281" s="482"/>
      <c r="T281" s="484"/>
      <c r="U281" s="485"/>
      <c r="V281" s="391"/>
      <c r="X281" s="69"/>
    </row>
    <row r="282" spans="2:24" ht="15" customHeight="1" x14ac:dyDescent="0.25">
      <c r="B282" s="389">
        <v>276</v>
      </c>
      <c r="C282" s="390"/>
      <c r="D282" s="846"/>
      <c r="E282" s="847"/>
      <c r="F282" s="847"/>
      <c r="G282" s="847"/>
      <c r="H282" s="847"/>
      <c r="I282" s="847"/>
      <c r="J282" s="847"/>
      <c r="K282" s="847"/>
      <c r="L282" s="847"/>
      <c r="M282" s="847"/>
      <c r="N282" s="847"/>
      <c r="O282" s="847"/>
      <c r="P282" s="848"/>
      <c r="Q282" s="482"/>
      <c r="R282" s="483"/>
      <c r="S282" s="482"/>
      <c r="T282" s="484"/>
      <c r="U282" s="485"/>
      <c r="V282" s="391"/>
      <c r="X282" s="69"/>
    </row>
    <row r="283" spans="2:24" ht="15" customHeight="1" x14ac:dyDescent="0.25">
      <c r="B283" s="389">
        <v>277</v>
      </c>
      <c r="C283" s="390"/>
      <c r="D283" s="846"/>
      <c r="E283" s="847"/>
      <c r="F283" s="847"/>
      <c r="G283" s="847"/>
      <c r="H283" s="847"/>
      <c r="I283" s="847"/>
      <c r="J283" s="847"/>
      <c r="K283" s="847"/>
      <c r="L283" s="847"/>
      <c r="M283" s="847"/>
      <c r="N283" s="847"/>
      <c r="O283" s="847"/>
      <c r="P283" s="848"/>
      <c r="Q283" s="482"/>
      <c r="R283" s="483"/>
      <c r="S283" s="482"/>
      <c r="T283" s="484"/>
      <c r="U283" s="485"/>
      <c r="V283" s="391"/>
      <c r="X283" s="69"/>
    </row>
    <row r="284" spans="2:24" ht="15" customHeight="1" x14ac:dyDescent="0.25">
      <c r="B284" s="389">
        <v>278</v>
      </c>
      <c r="C284" s="390"/>
      <c r="D284" s="846"/>
      <c r="E284" s="847"/>
      <c r="F284" s="847"/>
      <c r="G284" s="847"/>
      <c r="H284" s="847"/>
      <c r="I284" s="847"/>
      <c r="J284" s="847"/>
      <c r="K284" s="847"/>
      <c r="L284" s="847"/>
      <c r="M284" s="847"/>
      <c r="N284" s="847"/>
      <c r="O284" s="847"/>
      <c r="P284" s="848"/>
      <c r="Q284" s="482"/>
      <c r="R284" s="483"/>
      <c r="S284" s="482"/>
      <c r="T284" s="484"/>
      <c r="U284" s="485"/>
      <c r="V284" s="391"/>
      <c r="X284" s="69"/>
    </row>
    <row r="285" spans="2:24" ht="15" customHeight="1" x14ac:dyDescent="0.25">
      <c r="B285" s="389">
        <v>279</v>
      </c>
      <c r="C285" s="390"/>
      <c r="D285" s="846"/>
      <c r="E285" s="847"/>
      <c r="F285" s="847"/>
      <c r="G285" s="847"/>
      <c r="H285" s="847"/>
      <c r="I285" s="847"/>
      <c r="J285" s="847"/>
      <c r="K285" s="847"/>
      <c r="L285" s="847"/>
      <c r="M285" s="847"/>
      <c r="N285" s="847"/>
      <c r="O285" s="847"/>
      <c r="P285" s="848"/>
      <c r="Q285" s="482"/>
      <c r="R285" s="483"/>
      <c r="S285" s="482"/>
      <c r="T285" s="484"/>
      <c r="U285" s="485"/>
      <c r="V285" s="391"/>
      <c r="X285" s="69"/>
    </row>
    <row r="286" spans="2:24" ht="15" customHeight="1" x14ac:dyDescent="0.25">
      <c r="B286" s="389">
        <v>280</v>
      </c>
      <c r="C286" s="390"/>
      <c r="D286" s="846"/>
      <c r="E286" s="847"/>
      <c r="F286" s="847"/>
      <c r="G286" s="847"/>
      <c r="H286" s="847"/>
      <c r="I286" s="847"/>
      <c r="J286" s="847"/>
      <c r="K286" s="847"/>
      <c r="L286" s="847"/>
      <c r="M286" s="847"/>
      <c r="N286" s="847"/>
      <c r="O286" s="847"/>
      <c r="P286" s="848"/>
      <c r="Q286" s="482"/>
      <c r="R286" s="483"/>
      <c r="S286" s="482"/>
      <c r="T286" s="484"/>
      <c r="U286" s="485"/>
      <c r="V286" s="391"/>
      <c r="X286" s="69"/>
    </row>
    <row r="287" spans="2:24" ht="15" customHeight="1" x14ac:dyDescent="0.25">
      <c r="B287" s="389">
        <v>281</v>
      </c>
      <c r="C287" s="390"/>
      <c r="D287" s="846"/>
      <c r="E287" s="847"/>
      <c r="F287" s="847"/>
      <c r="G287" s="847"/>
      <c r="H287" s="847"/>
      <c r="I287" s="847"/>
      <c r="J287" s="847"/>
      <c r="K287" s="847"/>
      <c r="L287" s="847"/>
      <c r="M287" s="847"/>
      <c r="N287" s="847"/>
      <c r="O287" s="847"/>
      <c r="P287" s="848"/>
      <c r="Q287" s="482"/>
      <c r="R287" s="483"/>
      <c r="S287" s="482"/>
      <c r="T287" s="484"/>
      <c r="U287" s="485"/>
      <c r="V287" s="391"/>
      <c r="X287" s="69"/>
    </row>
    <row r="288" spans="2:24" ht="15" customHeight="1" x14ac:dyDescent="0.25">
      <c r="B288" s="389">
        <v>282</v>
      </c>
      <c r="C288" s="390"/>
      <c r="D288" s="846"/>
      <c r="E288" s="847"/>
      <c r="F288" s="847"/>
      <c r="G288" s="847"/>
      <c r="H288" s="847"/>
      <c r="I288" s="847"/>
      <c r="J288" s="847"/>
      <c r="K288" s="847"/>
      <c r="L288" s="847"/>
      <c r="M288" s="847"/>
      <c r="N288" s="847"/>
      <c r="O288" s="847"/>
      <c r="P288" s="848"/>
      <c r="Q288" s="482"/>
      <c r="R288" s="483"/>
      <c r="S288" s="482"/>
      <c r="T288" s="484"/>
      <c r="U288" s="485"/>
      <c r="V288" s="391"/>
      <c r="X288" s="69"/>
    </row>
    <row r="289" spans="2:24" ht="15" customHeight="1" x14ac:dyDescent="0.25">
      <c r="B289" s="389">
        <v>283</v>
      </c>
      <c r="C289" s="390"/>
      <c r="D289" s="846"/>
      <c r="E289" s="847"/>
      <c r="F289" s="847"/>
      <c r="G289" s="847"/>
      <c r="H289" s="847"/>
      <c r="I289" s="847"/>
      <c r="J289" s="847"/>
      <c r="K289" s="847"/>
      <c r="L289" s="847"/>
      <c r="M289" s="847"/>
      <c r="N289" s="847"/>
      <c r="O289" s="847"/>
      <c r="P289" s="848"/>
      <c r="Q289" s="482"/>
      <c r="R289" s="483"/>
      <c r="S289" s="482"/>
      <c r="T289" s="484"/>
      <c r="U289" s="485"/>
      <c r="V289" s="391"/>
      <c r="X289" s="69"/>
    </row>
    <row r="290" spans="2:24" ht="15" customHeight="1" x14ac:dyDescent="0.25">
      <c r="B290" s="389">
        <v>284</v>
      </c>
      <c r="C290" s="390"/>
      <c r="D290" s="846"/>
      <c r="E290" s="847"/>
      <c r="F290" s="847"/>
      <c r="G290" s="847"/>
      <c r="H290" s="847"/>
      <c r="I290" s="847"/>
      <c r="J290" s="847"/>
      <c r="K290" s="847"/>
      <c r="L290" s="847"/>
      <c r="M290" s="847"/>
      <c r="N290" s="847"/>
      <c r="O290" s="847"/>
      <c r="P290" s="848"/>
      <c r="Q290" s="482"/>
      <c r="R290" s="483"/>
      <c r="S290" s="482"/>
      <c r="T290" s="484"/>
      <c r="U290" s="485"/>
      <c r="V290" s="391"/>
      <c r="X290" s="69"/>
    </row>
    <row r="291" spans="2:24" ht="15" customHeight="1" x14ac:dyDescent="0.25">
      <c r="B291" s="389">
        <v>285</v>
      </c>
      <c r="C291" s="390"/>
      <c r="D291" s="846"/>
      <c r="E291" s="847"/>
      <c r="F291" s="847"/>
      <c r="G291" s="847"/>
      <c r="H291" s="847"/>
      <c r="I291" s="847"/>
      <c r="J291" s="847"/>
      <c r="K291" s="847"/>
      <c r="L291" s="847"/>
      <c r="M291" s="847"/>
      <c r="N291" s="847"/>
      <c r="O291" s="847"/>
      <c r="P291" s="848"/>
      <c r="Q291" s="482"/>
      <c r="R291" s="483"/>
      <c r="S291" s="482"/>
      <c r="T291" s="484"/>
      <c r="U291" s="485"/>
      <c r="V291" s="391"/>
      <c r="X291" s="69"/>
    </row>
    <row r="292" spans="2:24" ht="15" customHeight="1" x14ac:dyDescent="0.25">
      <c r="B292" s="389">
        <v>286</v>
      </c>
      <c r="C292" s="390"/>
      <c r="D292" s="846"/>
      <c r="E292" s="847"/>
      <c r="F292" s="847"/>
      <c r="G292" s="847"/>
      <c r="H292" s="847"/>
      <c r="I292" s="847"/>
      <c r="J292" s="847"/>
      <c r="K292" s="847"/>
      <c r="L292" s="847"/>
      <c r="M292" s="847"/>
      <c r="N292" s="847"/>
      <c r="O292" s="847"/>
      <c r="P292" s="848"/>
      <c r="Q292" s="482"/>
      <c r="R292" s="483"/>
      <c r="S292" s="482"/>
      <c r="T292" s="484"/>
      <c r="U292" s="485"/>
      <c r="V292" s="391"/>
      <c r="X292" s="69"/>
    </row>
    <row r="293" spans="2:24" ht="15" customHeight="1" x14ac:dyDescent="0.25">
      <c r="B293" s="389">
        <v>287</v>
      </c>
      <c r="C293" s="390"/>
      <c r="D293" s="843"/>
      <c r="E293" s="844"/>
      <c r="F293" s="844"/>
      <c r="G293" s="844"/>
      <c r="H293" s="844"/>
      <c r="I293" s="844"/>
      <c r="J293" s="844"/>
      <c r="K293" s="844"/>
      <c r="L293" s="844"/>
      <c r="M293" s="844"/>
      <c r="N293" s="844"/>
      <c r="O293" s="844"/>
      <c r="P293" s="845"/>
      <c r="Q293" s="482"/>
      <c r="R293" s="483"/>
      <c r="S293" s="482"/>
      <c r="T293" s="484"/>
      <c r="U293" s="485"/>
      <c r="V293" s="391"/>
      <c r="X293" s="69" t="s">
        <v>1322</v>
      </c>
    </row>
    <row r="294" spans="2:24" ht="15" customHeight="1" x14ac:dyDescent="0.25">
      <c r="B294" s="389">
        <v>288</v>
      </c>
      <c r="C294" s="390"/>
      <c r="D294" s="843"/>
      <c r="E294" s="844"/>
      <c r="F294" s="844"/>
      <c r="G294" s="844"/>
      <c r="H294" s="844"/>
      <c r="I294" s="844"/>
      <c r="J294" s="844"/>
      <c r="K294" s="844"/>
      <c r="L294" s="844"/>
      <c r="M294" s="844"/>
      <c r="N294" s="844"/>
      <c r="O294" s="844"/>
      <c r="P294" s="845"/>
      <c r="Q294" s="482"/>
      <c r="R294" s="483"/>
      <c r="S294" s="482"/>
      <c r="T294" s="484"/>
      <c r="U294" s="485"/>
      <c r="V294" s="391"/>
      <c r="X294" s="69"/>
    </row>
    <row r="295" spans="2:24" ht="15" customHeight="1" x14ac:dyDescent="0.25">
      <c r="B295" s="389">
        <v>289</v>
      </c>
      <c r="C295" s="390"/>
      <c r="D295" s="843"/>
      <c r="E295" s="844"/>
      <c r="F295" s="844"/>
      <c r="G295" s="844"/>
      <c r="H295" s="844"/>
      <c r="I295" s="844"/>
      <c r="J295" s="844"/>
      <c r="K295" s="844"/>
      <c r="L295" s="844"/>
      <c r="M295" s="844"/>
      <c r="N295" s="844"/>
      <c r="O295" s="844"/>
      <c r="P295" s="845"/>
      <c r="Q295" s="482"/>
      <c r="R295" s="483"/>
      <c r="S295" s="482"/>
      <c r="T295" s="484"/>
      <c r="U295" s="485"/>
      <c r="V295" s="391"/>
      <c r="X295" s="69"/>
    </row>
    <row r="296" spans="2:24" ht="15" customHeight="1" x14ac:dyDescent="0.25">
      <c r="B296" s="389">
        <v>290</v>
      </c>
      <c r="C296" s="390"/>
      <c r="D296" s="843"/>
      <c r="E296" s="844"/>
      <c r="F296" s="844"/>
      <c r="G296" s="844"/>
      <c r="H296" s="844"/>
      <c r="I296" s="844"/>
      <c r="J296" s="844"/>
      <c r="K296" s="844"/>
      <c r="L296" s="844"/>
      <c r="M296" s="844"/>
      <c r="N296" s="844"/>
      <c r="O296" s="844"/>
      <c r="P296" s="845"/>
      <c r="Q296" s="482"/>
      <c r="R296" s="483"/>
      <c r="S296" s="482"/>
      <c r="T296" s="484"/>
      <c r="U296" s="485"/>
      <c r="V296" s="391"/>
      <c r="X296" s="69"/>
    </row>
    <row r="297" spans="2:24" ht="15" customHeight="1" x14ac:dyDescent="0.25">
      <c r="B297" s="389">
        <v>291</v>
      </c>
      <c r="C297" s="390"/>
      <c r="D297" s="843"/>
      <c r="E297" s="844"/>
      <c r="F297" s="844"/>
      <c r="G297" s="844"/>
      <c r="H297" s="844"/>
      <c r="I297" s="844"/>
      <c r="J297" s="844"/>
      <c r="K297" s="844"/>
      <c r="L297" s="844"/>
      <c r="M297" s="844"/>
      <c r="N297" s="844"/>
      <c r="O297" s="844"/>
      <c r="P297" s="845"/>
      <c r="Q297" s="482"/>
      <c r="R297" s="483"/>
      <c r="S297" s="482"/>
      <c r="T297" s="484"/>
      <c r="U297" s="485"/>
      <c r="V297" s="391"/>
      <c r="X297" s="69"/>
    </row>
    <row r="298" spans="2:24" ht="15" customHeight="1" x14ac:dyDescent="0.25">
      <c r="B298" s="389">
        <v>292</v>
      </c>
      <c r="C298" s="390"/>
      <c r="D298" s="843"/>
      <c r="E298" s="844"/>
      <c r="F298" s="844"/>
      <c r="G298" s="844"/>
      <c r="H298" s="844"/>
      <c r="I298" s="844"/>
      <c r="J298" s="844"/>
      <c r="K298" s="844"/>
      <c r="L298" s="844"/>
      <c r="M298" s="844"/>
      <c r="N298" s="844"/>
      <c r="O298" s="844"/>
      <c r="P298" s="845"/>
      <c r="Q298" s="482"/>
      <c r="R298" s="483"/>
      <c r="S298" s="482"/>
      <c r="T298" s="484"/>
      <c r="U298" s="485"/>
      <c r="V298" s="391"/>
      <c r="X298" s="69"/>
    </row>
    <row r="299" spans="2:24" ht="15" customHeight="1" x14ac:dyDescent="0.25">
      <c r="B299" s="389">
        <v>293</v>
      </c>
      <c r="C299" s="390"/>
      <c r="D299" s="843"/>
      <c r="E299" s="844"/>
      <c r="F299" s="844"/>
      <c r="G299" s="844"/>
      <c r="H299" s="844"/>
      <c r="I299" s="844"/>
      <c r="J299" s="844"/>
      <c r="K299" s="844"/>
      <c r="L299" s="844"/>
      <c r="M299" s="844"/>
      <c r="N299" s="844"/>
      <c r="O299" s="844"/>
      <c r="P299" s="845"/>
      <c r="Q299" s="482"/>
      <c r="R299" s="483"/>
      <c r="S299" s="482"/>
      <c r="T299" s="484"/>
      <c r="U299" s="485"/>
      <c r="V299" s="391"/>
      <c r="X299" s="69"/>
    </row>
    <row r="300" spans="2:24" ht="15" customHeight="1" x14ac:dyDescent="0.25">
      <c r="B300" s="389">
        <v>294</v>
      </c>
      <c r="C300" s="390"/>
      <c r="D300" s="843"/>
      <c r="E300" s="844"/>
      <c r="F300" s="844"/>
      <c r="G300" s="844"/>
      <c r="H300" s="844"/>
      <c r="I300" s="844"/>
      <c r="J300" s="844"/>
      <c r="K300" s="844"/>
      <c r="L300" s="844"/>
      <c r="M300" s="844"/>
      <c r="N300" s="844"/>
      <c r="O300" s="844"/>
      <c r="P300" s="845"/>
      <c r="Q300" s="482"/>
      <c r="R300" s="483"/>
      <c r="S300" s="482"/>
      <c r="T300" s="484"/>
      <c r="U300" s="485"/>
      <c r="V300" s="391"/>
      <c r="X300" s="69"/>
    </row>
    <row r="301" spans="2:24" ht="15" customHeight="1" x14ac:dyDescent="0.25">
      <c r="B301" s="389">
        <v>295</v>
      </c>
      <c r="C301" s="390"/>
      <c r="D301" s="843"/>
      <c r="E301" s="844"/>
      <c r="F301" s="844"/>
      <c r="G301" s="844"/>
      <c r="H301" s="844"/>
      <c r="I301" s="844"/>
      <c r="J301" s="844"/>
      <c r="K301" s="844"/>
      <c r="L301" s="844"/>
      <c r="M301" s="844"/>
      <c r="N301" s="844"/>
      <c r="O301" s="844"/>
      <c r="P301" s="845"/>
      <c r="Q301" s="482"/>
      <c r="R301" s="483"/>
      <c r="S301" s="482"/>
      <c r="T301" s="484"/>
      <c r="U301" s="485"/>
      <c r="V301" s="391"/>
      <c r="X301" s="69"/>
    </row>
    <row r="302" spans="2:24" ht="15" customHeight="1" x14ac:dyDescent="0.25">
      <c r="B302" s="389">
        <v>296</v>
      </c>
      <c r="C302" s="390"/>
      <c r="D302" s="843"/>
      <c r="E302" s="844"/>
      <c r="F302" s="844"/>
      <c r="G302" s="844"/>
      <c r="H302" s="844"/>
      <c r="I302" s="844"/>
      <c r="J302" s="844"/>
      <c r="K302" s="844"/>
      <c r="L302" s="844"/>
      <c r="M302" s="844"/>
      <c r="N302" s="844"/>
      <c r="O302" s="844"/>
      <c r="P302" s="845"/>
      <c r="Q302" s="482"/>
      <c r="R302" s="483"/>
      <c r="S302" s="482"/>
      <c r="T302" s="484"/>
      <c r="U302" s="485"/>
      <c r="V302" s="391"/>
      <c r="X302" s="69"/>
    </row>
    <row r="303" spans="2:24" ht="15" customHeight="1" x14ac:dyDescent="0.25">
      <c r="B303" s="389">
        <v>297</v>
      </c>
      <c r="C303" s="390"/>
      <c r="D303" s="843"/>
      <c r="E303" s="844"/>
      <c r="F303" s="844"/>
      <c r="G303" s="844"/>
      <c r="H303" s="844"/>
      <c r="I303" s="844"/>
      <c r="J303" s="844"/>
      <c r="K303" s="844"/>
      <c r="L303" s="844"/>
      <c r="M303" s="844"/>
      <c r="N303" s="844"/>
      <c r="O303" s="844"/>
      <c r="P303" s="845"/>
      <c r="Q303" s="482"/>
      <c r="R303" s="483"/>
      <c r="S303" s="482"/>
      <c r="T303" s="484"/>
      <c r="U303" s="485"/>
      <c r="V303" s="391"/>
      <c r="X303" s="69"/>
    </row>
    <row r="304" spans="2:24" ht="15" customHeight="1" x14ac:dyDescent="0.25">
      <c r="B304" s="389">
        <v>298</v>
      </c>
      <c r="C304" s="390"/>
      <c r="D304" s="843"/>
      <c r="E304" s="844"/>
      <c r="F304" s="844"/>
      <c r="G304" s="844"/>
      <c r="H304" s="844"/>
      <c r="I304" s="844"/>
      <c r="J304" s="844"/>
      <c r="K304" s="844"/>
      <c r="L304" s="844"/>
      <c r="M304" s="844"/>
      <c r="N304" s="844"/>
      <c r="O304" s="844"/>
      <c r="P304" s="845"/>
      <c r="Q304" s="482"/>
      <c r="R304" s="483"/>
      <c r="S304" s="482"/>
      <c r="T304" s="484"/>
      <c r="U304" s="485"/>
      <c r="V304" s="391"/>
      <c r="X304" s="69"/>
    </row>
    <row r="305" spans="2:25" ht="15" customHeight="1" x14ac:dyDescent="0.25">
      <c r="B305" s="389">
        <v>299</v>
      </c>
      <c r="C305" s="390"/>
      <c r="D305" s="843"/>
      <c r="E305" s="844"/>
      <c r="F305" s="844"/>
      <c r="G305" s="844"/>
      <c r="H305" s="844"/>
      <c r="I305" s="844"/>
      <c r="J305" s="844"/>
      <c r="K305" s="844"/>
      <c r="L305" s="844"/>
      <c r="M305" s="844"/>
      <c r="N305" s="844"/>
      <c r="O305" s="844"/>
      <c r="P305" s="845"/>
      <c r="Q305" s="482"/>
      <c r="R305" s="483"/>
      <c r="S305" s="482"/>
      <c r="T305" s="484"/>
      <c r="U305" s="485"/>
      <c r="V305" s="391"/>
      <c r="X305" s="69"/>
    </row>
    <row r="306" spans="2:25" ht="15" customHeight="1" x14ac:dyDescent="0.25">
      <c r="B306" s="389">
        <v>300</v>
      </c>
      <c r="C306" s="390"/>
      <c r="D306" s="843"/>
      <c r="E306" s="844"/>
      <c r="F306" s="844"/>
      <c r="G306" s="844"/>
      <c r="H306" s="844"/>
      <c r="I306" s="844"/>
      <c r="J306" s="844"/>
      <c r="K306" s="844"/>
      <c r="L306" s="844"/>
      <c r="M306" s="844"/>
      <c r="N306" s="844"/>
      <c r="O306" s="844"/>
      <c r="P306" s="845"/>
      <c r="Q306" s="482"/>
      <c r="R306" s="483"/>
      <c r="S306" s="482"/>
      <c r="T306" s="484"/>
      <c r="U306" s="485"/>
      <c r="V306" s="391"/>
      <c r="X306" s="69"/>
    </row>
    <row r="307" spans="2:25" ht="15" customHeight="1" x14ac:dyDescent="0.25">
      <c r="B307" s="30"/>
      <c r="C307" s="166"/>
      <c r="D307" s="851" t="s">
        <v>1323</v>
      </c>
      <c r="E307" s="852"/>
      <c r="F307" s="852"/>
      <c r="G307" s="852"/>
      <c r="H307" s="852"/>
      <c r="I307" s="852"/>
      <c r="J307" s="852"/>
      <c r="K307" s="852"/>
      <c r="L307" s="852"/>
      <c r="M307" s="852"/>
      <c r="N307" s="852"/>
      <c r="O307" s="852"/>
      <c r="P307" s="853"/>
      <c r="Q307" s="486"/>
      <c r="R307" s="487"/>
      <c r="S307" s="486"/>
      <c r="T307" s="488"/>
      <c r="U307" s="489"/>
      <c r="V307" s="167"/>
      <c r="X307" s="69" t="s">
        <v>767</v>
      </c>
    </row>
    <row r="308" spans="2:25" x14ac:dyDescent="0.25">
      <c r="D308" s="168"/>
      <c r="E308" s="168"/>
      <c r="F308" s="168"/>
      <c r="G308" s="168"/>
      <c r="H308" s="168"/>
      <c r="I308" s="168"/>
      <c r="J308" s="168"/>
      <c r="K308" s="168"/>
      <c r="L308" s="168"/>
      <c r="M308" s="168"/>
      <c r="N308" s="168"/>
      <c r="O308" s="168"/>
      <c r="P308" s="168"/>
      <c r="Q308" s="168"/>
      <c r="R308" s="168"/>
      <c r="S308" s="168"/>
      <c r="T308" s="168"/>
      <c r="X308" s="69" t="s">
        <v>1324</v>
      </c>
    </row>
    <row r="309" spans="2:25" x14ac:dyDescent="0.25">
      <c r="D309" s="168"/>
      <c r="E309" s="168"/>
      <c r="F309" s="168"/>
      <c r="G309" s="168"/>
      <c r="H309" s="168"/>
      <c r="I309" s="168"/>
      <c r="J309" s="168"/>
      <c r="K309" s="168"/>
      <c r="L309" s="168"/>
      <c r="M309" s="168"/>
      <c r="N309" s="168"/>
      <c r="O309" s="168"/>
      <c r="P309" s="168"/>
      <c r="Q309" s="168"/>
      <c r="R309" s="168"/>
      <c r="S309" s="168"/>
      <c r="T309" s="168"/>
      <c r="X309" s="69" t="s">
        <v>1325</v>
      </c>
    </row>
    <row r="310" spans="2:25" x14ac:dyDescent="0.25">
      <c r="X310" s="69" t="s">
        <v>1326</v>
      </c>
      <c r="Y310" s="91"/>
    </row>
    <row r="311" spans="2:25" x14ac:dyDescent="0.25">
      <c r="X311" s="69" t="s">
        <v>1327</v>
      </c>
      <c r="Y311" s="91"/>
    </row>
    <row r="312" spans="2:25" x14ac:dyDescent="0.25">
      <c r="X312" s="69" t="s">
        <v>1328</v>
      </c>
      <c r="Y312" s="91"/>
    </row>
    <row r="313" spans="2:25" x14ac:dyDescent="0.25">
      <c r="X313" s="69" t="s">
        <v>1329</v>
      </c>
      <c r="Y313" s="91"/>
    </row>
    <row r="314" spans="2:25" x14ac:dyDescent="0.25">
      <c r="X314" s="69" t="s">
        <v>1330</v>
      </c>
      <c r="Y314" s="91"/>
    </row>
    <row r="315" spans="2:25" x14ac:dyDescent="0.25">
      <c r="X315" s="69" t="s">
        <v>1331</v>
      </c>
      <c r="Y315" s="91"/>
    </row>
    <row r="316" spans="2:25" x14ac:dyDescent="0.25">
      <c r="X316" s="69" t="s">
        <v>1332</v>
      </c>
      <c r="Y316" s="91"/>
    </row>
    <row r="317" spans="2:25" x14ac:dyDescent="0.25">
      <c r="X317" s="165" t="s">
        <v>1333</v>
      </c>
      <c r="Y317" s="91"/>
    </row>
    <row r="318" spans="2:25" x14ac:dyDescent="0.25">
      <c r="X318" s="165" t="s">
        <v>1334</v>
      </c>
      <c r="Y318" s="91"/>
    </row>
    <row r="319" spans="2:25" x14ac:dyDescent="0.25">
      <c r="X319" s="165" t="s">
        <v>1335</v>
      </c>
      <c r="Y319" s="91"/>
    </row>
    <row r="320" spans="2:25" x14ac:dyDescent="0.25">
      <c r="X320" s="69" t="s">
        <v>784</v>
      </c>
      <c r="Y320" s="91"/>
    </row>
    <row r="321" spans="24:25" x14ac:dyDescent="0.25">
      <c r="X321" s="69" t="s">
        <v>785</v>
      </c>
      <c r="Y321" s="91"/>
    </row>
    <row r="322" spans="24:25" x14ac:dyDescent="0.25">
      <c r="X322" s="69" t="s">
        <v>1336</v>
      </c>
      <c r="Y322" s="91"/>
    </row>
    <row r="323" spans="24:25" x14ac:dyDescent="0.25">
      <c r="X323" s="69" t="s">
        <v>1337</v>
      </c>
      <c r="Y323" s="91"/>
    </row>
    <row r="324" spans="24:25" x14ac:dyDescent="0.25">
      <c r="X324" s="69" t="s">
        <v>1338</v>
      </c>
      <c r="Y324" s="91"/>
    </row>
    <row r="325" spans="24:25" x14ac:dyDescent="0.25">
      <c r="X325" s="69" t="s">
        <v>1339</v>
      </c>
      <c r="Y325" s="91"/>
    </row>
    <row r="326" spans="24:25" x14ac:dyDescent="0.25">
      <c r="X326" s="69" t="s">
        <v>1340</v>
      </c>
      <c r="Y326" s="91"/>
    </row>
    <row r="327" spans="24:25" x14ac:dyDescent="0.25">
      <c r="X327" s="69" t="s">
        <v>1341</v>
      </c>
      <c r="Y327" s="91"/>
    </row>
    <row r="328" spans="24:25" x14ac:dyDescent="0.25">
      <c r="X328" s="69" t="s">
        <v>1342</v>
      </c>
      <c r="Y328" s="91"/>
    </row>
    <row r="329" spans="24:25" x14ac:dyDescent="0.25">
      <c r="X329" s="69" t="s">
        <v>1343</v>
      </c>
      <c r="Y329" s="91"/>
    </row>
    <row r="330" spans="24:25" x14ac:dyDescent="0.25">
      <c r="X330" s="69" t="s">
        <v>1344</v>
      </c>
      <c r="Y330" s="91"/>
    </row>
    <row r="331" spans="24:25" x14ac:dyDescent="0.25">
      <c r="X331" s="69" t="s">
        <v>1345</v>
      </c>
      <c r="Y331" s="91"/>
    </row>
    <row r="332" spans="24:25" x14ac:dyDescent="0.25">
      <c r="X332" s="69" t="s">
        <v>1346</v>
      </c>
      <c r="Y332" s="91"/>
    </row>
    <row r="333" spans="24:25" x14ac:dyDescent="0.25">
      <c r="X333" s="69" t="s">
        <v>1347</v>
      </c>
      <c r="Y333" s="91"/>
    </row>
    <row r="334" spans="24:25" x14ac:dyDescent="0.25">
      <c r="X334" s="165" t="s">
        <v>1348</v>
      </c>
      <c r="Y334" s="91"/>
    </row>
    <row r="335" spans="24:25" x14ac:dyDescent="0.25">
      <c r="X335" s="69" t="s">
        <v>787</v>
      </c>
      <c r="Y335" s="91"/>
    </row>
    <row r="336" spans="24:25" x14ac:dyDescent="0.25">
      <c r="X336" s="69" t="s">
        <v>788</v>
      </c>
      <c r="Y336" s="91"/>
    </row>
    <row r="337" spans="24:25" x14ac:dyDescent="0.25">
      <c r="X337" s="69" t="s">
        <v>1349</v>
      </c>
      <c r="Y337" s="91"/>
    </row>
    <row r="338" spans="24:25" x14ac:dyDescent="0.25">
      <c r="X338" s="69" t="s">
        <v>1350</v>
      </c>
      <c r="Y338" s="91"/>
    </row>
    <row r="339" spans="24:25" x14ac:dyDescent="0.25">
      <c r="X339" s="69" t="s">
        <v>1351</v>
      </c>
      <c r="Y339" s="91"/>
    </row>
    <row r="340" spans="24:25" x14ac:dyDescent="0.25">
      <c r="X340" s="69" t="s">
        <v>790</v>
      </c>
      <c r="Y340" s="91"/>
    </row>
    <row r="341" spans="24:25" x14ac:dyDescent="0.25">
      <c r="X341" s="69" t="s">
        <v>1318</v>
      </c>
      <c r="Y341" s="91"/>
    </row>
    <row r="342" spans="24:25" x14ac:dyDescent="0.25">
      <c r="X342" s="91" t="s">
        <v>1352</v>
      </c>
      <c r="Y342" s="91"/>
    </row>
    <row r="343" spans="24:25" x14ac:dyDescent="0.25">
      <c r="X343" s="165" t="s">
        <v>1353</v>
      </c>
      <c r="Y343" s="91"/>
    </row>
    <row r="344" spans="24:25" x14ac:dyDescent="0.25">
      <c r="X344" s="69" t="s">
        <v>791</v>
      </c>
      <c r="Y344" s="91"/>
    </row>
    <row r="345" spans="24:25" x14ac:dyDescent="0.25">
      <c r="X345" s="69" t="s">
        <v>1354</v>
      </c>
      <c r="Y345" s="91"/>
    </row>
    <row r="346" spans="24:25" x14ac:dyDescent="0.25">
      <c r="X346" s="69" t="s">
        <v>792</v>
      </c>
      <c r="Y346" s="91"/>
    </row>
    <row r="347" spans="24:25" x14ac:dyDescent="0.25">
      <c r="X347" s="69" t="s">
        <v>1355</v>
      </c>
      <c r="Y347" s="91"/>
    </row>
    <row r="348" spans="24:25" x14ac:dyDescent="0.25">
      <c r="X348" s="91" t="s">
        <v>1356</v>
      </c>
      <c r="Y348" s="91"/>
    </row>
    <row r="349" spans="24:25" x14ac:dyDescent="0.25">
      <c r="X349" s="91" t="s">
        <v>1357</v>
      </c>
      <c r="Y349" s="91"/>
    </row>
    <row r="350" spans="24:25" x14ac:dyDescent="0.25">
      <c r="X350" s="91" t="s">
        <v>1358</v>
      </c>
      <c r="Y350" s="91"/>
    </row>
    <row r="351" spans="24:25" x14ac:dyDescent="0.25">
      <c r="X351" s="69" t="s">
        <v>1359</v>
      </c>
      <c r="Y351" s="91"/>
    </row>
    <row r="352" spans="24:25" x14ac:dyDescent="0.25">
      <c r="X352" s="69" t="s">
        <v>1360</v>
      </c>
      <c r="Y352" s="91"/>
    </row>
    <row r="353" spans="24:25" x14ac:dyDescent="0.25">
      <c r="X353" s="69" t="s">
        <v>1361</v>
      </c>
      <c r="Y353" s="91"/>
    </row>
    <row r="354" spans="24:25" x14ac:dyDescent="0.25">
      <c r="X354" s="69" t="s">
        <v>1362</v>
      </c>
      <c r="Y354" s="91"/>
    </row>
    <row r="355" spans="24:25" x14ac:dyDescent="0.25">
      <c r="X355" s="69" t="s">
        <v>1363</v>
      </c>
      <c r="Y355" s="91"/>
    </row>
    <row r="356" spans="24:25" x14ac:dyDescent="0.25">
      <c r="X356" s="69" t="s">
        <v>1364</v>
      </c>
      <c r="Y356" s="91"/>
    </row>
    <row r="357" spans="24:25" x14ac:dyDescent="0.25">
      <c r="X357" s="69" t="s">
        <v>1365</v>
      </c>
      <c r="Y357" s="91"/>
    </row>
    <row r="358" spans="24:25" x14ac:dyDescent="0.25">
      <c r="X358" s="69" t="s">
        <v>1366</v>
      </c>
      <c r="Y358" s="91"/>
    </row>
    <row r="359" spans="24:25" x14ac:dyDescent="0.25">
      <c r="X359" s="69" t="s">
        <v>1367</v>
      </c>
    </row>
  </sheetData>
  <sheetProtection algorithmName="SHA-512" hashValue="nLtcCcwuTi3Ohyk9pSTLa5uLhEe5TomSEZU2kclUY7r25H5doencwn5+F6MW5f//OLLFRl1AMUyQN+1rGHfx5A==" saltValue="ykhLVrxe+P9Rezx+vmbqLw==" spinCount="100000" sheet="1" formatCells="0" formatColumns="0" formatRows="0" insertColumns="0" insertRows="0" insertHyperlinks="0" deleteRows="0"/>
  <mergeCells count="301">
    <mergeCell ref="D302:P302"/>
    <mergeCell ref="D303:P303"/>
    <mergeCell ref="D304:P304"/>
    <mergeCell ref="D305:P305"/>
    <mergeCell ref="D306:P306"/>
    <mergeCell ref="D291:P291"/>
    <mergeCell ref="D292:P292"/>
    <mergeCell ref="D294:P294"/>
    <mergeCell ref="D295:P295"/>
    <mergeCell ref="D296:P296"/>
    <mergeCell ref="D297:P297"/>
    <mergeCell ref="D298:P298"/>
    <mergeCell ref="D299:P299"/>
    <mergeCell ref="D300:P300"/>
    <mergeCell ref="D293:P293"/>
    <mergeCell ref="D283:P283"/>
    <mergeCell ref="D284:P284"/>
    <mergeCell ref="D285:P285"/>
    <mergeCell ref="D286:P286"/>
    <mergeCell ref="D287:P287"/>
    <mergeCell ref="D288:P288"/>
    <mergeCell ref="D289:P289"/>
    <mergeCell ref="D290:P290"/>
    <mergeCell ref="D301:P301"/>
    <mergeCell ref="D274:P274"/>
    <mergeCell ref="D275:P275"/>
    <mergeCell ref="D276:P276"/>
    <mergeCell ref="D277:P277"/>
    <mergeCell ref="D278:P278"/>
    <mergeCell ref="D279:P279"/>
    <mergeCell ref="D280:P280"/>
    <mergeCell ref="D281:P281"/>
    <mergeCell ref="D282:P282"/>
    <mergeCell ref="D258:P258"/>
    <mergeCell ref="D266:P266"/>
    <mergeCell ref="D267:P267"/>
    <mergeCell ref="D268:P268"/>
    <mergeCell ref="D269:P269"/>
    <mergeCell ref="D270:P270"/>
    <mergeCell ref="D271:P271"/>
    <mergeCell ref="D272:P272"/>
    <mergeCell ref="D273:P273"/>
    <mergeCell ref="D249:P249"/>
    <mergeCell ref="D250:P250"/>
    <mergeCell ref="D251:P251"/>
    <mergeCell ref="D252:P252"/>
    <mergeCell ref="D253:P253"/>
    <mergeCell ref="D254:P254"/>
    <mergeCell ref="D255:P255"/>
    <mergeCell ref="D256:P256"/>
    <mergeCell ref="D257:P257"/>
    <mergeCell ref="D144:P144"/>
    <mergeCell ref="D239:P239"/>
    <mergeCell ref="D240:P240"/>
    <mergeCell ref="D241:P241"/>
    <mergeCell ref="D242:P242"/>
    <mergeCell ref="D243:P243"/>
    <mergeCell ref="D244:P244"/>
    <mergeCell ref="D245:P245"/>
    <mergeCell ref="D246:P246"/>
    <mergeCell ref="D203:P203"/>
    <mergeCell ref="D204:P204"/>
    <mergeCell ref="D205:P205"/>
    <mergeCell ref="D191:P191"/>
    <mergeCell ref="D194:P194"/>
    <mergeCell ref="D195:P195"/>
    <mergeCell ref="D196:P196"/>
    <mergeCell ref="D197:P197"/>
    <mergeCell ref="D186:P186"/>
    <mergeCell ref="D187:P187"/>
    <mergeCell ref="D188:P188"/>
    <mergeCell ref="D189:P189"/>
    <mergeCell ref="D190:P190"/>
    <mergeCell ref="D193:P193"/>
    <mergeCell ref="D192:P192"/>
    <mergeCell ref="D135:P135"/>
    <mergeCell ref="D136:P136"/>
    <mergeCell ref="D137:P137"/>
    <mergeCell ref="D138:P138"/>
    <mergeCell ref="D139:P139"/>
    <mergeCell ref="D140:P140"/>
    <mergeCell ref="D141:P141"/>
    <mergeCell ref="D142:P142"/>
    <mergeCell ref="D143:P143"/>
    <mergeCell ref="D126:P126"/>
    <mergeCell ref="D127:P127"/>
    <mergeCell ref="D128:P128"/>
    <mergeCell ref="D129:P129"/>
    <mergeCell ref="D130:P130"/>
    <mergeCell ref="D131:P131"/>
    <mergeCell ref="D132:P132"/>
    <mergeCell ref="D133:P133"/>
    <mergeCell ref="D134:P134"/>
    <mergeCell ref="D117:P117"/>
    <mergeCell ref="D118:P118"/>
    <mergeCell ref="D119:P119"/>
    <mergeCell ref="D120:P120"/>
    <mergeCell ref="D121:P121"/>
    <mergeCell ref="D122:P122"/>
    <mergeCell ref="D123:P123"/>
    <mergeCell ref="D124:P124"/>
    <mergeCell ref="D125:P125"/>
    <mergeCell ref="D108:P108"/>
    <mergeCell ref="D109:P109"/>
    <mergeCell ref="D110:P110"/>
    <mergeCell ref="D111:P111"/>
    <mergeCell ref="D112:P112"/>
    <mergeCell ref="D113:P113"/>
    <mergeCell ref="D114:P114"/>
    <mergeCell ref="D115:P115"/>
    <mergeCell ref="D116:P116"/>
    <mergeCell ref="D99:P99"/>
    <mergeCell ref="D100:P100"/>
    <mergeCell ref="D101:P101"/>
    <mergeCell ref="D102:P102"/>
    <mergeCell ref="D103:P103"/>
    <mergeCell ref="D104:P104"/>
    <mergeCell ref="D105:P105"/>
    <mergeCell ref="D106:P106"/>
    <mergeCell ref="D107:P107"/>
    <mergeCell ref="D90:P90"/>
    <mergeCell ref="D91:P91"/>
    <mergeCell ref="D92:P92"/>
    <mergeCell ref="D93:P93"/>
    <mergeCell ref="D94:P94"/>
    <mergeCell ref="D95:P95"/>
    <mergeCell ref="D96:P96"/>
    <mergeCell ref="D97:P97"/>
    <mergeCell ref="D98:P98"/>
    <mergeCell ref="D81:P81"/>
    <mergeCell ref="D82:P82"/>
    <mergeCell ref="D83:P83"/>
    <mergeCell ref="D84:P84"/>
    <mergeCell ref="D85:P85"/>
    <mergeCell ref="D86:P86"/>
    <mergeCell ref="D87:P87"/>
    <mergeCell ref="D88:P88"/>
    <mergeCell ref="D89:P89"/>
    <mergeCell ref="D72:P72"/>
    <mergeCell ref="D73:P73"/>
    <mergeCell ref="D74:P74"/>
    <mergeCell ref="D75:P75"/>
    <mergeCell ref="D76:P76"/>
    <mergeCell ref="D77:P77"/>
    <mergeCell ref="D78:P78"/>
    <mergeCell ref="D79:P79"/>
    <mergeCell ref="D80:P80"/>
    <mergeCell ref="D63:P63"/>
    <mergeCell ref="D64:P64"/>
    <mergeCell ref="D65:P65"/>
    <mergeCell ref="D66:P66"/>
    <mergeCell ref="D67:P67"/>
    <mergeCell ref="D68:P68"/>
    <mergeCell ref="D69:P69"/>
    <mergeCell ref="D70:P70"/>
    <mergeCell ref="D71:P71"/>
    <mergeCell ref="D307:P307"/>
    <mergeCell ref="D198:P198"/>
    <mergeCell ref="D199:P199"/>
    <mergeCell ref="D200:P200"/>
    <mergeCell ref="D201:P201"/>
    <mergeCell ref="D202:P202"/>
    <mergeCell ref="D206:P206"/>
    <mergeCell ref="D207:P207"/>
    <mergeCell ref="D208:P208"/>
    <mergeCell ref="D209:P209"/>
    <mergeCell ref="D210:P210"/>
    <mergeCell ref="D211:P211"/>
    <mergeCell ref="D212:P212"/>
    <mergeCell ref="D213:P213"/>
    <mergeCell ref="D214:P214"/>
    <mergeCell ref="D215:P215"/>
    <mergeCell ref="D216:P216"/>
    <mergeCell ref="D217:P217"/>
    <mergeCell ref="D218:P218"/>
    <mergeCell ref="D219:P219"/>
    <mergeCell ref="D220:P220"/>
    <mergeCell ref="D221:P221"/>
    <mergeCell ref="D222:P222"/>
    <mergeCell ref="D228:P228"/>
    <mergeCell ref="D181:P181"/>
    <mergeCell ref="D182:P182"/>
    <mergeCell ref="D183:P183"/>
    <mergeCell ref="D184:P184"/>
    <mergeCell ref="D185:P185"/>
    <mergeCell ref="D176:P176"/>
    <mergeCell ref="D177:P177"/>
    <mergeCell ref="D178:P178"/>
    <mergeCell ref="D179:P179"/>
    <mergeCell ref="D180:P180"/>
    <mergeCell ref="D155:P155"/>
    <mergeCell ref="D171:P171"/>
    <mergeCell ref="D172:P172"/>
    <mergeCell ref="D173:P173"/>
    <mergeCell ref="D174:P174"/>
    <mergeCell ref="D175:P175"/>
    <mergeCell ref="D166:P166"/>
    <mergeCell ref="D167:P167"/>
    <mergeCell ref="D168:P168"/>
    <mergeCell ref="D169:P169"/>
    <mergeCell ref="D170:P170"/>
    <mergeCell ref="D161:P161"/>
    <mergeCell ref="D162:P162"/>
    <mergeCell ref="D163:P163"/>
    <mergeCell ref="D164:P164"/>
    <mergeCell ref="D165:P165"/>
    <mergeCell ref="D156:P156"/>
    <mergeCell ref="D157:P157"/>
    <mergeCell ref="D158:P158"/>
    <mergeCell ref="D159:P159"/>
    <mergeCell ref="D160:P160"/>
    <mergeCell ref="D7:P7"/>
    <mergeCell ref="D8:P8"/>
    <mergeCell ref="D9:P9"/>
    <mergeCell ref="D10:P10"/>
    <mergeCell ref="D45:P45"/>
    <mergeCell ref="D51:P51"/>
    <mergeCell ref="D52:P52"/>
    <mergeCell ref="D53:P53"/>
    <mergeCell ref="D46:P46"/>
    <mergeCell ref="D47:P47"/>
    <mergeCell ref="D48:P48"/>
    <mergeCell ref="D49:P49"/>
    <mergeCell ref="D50:P50"/>
    <mergeCell ref="D40:P40"/>
    <mergeCell ref="D41:P41"/>
    <mergeCell ref="D42:P42"/>
    <mergeCell ref="D22:P22"/>
    <mergeCell ref="D23:P23"/>
    <mergeCell ref="D24:P24"/>
    <mergeCell ref="D25:P25"/>
    <mergeCell ref="D26:P26"/>
    <mergeCell ref="D27:P27"/>
    <mergeCell ref="D28:P28"/>
    <mergeCell ref="D33:P33"/>
    <mergeCell ref="D43:P43"/>
    <mergeCell ref="D29:P29"/>
    <mergeCell ref="D30:P30"/>
    <mergeCell ref="D44:P44"/>
    <mergeCell ref="D145:P145"/>
    <mergeCell ref="D151:P151"/>
    <mergeCell ref="D152:P152"/>
    <mergeCell ref="D153:P153"/>
    <mergeCell ref="D154:P154"/>
    <mergeCell ref="D146:P146"/>
    <mergeCell ref="D147:P147"/>
    <mergeCell ref="D148:P148"/>
    <mergeCell ref="D39:P39"/>
    <mergeCell ref="D149:P149"/>
    <mergeCell ref="D150:P150"/>
    <mergeCell ref="D54:P54"/>
    <mergeCell ref="D55:P55"/>
    <mergeCell ref="D56:P56"/>
    <mergeCell ref="D57:P57"/>
    <mergeCell ref="D58:P58"/>
    <mergeCell ref="D59:P59"/>
    <mergeCell ref="D60:P60"/>
    <mergeCell ref="D61:P61"/>
    <mergeCell ref="D62:P62"/>
    <mergeCell ref="D227:P227"/>
    <mergeCell ref="D226:P226"/>
    <mergeCell ref="D225:P225"/>
    <mergeCell ref="D224:P224"/>
    <mergeCell ref="D223:P223"/>
    <mergeCell ref="D265:P265"/>
    <mergeCell ref="D264:P264"/>
    <mergeCell ref="D260:P260"/>
    <mergeCell ref="D261:P261"/>
    <mergeCell ref="D262:P262"/>
    <mergeCell ref="D263:P263"/>
    <mergeCell ref="D238:P238"/>
    <mergeCell ref="D259:P259"/>
    <mergeCell ref="D229:P229"/>
    <mergeCell ref="D230:P230"/>
    <mergeCell ref="D231:P231"/>
    <mergeCell ref="D232:P232"/>
    <mergeCell ref="D233:P233"/>
    <mergeCell ref="D234:P234"/>
    <mergeCell ref="D235:P235"/>
    <mergeCell ref="D236:P236"/>
    <mergeCell ref="D237:P237"/>
    <mergeCell ref="D247:P247"/>
    <mergeCell ref="D248:P248"/>
    <mergeCell ref="D11:P11"/>
    <mergeCell ref="D12:P12"/>
    <mergeCell ref="D13:P13"/>
    <mergeCell ref="D14:P14"/>
    <mergeCell ref="D15:P15"/>
    <mergeCell ref="D16:P16"/>
    <mergeCell ref="D17:P17"/>
    <mergeCell ref="D18:P18"/>
    <mergeCell ref="D19:P19"/>
    <mergeCell ref="D20:P20"/>
    <mergeCell ref="D21:P21"/>
    <mergeCell ref="D31:P31"/>
    <mergeCell ref="D32:P32"/>
    <mergeCell ref="D34:P34"/>
    <mergeCell ref="D35:P35"/>
    <mergeCell ref="D36:P36"/>
    <mergeCell ref="D37:P37"/>
    <mergeCell ref="D38:P38"/>
  </mergeCells>
  <conditionalFormatting sqref="A308:W334 Y308:XFD334 X320:X333 A335:XFD340 Y341:XFD343 A341:W361 Y344:IV361 A362:XFD65636">
    <cfRule type="expression" dxfId="3" priority="4" stopIfTrue="1">
      <formula>AD_Mandatory_fields_check&gt;0</formula>
    </cfRule>
  </conditionalFormatting>
  <conditionalFormatting sqref="X265:X316">
    <cfRule type="expression" dxfId="2" priority="1" stopIfTrue="1">
      <formula>AD_Mandatory_fields_check&gt;0</formula>
    </cfRule>
  </conditionalFormatting>
  <conditionalFormatting sqref="X341:X342">
    <cfRule type="expression" dxfId="1" priority="3" stopIfTrue="1">
      <formula>AD_Mandatory_fields_check&gt;0</formula>
    </cfRule>
  </conditionalFormatting>
  <conditionalFormatting sqref="X344:X359">
    <cfRule type="expression" dxfId="0" priority="2" stopIfTrue="1">
      <formula>AD_Mandatory_fields_check&gt;0</formula>
    </cfRule>
  </conditionalFormatting>
  <dataValidations count="2">
    <dataValidation showInputMessage="1" showErrorMessage="1" errorTitle="BREEAM 2011" error="Invalid data entry, please review." prompt="For the assigned issue, insert the criterion number(s) that the corresponding reference is being used for demonstrating compliance with e.g. 1a, 1b, 3, 7; and, if/where relevant the compliance note title." sqref="T7:T307" xr:uid="{00000000-0002-0000-0400-000000000000}"/>
    <dataValidation type="list" allowBlank="1" showInputMessage="1" showErrorMessage="1" errorTitle="BREEAM 2011" error="Invalid data entry, please review." prompt="Select the relevant BREEAM issue ID from the drop down list that this reference applies to." sqref="R7:R307" xr:uid="{00000000-0002-0000-0400-000001000000}">
      <formula1>AR_credit_list</formula1>
    </dataValidation>
  </dataValidations>
  <printOptions horizontalCentered="1"/>
  <pageMargins left="0.39370078740157483" right="0.39370078740157483" top="0.74803149606299213" bottom="0.39370078740157483" header="0.31496062992125984" footer="0.31496062992125984"/>
  <pageSetup paperSize="9" scale="56" fitToHeight="0" orientation="landscape" errors="blank" r:id="rId1"/>
  <headerFooter>
    <oddHeader>&amp;R&amp;G</oddHeader>
    <oddFooter>&amp;LAssessment References&amp;C&amp;D&amp;RSection 4 - Page &amp;P</oddFooter>
  </headerFooter>
  <drawing r:id="rId2"/>
  <legacy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tint="-0.249977111117893"/>
  </sheetPr>
  <dimension ref="B1:S64"/>
  <sheetViews>
    <sheetView zoomScale="85" zoomScaleNormal="85" workbookViewId="0">
      <selection activeCell="F8" sqref="F8:Q8"/>
    </sheetView>
  </sheetViews>
  <sheetFormatPr defaultColWidth="9.140625" defaultRowHeight="15" x14ac:dyDescent="0.25"/>
  <cols>
    <col min="1" max="1" width="2.7109375" style="1" customWidth="1"/>
    <col min="2" max="2" width="18.5703125" style="1" customWidth="1"/>
    <col min="3" max="3" width="0.5703125" style="1" customWidth="1"/>
    <col min="4" max="4" width="15.7109375" style="1" customWidth="1"/>
    <col min="5" max="5" width="0.5703125" style="1" customWidth="1"/>
    <col min="6" max="16384" width="9.140625" style="1"/>
  </cols>
  <sheetData>
    <row r="1" spans="2:19" s="3" customFormat="1" ht="15" customHeight="1" x14ac:dyDescent="0.25">
      <c r="B1" s="717"/>
      <c r="C1" s="717"/>
      <c r="D1" s="862"/>
      <c r="E1" s="862"/>
      <c r="F1" s="862"/>
      <c r="G1" s="862"/>
      <c r="H1" s="862"/>
      <c r="I1" s="862"/>
      <c r="J1" s="862"/>
      <c r="K1" s="862"/>
      <c r="L1" s="862"/>
      <c r="M1" s="862"/>
      <c r="N1" s="862"/>
    </row>
    <row r="2" spans="2:19" s="3" customFormat="1" ht="36" customHeight="1" x14ac:dyDescent="0.35">
      <c r="B2" s="333" t="str">
        <f>IF(OR(projecttype='Assessment Details'!Z209,projecttype=""),"BREEAM SE New Construction 2017 Assessment Report: Version Control","BREEAM SE Bespoke New Construction 2017 Assessment Report: Version Control")</f>
        <v>BREEAM SE New Construction 2017 Assessment Report: Version Control</v>
      </c>
      <c r="C2" s="333"/>
      <c r="D2" s="334"/>
      <c r="E2" s="334"/>
      <c r="F2" s="334"/>
      <c r="G2" s="334"/>
      <c r="H2" s="334"/>
      <c r="I2" s="334"/>
      <c r="J2" s="334"/>
      <c r="K2" s="334"/>
      <c r="L2" s="334"/>
      <c r="M2" s="334"/>
      <c r="N2" s="334"/>
      <c r="O2" s="334"/>
      <c r="P2" s="334"/>
      <c r="Q2" s="334"/>
      <c r="S2" s="396"/>
    </row>
    <row r="3" spans="2:19" s="3" customFormat="1" ht="15" customHeight="1" x14ac:dyDescent="0.3">
      <c r="B3" s="47"/>
      <c r="C3" s="49"/>
      <c r="D3" s="49"/>
      <c r="E3" s="49"/>
      <c r="F3" s="49"/>
      <c r="G3" s="49"/>
      <c r="H3" s="49"/>
      <c r="I3" s="49"/>
      <c r="J3" s="49"/>
      <c r="K3" s="49"/>
      <c r="L3" s="49"/>
      <c r="M3" s="49"/>
      <c r="N3" s="49"/>
      <c r="S3" s="397"/>
    </row>
    <row r="4" spans="2:19" s="3" customFormat="1" ht="15" customHeight="1" x14ac:dyDescent="0.25">
      <c r="B4" s="335" t="s">
        <v>73</v>
      </c>
      <c r="C4" s="49"/>
      <c r="D4" s="335" t="s">
        <v>1368</v>
      </c>
      <c r="E4" s="49"/>
      <c r="F4" s="222" t="s">
        <v>1369</v>
      </c>
      <c r="G4" s="336"/>
      <c r="H4" s="336"/>
      <c r="I4" s="336"/>
      <c r="J4" s="336"/>
      <c r="K4" s="336"/>
      <c r="L4" s="336"/>
      <c r="M4" s="336"/>
      <c r="N4" s="336"/>
      <c r="O4" s="336"/>
      <c r="P4" s="336"/>
      <c r="Q4" s="336"/>
    </row>
    <row r="5" spans="2:19" s="3" customFormat="1" ht="3" customHeight="1" x14ac:dyDescent="0.25">
      <c r="B5" s="47"/>
      <c r="C5" s="49"/>
      <c r="D5" s="49"/>
      <c r="E5" s="49"/>
      <c r="F5" s="49"/>
      <c r="G5" s="49"/>
      <c r="H5" s="49"/>
      <c r="I5" s="49"/>
      <c r="J5" s="49"/>
      <c r="K5" s="49"/>
      <c r="L5" s="49"/>
      <c r="M5" s="49"/>
      <c r="N5" s="49"/>
    </row>
    <row r="6" spans="2:19" ht="15.75" x14ac:dyDescent="0.25">
      <c r="B6" s="324" t="s">
        <v>1370</v>
      </c>
      <c r="C6" s="335"/>
      <c r="D6" s="335"/>
      <c r="E6" s="335"/>
      <c r="F6" s="335"/>
      <c r="G6" s="335"/>
      <c r="H6" s="335"/>
      <c r="I6" s="335"/>
      <c r="J6" s="335"/>
      <c r="K6" s="335"/>
      <c r="L6" s="335"/>
      <c r="M6" s="335"/>
      <c r="N6" s="335"/>
      <c r="O6" s="335"/>
      <c r="P6" s="335"/>
      <c r="Q6" s="335"/>
    </row>
    <row r="7" spans="2:19" ht="4.5" customHeight="1" x14ac:dyDescent="0.25">
      <c r="B7" s="612"/>
      <c r="C7" s="284"/>
      <c r="D7" s="284"/>
      <c r="E7" s="284"/>
      <c r="F7" s="284"/>
      <c r="G7" s="284"/>
      <c r="H7" s="284"/>
      <c r="I7" s="284"/>
      <c r="J7" s="284"/>
      <c r="K7" s="284"/>
      <c r="L7" s="284"/>
      <c r="M7" s="284"/>
      <c r="N7" s="284"/>
      <c r="O7" s="284"/>
      <c r="P7" s="284"/>
      <c r="Q7" s="284"/>
    </row>
    <row r="8" spans="2:19" ht="24" customHeight="1" x14ac:dyDescent="0.25">
      <c r="B8" s="697" t="s">
        <v>1425</v>
      </c>
      <c r="C8" s="401"/>
      <c r="D8" s="497">
        <v>45166</v>
      </c>
      <c r="F8" s="854" t="s">
        <v>1426</v>
      </c>
      <c r="G8" s="855"/>
      <c r="H8" s="855"/>
      <c r="I8" s="855"/>
      <c r="J8" s="855"/>
      <c r="K8" s="855"/>
      <c r="L8" s="855"/>
      <c r="M8" s="855"/>
      <c r="N8" s="855"/>
      <c r="O8" s="855"/>
      <c r="P8" s="855"/>
      <c r="Q8" s="856"/>
    </row>
    <row r="9" spans="2:19" ht="12" customHeight="1" x14ac:dyDescent="0.25">
      <c r="B9" s="337"/>
      <c r="C9" s="338"/>
      <c r="D9" s="339"/>
      <c r="F9" s="480"/>
      <c r="G9" s="170"/>
      <c r="H9" s="170"/>
      <c r="I9" s="170"/>
      <c r="J9" s="170"/>
      <c r="K9" s="170"/>
      <c r="L9" s="170"/>
      <c r="M9" s="170"/>
      <c r="N9" s="170"/>
      <c r="O9" s="170"/>
      <c r="P9" s="170"/>
      <c r="Q9" s="170"/>
    </row>
    <row r="10" spans="2:19" ht="15.75" x14ac:dyDescent="0.25">
      <c r="B10" s="324" t="s">
        <v>1373</v>
      </c>
      <c r="C10" s="335"/>
      <c r="D10" s="335"/>
      <c r="E10" s="335"/>
      <c r="F10" s="335"/>
      <c r="G10" s="335"/>
      <c r="H10" s="335"/>
      <c r="I10" s="335"/>
      <c r="J10" s="335"/>
      <c r="K10" s="335"/>
      <c r="L10" s="335"/>
      <c r="M10" s="335"/>
      <c r="N10" s="335"/>
      <c r="O10" s="335"/>
      <c r="P10" s="335"/>
      <c r="Q10" s="335"/>
    </row>
    <row r="11" spans="2:19" ht="6.75" customHeight="1" x14ac:dyDescent="0.25">
      <c r="B11" s="612"/>
      <c r="C11" s="284"/>
      <c r="D11" s="284"/>
      <c r="E11" s="284"/>
      <c r="F11" s="284"/>
      <c r="G11" s="284"/>
      <c r="H11" s="284"/>
      <c r="I11" s="284"/>
      <c r="J11" s="284"/>
      <c r="K11" s="284"/>
      <c r="L11" s="284"/>
      <c r="M11" s="284"/>
      <c r="N11" s="284"/>
      <c r="O11" s="284"/>
      <c r="P11" s="284"/>
      <c r="Q11" s="284"/>
    </row>
    <row r="12" spans="2:19" ht="22.5" customHeight="1" x14ac:dyDescent="0.25">
      <c r="B12" s="697" t="s">
        <v>1371</v>
      </c>
      <c r="C12" s="401"/>
      <c r="D12" s="497">
        <v>45078</v>
      </c>
      <c r="F12" s="854" t="s">
        <v>1372</v>
      </c>
      <c r="G12" s="855"/>
      <c r="H12" s="855"/>
      <c r="I12" s="855"/>
      <c r="J12" s="855"/>
      <c r="K12" s="855"/>
      <c r="L12" s="855"/>
      <c r="M12" s="855"/>
      <c r="N12" s="855"/>
      <c r="O12" s="855"/>
      <c r="P12" s="855"/>
      <c r="Q12" s="856"/>
    </row>
    <row r="13" spans="2:19" ht="6" customHeight="1" x14ac:dyDescent="0.25">
      <c r="B13" s="612"/>
      <c r="C13" s="284"/>
      <c r="D13" s="284"/>
      <c r="E13" s="284"/>
      <c r="F13" s="284"/>
      <c r="G13" s="284"/>
      <c r="H13" s="284"/>
      <c r="I13" s="284"/>
      <c r="J13" s="284"/>
      <c r="K13" s="284"/>
      <c r="L13" s="284"/>
      <c r="M13" s="284"/>
      <c r="N13" s="284"/>
      <c r="O13" s="284"/>
      <c r="P13" s="284"/>
      <c r="Q13" s="284"/>
    </row>
    <row r="14" spans="2:19" ht="22.5" customHeight="1" x14ac:dyDescent="0.25">
      <c r="B14" s="697" t="s">
        <v>1374</v>
      </c>
      <c r="C14" s="401"/>
      <c r="D14" s="497">
        <v>44687</v>
      </c>
      <c r="F14" s="854" t="s">
        <v>1375</v>
      </c>
      <c r="G14" s="855"/>
      <c r="H14" s="855"/>
      <c r="I14" s="855"/>
      <c r="J14" s="855"/>
      <c r="K14" s="855"/>
      <c r="L14" s="855"/>
      <c r="M14" s="855"/>
      <c r="N14" s="855"/>
      <c r="O14" s="855"/>
      <c r="P14" s="855"/>
      <c r="Q14" s="856"/>
    </row>
    <row r="15" spans="2:19" ht="6" customHeight="1" x14ac:dyDescent="0.25">
      <c r="B15" s="612"/>
      <c r="C15" s="284"/>
      <c r="D15" s="284"/>
      <c r="E15" s="284"/>
      <c r="F15" s="284"/>
      <c r="G15" s="284"/>
      <c r="H15" s="284"/>
      <c r="I15" s="284"/>
      <c r="J15" s="284"/>
      <c r="K15" s="284"/>
      <c r="L15" s="284"/>
      <c r="M15" s="284"/>
      <c r="N15" s="284"/>
      <c r="O15" s="284"/>
      <c r="P15" s="284"/>
      <c r="Q15" s="284"/>
    </row>
    <row r="16" spans="2:19" ht="22.5" customHeight="1" x14ac:dyDescent="0.25">
      <c r="B16" s="697" t="s">
        <v>1376</v>
      </c>
      <c r="C16" s="401"/>
      <c r="D16" s="497">
        <v>44599</v>
      </c>
      <c r="F16" s="854" t="s">
        <v>1377</v>
      </c>
      <c r="G16" s="855"/>
      <c r="H16" s="855"/>
      <c r="I16" s="855"/>
      <c r="J16" s="855"/>
      <c r="K16" s="855"/>
      <c r="L16" s="855"/>
      <c r="M16" s="855"/>
      <c r="N16" s="855"/>
      <c r="O16" s="855"/>
      <c r="P16" s="855"/>
      <c r="Q16" s="856"/>
    </row>
    <row r="17" spans="2:17" ht="4.5" customHeight="1" x14ac:dyDescent="0.25">
      <c r="B17" s="612"/>
      <c r="C17" s="612"/>
      <c r="D17" s="612"/>
      <c r="E17" s="612"/>
      <c r="F17" s="612"/>
      <c r="G17" s="612"/>
      <c r="H17" s="612"/>
      <c r="I17" s="612"/>
      <c r="J17" s="612"/>
      <c r="K17" s="612"/>
      <c r="L17" s="612"/>
      <c r="M17" s="612"/>
      <c r="N17" s="612"/>
      <c r="O17" s="612"/>
      <c r="P17" s="612"/>
      <c r="Q17" s="612"/>
    </row>
    <row r="18" spans="2:17" ht="22.5" customHeight="1" x14ac:dyDescent="0.25">
      <c r="B18" s="697" t="s">
        <v>1378</v>
      </c>
      <c r="C18" s="401"/>
      <c r="D18" s="497">
        <v>44550</v>
      </c>
      <c r="F18" s="854" t="s">
        <v>1379</v>
      </c>
      <c r="G18" s="855"/>
      <c r="H18" s="855"/>
      <c r="I18" s="855"/>
      <c r="J18" s="855"/>
      <c r="K18" s="855"/>
      <c r="L18" s="855"/>
      <c r="M18" s="855"/>
      <c r="N18" s="855"/>
      <c r="O18" s="855"/>
      <c r="P18" s="855"/>
      <c r="Q18" s="856"/>
    </row>
    <row r="19" spans="2:17" ht="4.5" customHeight="1" x14ac:dyDescent="0.25">
      <c r="B19" s="612"/>
      <c r="C19" s="612"/>
      <c r="D19" s="612"/>
      <c r="E19" s="612"/>
      <c r="F19" s="612"/>
      <c r="G19" s="612"/>
      <c r="H19" s="612"/>
      <c r="I19" s="612"/>
      <c r="J19" s="612"/>
      <c r="K19" s="612"/>
      <c r="L19" s="612"/>
      <c r="M19" s="612"/>
      <c r="N19" s="612"/>
      <c r="O19" s="612"/>
      <c r="P19" s="612"/>
      <c r="Q19" s="612"/>
    </row>
    <row r="20" spans="2:17" ht="28.15" customHeight="1" x14ac:dyDescent="0.25">
      <c r="B20" s="697" t="s">
        <v>1380</v>
      </c>
      <c r="C20" s="401"/>
      <c r="D20" s="497">
        <v>44427</v>
      </c>
      <c r="F20" s="854" t="s">
        <v>1381</v>
      </c>
      <c r="G20" s="855"/>
      <c r="H20" s="855"/>
      <c r="I20" s="855"/>
      <c r="J20" s="855"/>
      <c r="K20" s="855"/>
      <c r="L20" s="855"/>
      <c r="M20" s="855"/>
      <c r="N20" s="855"/>
      <c r="O20" s="855"/>
      <c r="P20" s="855"/>
      <c r="Q20" s="856"/>
    </row>
    <row r="21" spans="2:17" ht="4.5" customHeight="1" x14ac:dyDescent="0.25">
      <c r="B21" s="612"/>
      <c r="C21" s="612"/>
      <c r="D21" s="612"/>
      <c r="E21" s="612"/>
      <c r="F21" s="612"/>
      <c r="G21" s="612"/>
      <c r="H21" s="612"/>
      <c r="I21" s="612"/>
      <c r="J21" s="612"/>
      <c r="K21" s="612"/>
      <c r="L21" s="612"/>
      <c r="M21" s="612"/>
      <c r="N21" s="612"/>
      <c r="O21" s="612"/>
      <c r="P21" s="612"/>
      <c r="Q21" s="612"/>
    </row>
    <row r="22" spans="2:17" ht="28.15" customHeight="1" x14ac:dyDescent="0.25">
      <c r="B22" s="549" t="s">
        <v>1382</v>
      </c>
      <c r="C22" s="401"/>
      <c r="D22" s="497">
        <v>44166</v>
      </c>
      <c r="F22" s="854" t="s">
        <v>1383</v>
      </c>
      <c r="G22" s="855"/>
      <c r="H22" s="855"/>
      <c r="I22" s="855"/>
      <c r="J22" s="855"/>
      <c r="K22" s="855"/>
      <c r="L22" s="855"/>
      <c r="M22" s="855"/>
      <c r="N22" s="855"/>
      <c r="O22" s="855"/>
      <c r="P22" s="855"/>
      <c r="Q22" s="856"/>
    </row>
    <row r="23" spans="2:17" ht="4.5" customHeight="1" x14ac:dyDescent="0.25">
      <c r="B23" s="612"/>
      <c r="C23" s="612"/>
      <c r="D23" s="612"/>
      <c r="E23" s="612"/>
      <c r="F23" s="612"/>
      <c r="G23" s="612"/>
      <c r="H23" s="612"/>
      <c r="I23" s="612"/>
      <c r="J23" s="612"/>
      <c r="K23" s="612"/>
      <c r="L23" s="612"/>
      <c r="M23" s="612"/>
      <c r="N23" s="612"/>
      <c r="O23" s="612"/>
      <c r="P23" s="612"/>
      <c r="Q23" s="612"/>
    </row>
    <row r="24" spans="2:17" ht="28.15" customHeight="1" x14ac:dyDescent="0.25">
      <c r="B24" s="549" t="s">
        <v>1384</v>
      </c>
      <c r="C24" s="401"/>
      <c r="D24" s="497">
        <v>44154</v>
      </c>
      <c r="F24" s="854" t="s">
        <v>1385</v>
      </c>
      <c r="G24" s="855"/>
      <c r="H24" s="855"/>
      <c r="I24" s="855"/>
      <c r="J24" s="855"/>
      <c r="K24" s="855"/>
      <c r="L24" s="855"/>
      <c r="M24" s="855"/>
      <c r="N24" s="855"/>
      <c r="O24" s="855"/>
      <c r="P24" s="855"/>
      <c r="Q24" s="856"/>
    </row>
    <row r="25" spans="2:17" ht="9.75" customHeight="1" x14ac:dyDescent="0.25">
      <c r="B25" s="612"/>
      <c r="C25" s="612"/>
      <c r="D25" s="612"/>
      <c r="E25" s="612"/>
      <c r="F25" s="612"/>
      <c r="G25" s="612"/>
      <c r="H25" s="612"/>
      <c r="I25" s="612"/>
      <c r="J25" s="612"/>
      <c r="K25" s="612"/>
      <c r="L25" s="612"/>
      <c r="M25" s="612"/>
      <c r="N25" s="612"/>
      <c r="O25" s="612"/>
      <c r="P25" s="612"/>
      <c r="Q25" s="612"/>
    </row>
    <row r="26" spans="2:17" ht="27" customHeight="1" x14ac:dyDescent="0.25">
      <c r="B26" s="549" t="s">
        <v>1386</v>
      </c>
      <c r="C26" s="401"/>
      <c r="D26" s="497">
        <v>44132</v>
      </c>
      <c r="F26" s="854" t="s">
        <v>1387</v>
      </c>
      <c r="G26" s="855"/>
      <c r="H26" s="855"/>
      <c r="I26" s="855"/>
      <c r="J26" s="855"/>
      <c r="K26" s="855"/>
      <c r="L26" s="855"/>
      <c r="M26" s="855"/>
      <c r="N26" s="855"/>
      <c r="O26" s="855"/>
      <c r="P26" s="855"/>
      <c r="Q26" s="856"/>
    </row>
    <row r="27" spans="2:17" ht="9.75" customHeight="1" x14ac:dyDescent="0.25">
      <c r="B27" s="612"/>
      <c r="C27" s="612"/>
      <c r="D27" s="612"/>
      <c r="E27" s="612"/>
      <c r="F27" s="612"/>
      <c r="G27" s="612"/>
      <c r="H27" s="612"/>
      <c r="I27" s="612"/>
      <c r="J27" s="612"/>
      <c r="K27" s="612"/>
      <c r="L27" s="612"/>
      <c r="M27" s="612"/>
      <c r="N27" s="612"/>
      <c r="O27" s="612"/>
      <c r="P27" s="612"/>
      <c r="Q27" s="612"/>
    </row>
    <row r="28" spans="2:17" ht="24.75" customHeight="1" x14ac:dyDescent="0.25">
      <c r="B28" s="549" t="s">
        <v>1388</v>
      </c>
      <c r="C28" s="401"/>
      <c r="D28" s="497">
        <v>44120</v>
      </c>
      <c r="F28" s="854" t="s">
        <v>1389</v>
      </c>
      <c r="G28" s="855"/>
      <c r="H28" s="855"/>
      <c r="I28" s="855"/>
      <c r="J28" s="855"/>
      <c r="K28" s="855"/>
      <c r="L28" s="855"/>
      <c r="M28" s="855"/>
      <c r="N28" s="855"/>
      <c r="O28" s="855"/>
      <c r="P28" s="855"/>
      <c r="Q28" s="856"/>
    </row>
    <row r="29" spans="2:17" ht="4.5" customHeight="1" x14ac:dyDescent="0.25">
      <c r="B29" s="612"/>
      <c r="C29" s="612"/>
      <c r="D29" s="612"/>
      <c r="E29" s="612"/>
      <c r="F29" s="612"/>
      <c r="G29" s="612"/>
      <c r="H29" s="612"/>
      <c r="I29" s="612"/>
      <c r="J29" s="612"/>
      <c r="K29" s="612"/>
      <c r="L29" s="612"/>
      <c r="M29" s="612"/>
      <c r="N29" s="612"/>
      <c r="O29" s="612"/>
      <c r="P29" s="612"/>
      <c r="Q29" s="612"/>
    </row>
    <row r="30" spans="2:17" ht="28.5" customHeight="1" x14ac:dyDescent="0.25">
      <c r="B30" s="549" t="s">
        <v>1390</v>
      </c>
      <c r="C30" s="401"/>
      <c r="D30" s="497">
        <v>44118</v>
      </c>
      <c r="F30" s="854" t="s">
        <v>1391</v>
      </c>
      <c r="G30" s="855"/>
      <c r="H30" s="855"/>
      <c r="I30" s="855"/>
      <c r="J30" s="855"/>
      <c r="K30" s="855"/>
      <c r="L30" s="855"/>
      <c r="M30" s="855"/>
      <c r="N30" s="855"/>
      <c r="O30" s="855"/>
      <c r="P30" s="855"/>
      <c r="Q30" s="856"/>
    </row>
    <row r="31" spans="2:17" ht="6" customHeight="1" x14ac:dyDescent="0.25">
      <c r="B31" s="612"/>
      <c r="C31" s="612"/>
      <c r="D31" s="612"/>
      <c r="E31" s="612"/>
      <c r="F31" s="612"/>
      <c r="G31" s="612"/>
      <c r="H31" s="612"/>
      <c r="I31" s="612"/>
      <c r="J31" s="612"/>
      <c r="K31" s="612"/>
      <c r="L31" s="612"/>
      <c r="M31" s="612"/>
      <c r="N31" s="612"/>
      <c r="O31" s="612"/>
      <c r="P31" s="612"/>
      <c r="Q31" s="612"/>
    </row>
    <row r="32" spans="2:17" ht="21.75" customHeight="1" x14ac:dyDescent="0.25">
      <c r="B32" s="549" t="s">
        <v>1392</v>
      </c>
      <c r="C32" s="401"/>
      <c r="D32" s="497">
        <v>44055</v>
      </c>
      <c r="F32" s="854" t="s">
        <v>1393</v>
      </c>
      <c r="G32" s="855"/>
      <c r="H32" s="855"/>
      <c r="I32" s="855"/>
      <c r="J32" s="855"/>
      <c r="K32" s="855"/>
      <c r="L32" s="855"/>
      <c r="M32" s="855"/>
      <c r="N32" s="855"/>
      <c r="O32" s="855"/>
      <c r="P32" s="855"/>
      <c r="Q32" s="856"/>
    </row>
    <row r="33" spans="2:17" ht="6" customHeight="1" x14ac:dyDescent="0.25">
      <c r="B33" s="612"/>
      <c r="C33" s="612"/>
      <c r="D33" s="612"/>
      <c r="E33" s="612"/>
      <c r="F33" s="612"/>
      <c r="G33" s="612"/>
      <c r="H33" s="612"/>
      <c r="I33" s="612"/>
      <c r="J33" s="612"/>
      <c r="K33" s="612"/>
      <c r="L33" s="612"/>
      <c r="M33" s="612"/>
      <c r="N33" s="612"/>
      <c r="O33" s="612"/>
      <c r="P33" s="612"/>
      <c r="Q33" s="612"/>
    </row>
    <row r="34" spans="2:17" ht="25.5" customHeight="1" x14ac:dyDescent="0.25">
      <c r="B34" s="549" t="s">
        <v>1394</v>
      </c>
      <c r="C34" s="401"/>
      <c r="D34" s="497">
        <v>43955</v>
      </c>
      <c r="F34" s="854" t="s">
        <v>1395</v>
      </c>
      <c r="G34" s="855"/>
      <c r="H34" s="855"/>
      <c r="I34" s="855"/>
      <c r="J34" s="855"/>
      <c r="K34" s="855"/>
      <c r="L34" s="855"/>
      <c r="M34" s="855"/>
      <c r="N34" s="855"/>
      <c r="O34" s="855"/>
      <c r="P34" s="855"/>
      <c r="Q34" s="856"/>
    </row>
    <row r="35" spans="2:17" ht="6" customHeight="1" x14ac:dyDescent="0.25">
      <c r="B35" s="612"/>
      <c r="C35" s="612"/>
      <c r="D35" s="612"/>
      <c r="E35" s="612"/>
      <c r="F35" s="612"/>
      <c r="G35" s="612"/>
      <c r="H35" s="612"/>
      <c r="I35" s="612"/>
      <c r="J35" s="612"/>
      <c r="K35" s="612"/>
      <c r="L35" s="612"/>
      <c r="M35" s="612"/>
      <c r="N35" s="612"/>
      <c r="O35" s="612"/>
      <c r="P35" s="612"/>
      <c r="Q35" s="612"/>
    </row>
    <row r="36" spans="2:17" ht="27.75" customHeight="1" x14ac:dyDescent="0.25">
      <c r="B36" s="549" t="s">
        <v>1396</v>
      </c>
      <c r="C36" s="401"/>
      <c r="D36" s="497">
        <v>43802</v>
      </c>
      <c r="F36" s="854" t="s">
        <v>1397</v>
      </c>
      <c r="G36" s="860"/>
      <c r="H36" s="860"/>
      <c r="I36" s="860"/>
      <c r="J36" s="860"/>
      <c r="K36" s="860"/>
      <c r="L36" s="860"/>
      <c r="M36" s="860"/>
      <c r="N36" s="860"/>
      <c r="O36" s="860"/>
      <c r="P36" s="860"/>
      <c r="Q36" s="861"/>
    </row>
    <row r="37" spans="2:17" ht="4.5" customHeight="1" x14ac:dyDescent="0.25">
      <c r="B37" s="612"/>
      <c r="C37" s="284"/>
      <c r="D37" s="284"/>
      <c r="E37" s="284"/>
      <c r="F37" s="284"/>
      <c r="G37" s="284"/>
      <c r="H37" s="284"/>
      <c r="I37" s="284"/>
      <c r="J37" s="284"/>
      <c r="K37" s="284"/>
      <c r="L37" s="284"/>
      <c r="M37" s="284"/>
      <c r="N37" s="284"/>
      <c r="O37" s="284"/>
      <c r="P37" s="284"/>
      <c r="Q37" s="284"/>
    </row>
    <row r="38" spans="2:17" ht="28.35" customHeight="1" x14ac:dyDescent="0.25">
      <c r="B38" s="549" t="s">
        <v>1398</v>
      </c>
      <c r="C38" s="401"/>
      <c r="D38" s="497">
        <v>43775</v>
      </c>
      <c r="F38" s="854" t="s">
        <v>1399</v>
      </c>
      <c r="G38" s="855"/>
      <c r="H38" s="855"/>
      <c r="I38" s="855"/>
      <c r="J38" s="855"/>
      <c r="K38" s="855"/>
      <c r="L38" s="855"/>
      <c r="M38" s="855"/>
      <c r="N38" s="855"/>
      <c r="O38" s="855"/>
      <c r="P38" s="855"/>
      <c r="Q38" s="856"/>
    </row>
    <row r="39" spans="2:17" ht="4.5" customHeight="1" x14ac:dyDescent="0.25">
      <c r="B39" s="612"/>
      <c r="C39" s="284"/>
      <c r="D39" s="284"/>
      <c r="E39" s="284"/>
      <c r="F39" s="284"/>
      <c r="G39" s="284"/>
      <c r="H39" s="284"/>
      <c r="I39" s="284"/>
      <c r="J39" s="284"/>
      <c r="K39" s="284"/>
      <c r="L39" s="284"/>
      <c r="M39" s="284"/>
      <c r="N39" s="284"/>
      <c r="O39" s="284"/>
      <c r="P39" s="284"/>
      <c r="Q39" s="284"/>
    </row>
    <row r="40" spans="2:17" ht="28.35" customHeight="1" x14ac:dyDescent="0.25">
      <c r="B40" s="549" t="s">
        <v>1400</v>
      </c>
      <c r="C40" s="401"/>
      <c r="D40" s="497">
        <v>43641</v>
      </c>
      <c r="F40" s="854" t="s">
        <v>1401</v>
      </c>
      <c r="G40" s="855"/>
      <c r="H40" s="855"/>
      <c r="I40" s="855"/>
      <c r="J40" s="855"/>
      <c r="K40" s="855"/>
      <c r="L40" s="855"/>
      <c r="M40" s="855"/>
      <c r="N40" s="855"/>
      <c r="O40" s="855"/>
      <c r="P40" s="855"/>
      <c r="Q40" s="856"/>
    </row>
    <row r="41" spans="2:17" ht="4.5" customHeight="1" x14ac:dyDescent="0.25">
      <c r="B41" s="612"/>
      <c r="C41" s="284"/>
      <c r="D41" s="284"/>
      <c r="E41" s="284"/>
      <c r="F41" s="284"/>
      <c r="G41" s="284"/>
      <c r="H41" s="284"/>
      <c r="I41" s="284"/>
      <c r="J41" s="284"/>
      <c r="K41" s="284"/>
      <c r="L41" s="284"/>
      <c r="M41" s="284"/>
      <c r="N41" s="284"/>
      <c r="O41" s="284"/>
      <c r="P41" s="284"/>
      <c r="Q41" s="284"/>
    </row>
    <row r="42" spans="2:17" ht="28.15" customHeight="1" x14ac:dyDescent="0.25">
      <c r="B42" s="549" t="s">
        <v>1402</v>
      </c>
      <c r="C42" s="401"/>
      <c r="D42" s="497">
        <v>43601</v>
      </c>
      <c r="F42" s="854" t="s">
        <v>1403</v>
      </c>
      <c r="G42" s="855"/>
      <c r="H42" s="855"/>
      <c r="I42" s="855"/>
      <c r="J42" s="855"/>
      <c r="K42" s="855"/>
      <c r="L42" s="855"/>
      <c r="M42" s="855"/>
      <c r="N42" s="855"/>
      <c r="O42" s="855"/>
      <c r="P42" s="855"/>
      <c r="Q42" s="856"/>
    </row>
    <row r="43" spans="2:17" ht="4.5" customHeight="1" x14ac:dyDescent="0.25">
      <c r="B43" s="612"/>
      <c r="C43" s="284"/>
      <c r="D43" s="284"/>
      <c r="E43" s="284"/>
      <c r="F43" s="284"/>
      <c r="G43" s="284"/>
      <c r="H43" s="284"/>
      <c r="I43" s="284"/>
      <c r="J43" s="284"/>
      <c r="K43" s="284"/>
      <c r="L43" s="284"/>
      <c r="M43" s="284"/>
      <c r="N43" s="284"/>
      <c r="O43" s="284"/>
      <c r="P43" s="284"/>
      <c r="Q43" s="284"/>
    </row>
    <row r="44" spans="2:17" ht="28.15" customHeight="1" x14ac:dyDescent="0.25">
      <c r="B44" s="549" t="s">
        <v>1404</v>
      </c>
      <c r="C44" s="401"/>
      <c r="D44" s="497">
        <v>43542</v>
      </c>
      <c r="F44" s="854" t="s">
        <v>1405</v>
      </c>
      <c r="G44" s="855"/>
      <c r="H44" s="855"/>
      <c r="I44" s="855"/>
      <c r="J44" s="855"/>
      <c r="K44" s="855"/>
      <c r="L44" s="855"/>
      <c r="M44" s="855"/>
      <c r="N44" s="855"/>
      <c r="O44" s="855"/>
      <c r="P44" s="855"/>
      <c r="Q44" s="856"/>
    </row>
    <row r="45" spans="2:17" ht="4.5" customHeight="1" x14ac:dyDescent="0.25">
      <c r="B45" s="612"/>
      <c r="C45" s="284"/>
      <c r="D45" s="284"/>
      <c r="E45" s="284"/>
      <c r="F45" s="284"/>
      <c r="G45" s="284"/>
      <c r="H45" s="284"/>
      <c r="I45" s="284"/>
      <c r="J45" s="284"/>
      <c r="K45" s="284"/>
      <c r="L45" s="284"/>
      <c r="M45" s="284"/>
      <c r="N45" s="284"/>
      <c r="O45" s="284"/>
      <c r="P45" s="284"/>
      <c r="Q45" s="284"/>
    </row>
    <row r="46" spans="2:17" ht="28.15" customHeight="1" x14ac:dyDescent="0.25">
      <c r="B46" s="549" t="s">
        <v>1406</v>
      </c>
      <c r="C46" s="401"/>
      <c r="D46" s="497">
        <v>43514</v>
      </c>
      <c r="F46" s="854" t="s">
        <v>1407</v>
      </c>
      <c r="G46" s="855"/>
      <c r="H46" s="855"/>
      <c r="I46" s="855"/>
      <c r="J46" s="855"/>
      <c r="K46" s="855"/>
      <c r="L46" s="855"/>
      <c r="M46" s="855"/>
      <c r="N46" s="855"/>
      <c r="O46" s="855"/>
      <c r="P46" s="855"/>
      <c r="Q46" s="856"/>
    </row>
    <row r="47" spans="2:17" ht="4.5" customHeight="1" x14ac:dyDescent="0.25">
      <c r="B47" s="612"/>
      <c r="C47" s="284"/>
      <c r="D47" s="284"/>
      <c r="E47" s="284"/>
      <c r="F47" s="284"/>
      <c r="G47" s="284"/>
      <c r="H47" s="284"/>
      <c r="I47" s="284"/>
      <c r="J47" s="284"/>
      <c r="K47" s="284"/>
      <c r="L47" s="284"/>
      <c r="M47" s="284"/>
      <c r="N47" s="284"/>
      <c r="O47" s="284"/>
      <c r="P47" s="284"/>
      <c r="Q47" s="284"/>
    </row>
    <row r="48" spans="2:17" ht="28.15" customHeight="1" x14ac:dyDescent="0.25">
      <c r="B48" s="549" t="s">
        <v>1408</v>
      </c>
      <c r="C48" s="401"/>
      <c r="D48" s="497">
        <v>43448</v>
      </c>
      <c r="F48" s="854" t="s">
        <v>1409</v>
      </c>
      <c r="G48" s="855"/>
      <c r="H48" s="855"/>
      <c r="I48" s="855"/>
      <c r="J48" s="855"/>
      <c r="K48" s="855"/>
      <c r="L48" s="855"/>
      <c r="M48" s="855"/>
      <c r="N48" s="855"/>
      <c r="O48" s="855"/>
      <c r="P48" s="855"/>
      <c r="Q48" s="856"/>
    </row>
    <row r="49" spans="2:17" ht="4.5" customHeight="1" x14ac:dyDescent="0.25">
      <c r="B49" s="612"/>
      <c r="C49" s="284"/>
      <c r="D49" s="284"/>
      <c r="E49" s="284"/>
      <c r="F49" s="284"/>
      <c r="G49" s="284"/>
      <c r="H49" s="284"/>
      <c r="I49" s="284"/>
      <c r="J49" s="284"/>
      <c r="K49" s="284"/>
      <c r="L49" s="284"/>
      <c r="M49" s="284"/>
      <c r="N49" s="284"/>
      <c r="O49" s="284"/>
      <c r="P49" s="284"/>
      <c r="Q49" s="284"/>
    </row>
    <row r="50" spans="2:17" ht="70.900000000000006" customHeight="1" x14ac:dyDescent="0.25">
      <c r="B50" s="549" t="s">
        <v>1410</v>
      </c>
      <c r="C50" s="401"/>
      <c r="D50" s="497">
        <v>43291</v>
      </c>
      <c r="F50" s="857" t="s">
        <v>1411</v>
      </c>
      <c r="G50" s="858"/>
      <c r="H50" s="858"/>
      <c r="I50" s="858"/>
      <c r="J50" s="858"/>
      <c r="K50" s="858"/>
      <c r="L50" s="858"/>
      <c r="M50" s="858"/>
      <c r="N50" s="858"/>
      <c r="O50" s="858"/>
      <c r="P50" s="858"/>
      <c r="Q50" s="859"/>
    </row>
    <row r="51" spans="2:17" ht="4.5" customHeight="1" x14ac:dyDescent="0.25">
      <c r="B51" s="612"/>
      <c r="C51" s="284"/>
      <c r="D51" s="284"/>
      <c r="E51" s="284"/>
      <c r="F51" s="284"/>
      <c r="G51" s="284"/>
      <c r="H51" s="284"/>
      <c r="I51" s="284"/>
      <c r="J51" s="284"/>
      <c r="K51" s="284"/>
      <c r="L51" s="284"/>
      <c r="M51" s="284"/>
      <c r="N51" s="284"/>
      <c r="O51" s="284"/>
      <c r="P51" s="284"/>
      <c r="Q51" s="284"/>
    </row>
    <row r="52" spans="2:17" ht="46.15" customHeight="1" x14ac:dyDescent="0.25">
      <c r="B52" s="549" t="s">
        <v>1412</v>
      </c>
      <c r="C52" s="401"/>
      <c r="D52" s="497">
        <v>43222</v>
      </c>
      <c r="F52" s="857" t="s">
        <v>1413</v>
      </c>
      <c r="G52" s="858"/>
      <c r="H52" s="858"/>
      <c r="I52" s="858"/>
      <c r="J52" s="858"/>
      <c r="K52" s="858"/>
      <c r="L52" s="858"/>
      <c r="M52" s="858"/>
      <c r="N52" s="858"/>
      <c r="O52" s="858"/>
      <c r="P52" s="858"/>
      <c r="Q52" s="859"/>
    </row>
    <row r="53" spans="2:17" ht="4.5" customHeight="1" x14ac:dyDescent="0.25">
      <c r="B53" s="612"/>
      <c r="C53" s="284"/>
      <c r="D53" s="284"/>
      <c r="E53" s="284"/>
      <c r="F53" s="284"/>
      <c r="G53" s="284"/>
      <c r="H53" s="284"/>
      <c r="I53" s="284"/>
      <c r="J53" s="284"/>
      <c r="K53" s="284"/>
      <c r="L53" s="284"/>
      <c r="M53" s="284"/>
      <c r="N53" s="284"/>
      <c r="O53" s="284"/>
      <c r="P53" s="284"/>
      <c r="Q53" s="284"/>
    </row>
    <row r="54" spans="2:17" ht="15.75" x14ac:dyDescent="0.25">
      <c r="B54" s="549" t="s">
        <v>1414</v>
      </c>
      <c r="C54" s="401"/>
      <c r="D54" s="497" t="s">
        <v>1415</v>
      </c>
      <c r="F54" s="857" t="s">
        <v>1416</v>
      </c>
      <c r="G54" s="858"/>
      <c r="H54" s="858"/>
      <c r="I54" s="858"/>
      <c r="J54" s="858"/>
      <c r="K54" s="858"/>
      <c r="L54" s="858"/>
      <c r="M54" s="858"/>
      <c r="N54" s="858"/>
      <c r="O54" s="858"/>
      <c r="P54" s="858"/>
      <c r="Q54" s="859"/>
    </row>
    <row r="55" spans="2:17" ht="3" customHeight="1" x14ac:dyDescent="0.25">
      <c r="B55" s="612"/>
      <c r="C55" s="284"/>
      <c r="D55" s="284"/>
      <c r="E55" s="284"/>
      <c r="F55" s="284"/>
      <c r="G55" s="284"/>
      <c r="H55" s="284"/>
      <c r="I55" s="284"/>
      <c r="J55" s="284"/>
      <c r="K55" s="284"/>
      <c r="L55" s="284"/>
      <c r="M55" s="284"/>
      <c r="N55" s="284"/>
      <c r="O55" s="284"/>
      <c r="P55" s="284"/>
      <c r="Q55" s="284"/>
    </row>
    <row r="56" spans="2:17" ht="28.9" customHeight="1" x14ac:dyDescent="0.25">
      <c r="B56" s="549" t="s">
        <v>1417</v>
      </c>
      <c r="C56" s="401"/>
      <c r="D56" s="497">
        <v>43153</v>
      </c>
      <c r="F56" s="857" t="s">
        <v>1418</v>
      </c>
      <c r="G56" s="858"/>
      <c r="H56" s="858"/>
      <c r="I56" s="858"/>
      <c r="J56" s="858"/>
      <c r="K56" s="858"/>
      <c r="L56" s="858"/>
      <c r="M56" s="858"/>
      <c r="N56" s="858"/>
      <c r="O56" s="858"/>
      <c r="P56" s="858"/>
      <c r="Q56" s="859"/>
    </row>
    <row r="57" spans="2:17" ht="3" customHeight="1" x14ac:dyDescent="0.25">
      <c r="B57" s="337"/>
      <c r="C57" s="338"/>
      <c r="D57" s="339"/>
      <c r="F57" s="480"/>
      <c r="G57" s="170"/>
      <c r="H57" s="170"/>
      <c r="I57" s="170"/>
      <c r="J57" s="170"/>
      <c r="K57" s="170"/>
      <c r="L57" s="170"/>
      <c r="M57" s="170"/>
      <c r="N57" s="170"/>
      <c r="O57" s="170"/>
      <c r="P57" s="170"/>
      <c r="Q57" s="170"/>
    </row>
    <row r="58" spans="2:17" ht="15.75" x14ac:dyDescent="0.25">
      <c r="B58" s="549" t="s">
        <v>1419</v>
      </c>
      <c r="C58" s="401"/>
      <c r="D58" s="497">
        <v>43129</v>
      </c>
      <c r="F58" s="857" t="s">
        <v>1420</v>
      </c>
      <c r="G58" s="858"/>
      <c r="H58" s="858"/>
      <c r="I58" s="858"/>
      <c r="J58" s="858"/>
      <c r="K58" s="858"/>
      <c r="L58" s="858"/>
      <c r="M58" s="858"/>
      <c r="N58" s="858"/>
      <c r="O58" s="858"/>
      <c r="P58" s="858"/>
      <c r="Q58" s="859"/>
    </row>
    <row r="59" spans="2:17" ht="3" customHeight="1" x14ac:dyDescent="0.25">
      <c r="B59" s="337"/>
      <c r="C59" s="338"/>
      <c r="D59" s="339"/>
      <c r="F59" s="480"/>
      <c r="G59" s="170"/>
      <c r="H59" s="170"/>
      <c r="I59" s="170"/>
      <c r="J59" s="170"/>
      <c r="K59" s="170"/>
      <c r="L59" s="170"/>
      <c r="M59" s="170"/>
      <c r="N59" s="170"/>
      <c r="O59" s="170"/>
      <c r="P59" s="170"/>
      <c r="Q59" s="170"/>
    </row>
    <row r="60" spans="2:17" ht="15.75" x14ac:dyDescent="0.25">
      <c r="B60" s="549" t="s">
        <v>1421</v>
      </c>
      <c r="C60" s="401"/>
      <c r="D60" s="497">
        <v>43077</v>
      </c>
      <c r="F60" s="857" t="s">
        <v>1422</v>
      </c>
      <c r="G60" s="858"/>
      <c r="H60" s="858"/>
      <c r="I60" s="858"/>
      <c r="J60" s="858"/>
      <c r="K60" s="858"/>
      <c r="L60" s="858"/>
      <c r="M60" s="858"/>
      <c r="N60" s="858"/>
      <c r="O60" s="858"/>
      <c r="P60" s="858"/>
      <c r="Q60" s="859"/>
    </row>
    <row r="61" spans="2:17" ht="3" customHeight="1" x14ac:dyDescent="0.25">
      <c r="B61" s="337"/>
      <c r="C61" s="338"/>
      <c r="D61" s="339"/>
      <c r="F61" s="480"/>
      <c r="G61" s="170"/>
      <c r="H61" s="170"/>
      <c r="I61" s="170"/>
      <c r="J61" s="170"/>
      <c r="K61" s="170"/>
      <c r="L61" s="170"/>
      <c r="M61" s="170"/>
      <c r="N61" s="170"/>
      <c r="O61" s="170"/>
      <c r="P61" s="170"/>
      <c r="Q61" s="170"/>
    </row>
    <row r="62" spans="2:17" ht="15.75" x14ac:dyDescent="0.25">
      <c r="B62" s="549" t="s">
        <v>1423</v>
      </c>
      <c r="C62" s="401"/>
      <c r="D62" s="497">
        <v>43062</v>
      </c>
      <c r="F62" s="854" t="s">
        <v>1424</v>
      </c>
      <c r="G62" s="855"/>
      <c r="H62" s="855"/>
      <c r="I62" s="855"/>
      <c r="J62" s="855"/>
      <c r="K62" s="855"/>
      <c r="L62" s="855"/>
      <c r="M62" s="855"/>
      <c r="N62" s="855"/>
      <c r="O62" s="855"/>
      <c r="P62" s="855"/>
      <c r="Q62" s="856"/>
    </row>
    <row r="63" spans="2:17" ht="3" customHeight="1" x14ac:dyDescent="0.25">
      <c r="B63" s="612"/>
      <c r="C63" s="284"/>
      <c r="D63" s="284"/>
      <c r="E63" s="284"/>
      <c r="F63" s="284"/>
      <c r="G63" s="284"/>
      <c r="H63" s="284"/>
      <c r="I63" s="284"/>
      <c r="J63" s="284"/>
      <c r="K63" s="284"/>
      <c r="L63" s="284"/>
      <c r="M63" s="284"/>
      <c r="N63" s="284"/>
      <c r="O63" s="284"/>
      <c r="P63" s="284"/>
      <c r="Q63" s="284"/>
    </row>
    <row r="64" spans="2:17" x14ac:dyDescent="0.25">
      <c r="B64" s="180"/>
      <c r="C64" s="180"/>
      <c r="D64" s="180"/>
    </row>
  </sheetData>
  <sheetProtection algorithmName="SHA-512" hashValue="imtSqWPMGjzZhwssfjAOpqkEiI40ADIZ4dS1JadNpCihBhLNI6ojFe83miA5T6c0G/ooinzGIaA48+r7JshBFw==" saltValue="npnRRng3haWArNqxGKagjw==" spinCount="100000" sheet="1" selectLockedCells="1" selectUnlockedCells="1"/>
  <mergeCells count="28">
    <mergeCell ref="F12:Q12"/>
    <mergeCell ref="F14:Q14"/>
    <mergeCell ref="B1:N1"/>
    <mergeCell ref="F8:Q8"/>
    <mergeCell ref="F28:Q28"/>
    <mergeCell ref="F26:Q26"/>
    <mergeCell ref="F16:Q16"/>
    <mergeCell ref="F18:Q18"/>
    <mergeCell ref="F20:Q20"/>
    <mergeCell ref="F22:Q22"/>
    <mergeCell ref="F24:Q24"/>
    <mergeCell ref="F62:Q62"/>
    <mergeCell ref="F60:Q60"/>
    <mergeCell ref="F58:Q58"/>
    <mergeCell ref="F56:Q56"/>
    <mergeCell ref="F54:Q54"/>
    <mergeCell ref="F42:Q42"/>
    <mergeCell ref="F38:Q38"/>
    <mergeCell ref="F30:Q30"/>
    <mergeCell ref="F52:Q52"/>
    <mergeCell ref="F50:Q50"/>
    <mergeCell ref="F48:Q48"/>
    <mergeCell ref="F46:Q46"/>
    <mergeCell ref="F44:Q44"/>
    <mergeCell ref="F40:Q40"/>
    <mergeCell ref="F36:Q36"/>
    <mergeCell ref="F34:Q34"/>
    <mergeCell ref="F32:Q3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1473441-0bf0-4270-ae54-6e5b2654d3e7">
      <Terms xmlns="http://schemas.microsoft.com/office/infopath/2007/PartnerControls"/>
    </lcf76f155ced4ddcb4097134ff3c332f>
    <TaxCatchAll xmlns="90e3d82b-c9a9-4d69-99af-1ab8b304f42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C37E62BD058AD4FB1012BA1650790E7" ma:contentTypeVersion="18" ma:contentTypeDescription="Skapa ett nytt dokument." ma:contentTypeScope="" ma:versionID="4f4bb1f21b5c40c42298d13a835c72b2">
  <xsd:schema xmlns:xsd="http://www.w3.org/2001/XMLSchema" xmlns:xs="http://www.w3.org/2001/XMLSchema" xmlns:p="http://schemas.microsoft.com/office/2006/metadata/properties" xmlns:ns2="90e3d82b-c9a9-4d69-99af-1ab8b304f427" xmlns:ns3="91473441-0bf0-4270-ae54-6e5b2654d3e7" targetNamespace="http://schemas.microsoft.com/office/2006/metadata/properties" ma:root="true" ma:fieldsID="1af5d4a84be91840df38bba06b4bc525" ns2:_="" ns3:_="">
    <xsd:import namespace="90e3d82b-c9a9-4d69-99af-1ab8b304f427"/>
    <xsd:import namespace="91473441-0bf0-4270-ae54-6e5b2654d3e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e3d82b-c9a9-4d69-99af-1ab8b304f427"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element name="TaxCatchAll" ma:index="22" nillable="true" ma:displayName="Taxonomy Catch All Column" ma:hidden="true" ma:list="{0ba17fba-3d2f-4de1-a42c-c2b81ec2c6ee}" ma:internalName="TaxCatchAll" ma:showField="CatchAllData" ma:web="90e3d82b-c9a9-4d69-99af-1ab8b304f42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1473441-0bf0-4270-ae54-6e5b2654d3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eringar" ma:readOnly="false" ma:fieldId="{5cf76f15-5ced-4ddc-b409-7134ff3c332f}" ma:taxonomyMulti="true" ma:sspId="13b77a04-2888-4969-ade0-f2a39ad62c8d"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83B844-409D-4381-A97A-6DF1A484C6BA}">
  <ds:schemaRefs>
    <ds:schemaRef ds:uri="http://www.w3.org/XML/1998/namespace"/>
    <ds:schemaRef ds:uri="http://schemas.microsoft.com/office/2006/documentManagement/types"/>
    <ds:schemaRef ds:uri="http://schemas.microsoft.com/office/2006/metadata/properties"/>
    <ds:schemaRef ds:uri="91473441-0bf0-4270-ae54-6e5b2654d3e7"/>
    <ds:schemaRef ds:uri="http://purl.org/dc/dcmitype/"/>
    <ds:schemaRef ds:uri="http://purl.org/dc/terms/"/>
    <ds:schemaRef ds:uri="http://schemas.openxmlformats.org/package/2006/metadata/core-properties"/>
    <ds:schemaRef ds:uri="http://purl.org/dc/elements/1.1/"/>
    <ds:schemaRef ds:uri="http://schemas.microsoft.com/office/infopath/2007/PartnerControls"/>
    <ds:schemaRef ds:uri="90e3d82b-c9a9-4d69-99af-1ab8b304f427"/>
  </ds:schemaRefs>
</ds:datastoreItem>
</file>

<file path=customXml/itemProps2.xml><?xml version="1.0" encoding="utf-8"?>
<ds:datastoreItem xmlns:ds="http://schemas.openxmlformats.org/officeDocument/2006/customXml" ds:itemID="{1E354AF4-429E-471B-852C-3A8DFFFF2E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e3d82b-c9a9-4d69-99af-1ab8b304f427"/>
    <ds:schemaRef ds:uri="91473441-0bf0-4270-ae54-6e5b2654d3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8500F8-1AAC-4985-AC77-33DC8D5644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1883</vt:i4>
      </vt:variant>
    </vt:vector>
  </HeadingPairs>
  <TitlesOfParts>
    <vt:vector size="1889" baseType="lpstr">
      <vt:lpstr>Assessment Details</vt:lpstr>
      <vt:lpstr>Assessment Rating &amp; KPIs</vt:lpstr>
      <vt:lpstr>Assessment Issue Scoring</vt:lpstr>
      <vt:lpstr>Assessment Data</vt:lpstr>
      <vt:lpstr>Assessment References</vt:lpstr>
      <vt:lpstr>Version Control</vt:lpstr>
      <vt:lpstr>_ene01</vt:lpstr>
      <vt:lpstr>_Man01</vt:lpstr>
      <vt:lpstr>_Pol02</vt:lpstr>
      <vt:lpstr>AD_Add01</vt:lpstr>
      <vt:lpstr>AD_Add02</vt:lpstr>
      <vt:lpstr>AD_Add03</vt:lpstr>
      <vt:lpstr>AD_Add04</vt:lpstr>
      <vt:lpstr>AD_Air</vt:lpstr>
      <vt:lpstr>AD_Air_con</vt:lpstr>
      <vt:lpstr>AD_Aircon_list</vt:lpstr>
      <vt:lpstr>AD_Architect</vt:lpstr>
      <vt:lpstr>AD_assessor</vt:lpstr>
      <vt:lpstr>AD_Assessor_org</vt:lpstr>
      <vt:lpstr>AD_Banner</vt:lpstr>
      <vt:lpstr>AD_BREEAM_stage</vt:lpstr>
      <vt:lpstr>AD_BREEAM_version</vt:lpstr>
      <vt:lpstr>AD_BREEAMAP</vt:lpstr>
      <vt:lpstr>AD_Buildserve</vt:lpstr>
      <vt:lpstr>AD_Builduser</vt:lpstr>
      <vt:lpstr>AD_catleve</vt:lpstr>
      <vt:lpstr>AD_catlevel</vt:lpstr>
      <vt:lpstr>AD_catlevel01</vt:lpstr>
      <vt:lpstr>AD_catlevel02</vt:lpstr>
      <vt:lpstr>AD_catlevel03</vt:lpstr>
      <vt:lpstr>AD_catlevel1</vt:lpstr>
      <vt:lpstr>AD_client</vt:lpstr>
      <vt:lpstr>AD_climate</vt:lpstr>
      <vt:lpstr>AD_comfort_cool</vt:lpstr>
      <vt:lpstr>AD_Contractor</vt:lpstr>
      <vt:lpstr>AD_control_none</vt:lpstr>
      <vt:lpstr>AD_control_other</vt:lpstr>
      <vt:lpstr>AD_control_standard</vt:lpstr>
      <vt:lpstr>AD_controls</vt:lpstr>
      <vt:lpstr>AD_controls_list</vt:lpstr>
      <vt:lpstr>AD_cool</vt:lpstr>
      <vt:lpstr>AD_Cool_other</vt:lpstr>
      <vt:lpstr>AD_Country</vt:lpstr>
      <vt:lpstr>AD_country_list</vt:lpstr>
      <vt:lpstr>AD_County</vt:lpstr>
      <vt:lpstr>AD_Developer</vt:lpstr>
      <vt:lpstr>AD_DHWS</vt:lpstr>
      <vt:lpstr>AD_ene03_opt</vt:lpstr>
      <vt:lpstr>AD_ene03_select</vt:lpstr>
      <vt:lpstr>AD_England</vt:lpstr>
      <vt:lpstr>AD_GIA</vt:lpstr>
      <vt:lpstr>AD_HCoption_YesNo_list</vt:lpstr>
      <vt:lpstr>AD_heat</vt:lpstr>
      <vt:lpstr>AD_Heat_None</vt:lpstr>
      <vt:lpstr>AD_Heat_other</vt:lpstr>
      <vt:lpstr>AD_heating_list</vt:lpstr>
      <vt:lpstr>AD_hotwater_list</vt:lpstr>
      <vt:lpstr>AD_HW_central</vt:lpstr>
      <vt:lpstr>AD_HW_None</vt:lpstr>
      <vt:lpstr>AD_HW_Other</vt:lpstr>
      <vt:lpstr>AD_HW_POU</vt:lpstr>
      <vt:lpstr>AD_INDoption_YesNo_list</vt:lpstr>
      <vt:lpstr>AD_labcat_list</vt:lpstr>
      <vt:lpstr>AD_Labsize</vt:lpstr>
      <vt:lpstr>AD_Labsize_list</vt:lpstr>
      <vt:lpstr>AD_Labsize01</vt:lpstr>
      <vt:lpstr>AD_Labsize02</vt:lpstr>
      <vt:lpstr>AD_Labsize03</vt:lpstr>
      <vt:lpstr>AD_labsize04</vt:lpstr>
      <vt:lpstr>AD_Large_urban</vt:lpstr>
      <vt:lpstr>AD_Location</vt:lpstr>
      <vt:lpstr>AD_location_list</vt:lpstr>
      <vt:lpstr>AD_London</vt:lpstr>
      <vt:lpstr>AD_mandatory_fields</vt:lpstr>
      <vt:lpstr>AD_Mandatory_fields_check</vt:lpstr>
      <vt:lpstr>AD_Mandatory_fields_text</vt:lpstr>
      <vt:lpstr>AD_med_urban</vt:lpstr>
      <vt:lpstr>AD_Met</vt:lpstr>
      <vt:lpstr>AD_MultiRes_option_YesNo</vt:lpstr>
      <vt:lpstr>AD_MultiRes_option01</vt:lpstr>
      <vt:lpstr>AD_MultiRes_option01a</vt:lpstr>
      <vt:lpstr>AD_MultiRes_option01b</vt:lpstr>
      <vt:lpstr>AD_MultiRes_option02</vt:lpstr>
      <vt:lpstr>AD_NIFA</vt:lpstr>
      <vt:lpstr>AD_no</vt:lpstr>
      <vt:lpstr>AD_nolab</vt:lpstr>
      <vt:lpstr>AD_none</vt:lpstr>
      <vt:lpstr>AD_Norther_Ireland</vt:lpstr>
      <vt:lpstr>AD_option_na</vt:lpstr>
      <vt:lpstr>AD_Other01</vt:lpstr>
      <vt:lpstr>AD_Other02</vt:lpstr>
      <vt:lpstr>AD_other03</vt:lpstr>
      <vt:lpstr>AD_Other04</vt:lpstr>
      <vt:lpstr>AD_percentage</vt:lpstr>
      <vt:lpstr>AD_project_list</vt:lpstr>
      <vt:lpstr>AD_Projman</vt:lpstr>
      <vt:lpstr>AD_ref</vt:lpstr>
      <vt:lpstr>AD_refrig</vt:lpstr>
      <vt:lpstr>AD_rural</vt:lpstr>
      <vt:lpstr>AD_scheme</vt:lpstr>
      <vt:lpstr>AD_SchIss</vt:lpstr>
      <vt:lpstr>AD_SDNo_list</vt:lpstr>
      <vt:lpstr>AD_Shell_Only</vt:lpstr>
      <vt:lpstr>AD_small_urban</vt:lpstr>
      <vt:lpstr>AD_smallmed_urban</vt:lpstr>
      <vt:lpstr>AD_stage_list</vt:lpstr>
      <vt:lpstr>AD_statement02</vt:lpstr>
      <vt:lpstr>AD_statement03</vt:lpstr>
      <vt:lpstr>AD_Statement04</vt:lpstr>
      <vt:lpstr>AD_statement05</vt:lpstr>
      <vt:lpstr>AD_statement06</vt:lpstr>
      <vt:lpstr>AD_subtype_list</vt:lpstr>
      <vt:lpstr>AD_Tra01option</vt:lpstr>
      <vt:lpstr>AD_tra01option01</vt:lpstr>
      <vt:lpstr>AD_tra01type</vt:lpstr>
      <vt:lpstr>AD_Trans</vt:lpstr>
      <vt:lpstr>AD_type_list</vt:lpstr>
      <vt:lpstr>AD_Vehiclewash</vt:lpstr>
      <vt:lpstr>AD_version</vt:lpstr>
      <vt:lpstr>AD_Wales</vt:lpstr>
      <vt:lpstr>AD_Wat10</vt:lpstr>
      <vt:lpstr>AD_Wet</vt:lpstr>
      <vt:lpstr>AD_Yes</vt:lpstr>
      <vt:lpstr>AD_YesNo</vt:lpstr>
      <vt:lpstr>AD_YesNo_list</vt:lpstr>
      <vt:lpstr>ADAS0</vt:lpstr>
      <vt:lpstr>ADAS01</vt:lpstr>
      <vt:lpstr>ADAS02</vt:lpstr>
      <vt:lpstr>ADBN</vt:lpstr>
      <vt:lpstr>ADBT_sub01</vt:lpstr>
      <vt:lpstr>ADBT_sub06</vt:lpstr>
      <vt:lpstr>ADBT_sub07</vt:lpstr>
      <vt:lpstr>ADBT_sub08</vt:lpstr>
      <vt:lpstr>ADBT_sub09</vt:lpstr>
      <vt:lpstr>ADBT_sub10</vt:lpstr>
      <vt:lpstr>ADBT_sub11</vt:lpstr>
      <vt:lpstr>ADBT_sub12</vt:lpstr>
      <vt:lpstr>ADBT_sub13</vt:lpstr>
      <vt:lpstr>ADBT_sub14</vt:lpstr>
      <vt:lpstr>ADBT_sub21</vt:lpstr>
      <vt:lpstr>ADBT_sub22</vt:lpstr>
      <vt:lpstr>ADBT_sub23</vt:lpstr>
      <vt:lpstr>ADBT_sub24</vt:lpstr>
      <vt:lpstr>ADBT_sub28</vt:lpstr>
      <vt:lpstr>ADBT_sub29</vt:lpstr>
      <vt:lpstr>ADBT_sub30</vt:lpstr>
      <vt:lpstr>ADBT_sub31</vt:lpstr>
      <vt:lpstr>ADBT_sub32</vt:lpstr>
      <vt:lpstr>ADBT_sub33</vt:lpstr>
      <vt:lpstr>ADBT_sub34</vt:lpstr>
      <vt:lpstr>ADBT_sub35</vt:lpstr>
      <vt:lpstr>ADBT_sub36</vt:lpstr>
      <vt:lpstr>ADBT_sub37</vt:lpstr>
      <vt:lpstr>ADBT_sub38</vt:lpstr>
      <vt:lpstr>ADBT_sub39</vt:lpstr>
      <vt:lpstr>ADBT_sub40</vt:lpstr>
      <vt:lpstr>ADBT_sub41</vt:lpstr>
      <vt:lpstr>ADBT_sub42</vt:lpstr>
      <vt:lpstr>ADBT_sub43</vt:lpstr>
      <vt:lpstr>ADBT_sub44</vt:lpstr>
      <vt:lpstr>ADBT_sub45</vt:lpstr>
      <vt:lpstr>ADBT_sub46</vt:lpstr>
      <vt:lpstr>ADBT_sub47</vt:lpstr>
      <vt:lpstr>ADBT_sub48</vt:lpstr>
      <vt:lpstr>ADBT_sub49</vt:lpstr>
      <vt:lpstr>ADBT_sub50</vt:lpstr>
      <vt:lpstr>ADBT_sub51</vt:lpstr>
      <vt:lpstr>ADBT_sub52</vt:lpstr>
      <vt:lpstr>ADBT_sub53</vt:lpstr>
      <vt:lpstr>ADBT_sub54</vt:lpstr>
      <vt:lpstr>ADBT_sub55</vt:lpstr>
      <vt:lpstr>ADBT_sub56</vt:lpstr>
      <vt:lpstr>ADBT_sub57</vt:lpstr>
      <vt:lpstr>ADBT_sub58</vt:lpstr>
      <vt:lpstr>ADBT_sub59</vt:lpstr>
      <vt:lpstr>ADBT_sub60</vt:lpstr>
      <vt:lpstr>ADBT_sub61</vt:lpstr>
      <vt:lpstr>ADBT_sub62</vt:lpstr>
      <vt:lpstr>ADBT_sub63</vt:lpstr>
      <vt:lpstr>ADBT_sub64</vt:lpstr>
      <vt:lpstr>ADBT_sub65</vt:lpstr>
      <vt:lpstr>ADBT_sub66</vt:lpstr>
      <vt:lpstr>ADBT_sub67</vt:lpstr>
      <vt:lpstr>ADBT0</vt:lpstr>
      <vt:lpstr>ADBT1</vt:lpstr>
      <vt:lpstr>ADBT10</vt:lpstr>
      <vt:lpstr>ADBT11</vt:lpstr>
      <vt:lpstr>ADBT12</vt:lpstr>
      <vt:lpstr>ADBT2</vt:lpstr>
      <vt:lpstr>ADBT3</vt:lpstr>
      <vt:lpstr>ADBT4</vt:lpstr>
      <vt:lpstr>ADBT5</vt:lpstr>
      <vt:lpstr>ADBT6</vt:lpstr>
      <vt:lpstr>ADBT7</vt:lpstr>
      <vt:lpstr>ADBT8</vt:lpstr>
      <vt:lpstr>ADBT9</vt:lpstr>
      <vt:lpstr>ADE</vt:lpstr>
      <vt:lpstr>ADFume_option01</vt:lpstr>
      <vt:lpstr>ADHC_option01</vt:lpstr>
      <vt:lpstr>ADIND_option01</vt:lpstr>
      <vt:lpstr>ADIND_option02</vt:lpstr>
      <vt:lpstr>ADIND_option03</vt:lpstr>
      <vt:lpstr>ADPT</vt:lpstr>
      <vt:lpstr>ADPT01</vt:lpstr>
      <vt:lpstr>ADPT02</vt:lpstr>
      <vt:lpstr>ADPT03</vt:lpstr>
      <vt:lpstr>AIS_Banner</vt:lpstr>
      <vt:lpstr>AIS_BREEAM_rating_level</vt:lpstr>
      <vt:lpstr>AIS_construction</vt:lpstr>
      <vt:lpstr>AIS_credit00</vt:lpstr>
      <vt:lpstr>AIS_credit01</vt:lpstr>
      <vt:lpstr>AIS_credit02</vt:lpstr>
      <vt:lpstr>AIS_Energy</vt:lpstr>
      <vt:lpstr>AIS_Error</vt:lpstr>
      <vt:lpstr>AIS_Health</vt:lpstr>
      <vt:lpstr>AIS_Innovation</vt:lpstr>
      <vt:lpstr>AIS_LUE</vt:lpstr>
      <vt:lpstr>AIS_Management</vt:lpstr>
      <vt:lpstr>AIS_Materials</vt:lpstr>
      <vt:lpstr>AIS_measured</vt:lpstr>
      <vt:lpstr>AIS_MinSt_benchmarks</vt:lpstr>
      <vt:lpstr>AIS_Minstand</vt:lpstr>
      <vt:lpstr>AIS_MinStand_rating_check</vt:lpstr>
      <vt:lpstr>AIS_MinStandMin</vt:lpstr>
      <vt:lpstr>AIS_Missing_data</vt:lpstr>
      <vt:lpstr>AIS_Modelled</vt:lpstr>
      <vt:lpstr>AIS_NA</vt:lpstr>
      <vt:lpstr>AIS_No</vt:lpstr>
      <vt:lpstr>AIS_option00</vt:lpstr>
      <vt:lpstr>AIS_option00a</vt:lpstr>
      <vt:lpstr>AIS_option00b</vt:lpstr>
      <vt:lpstr>AIS_option01</vt:lpstr>
      <vt:lpstr>AIS_option01a</vt:lpstr>
      <vt:lpstr>AIS_option01b</vt:lpstr>
      <vt:lpstr>AIS_option02</vt:lpstr>
      <vt:lpstr>AIS_option02a</vt:lpstr>
      <vt:lpstr>AIS_option02b</vt:lpstr>
      <vt:lpstr>AIS_option03</vt:lpstr>
      <vt:lpstr>AIS_option03a</vt:lpstr>
      <vt:lpstr>AIS_option03b</vt:lpstr>
      <vt:lpstr>AIS_option04</vt:lpstr>
      <vt:lpstr>AIS_option04a</vt:lpstr>
      <vt:lpstr>AIS_option04b</vt:lpstr>
      <vt:lpstr>AIS_option05</vt:lpstr>
      <vt:lpstr>AIS_option05a</vt:lpstr>
      <vt:lpstr>AIS_option05b</vt:lpstr>
      <vt:lpstr>AIS_option06</vt:lpstr>
      <vt:lpstr>AIS_option07</vt:lpstr>
      <vt:lpstr>AIS_option08</vt:lpstr>
      <vt:lpstr>AIS_option09</vt:lpstr>
      <vt:lpstr>AIS_option10</vt:lpstr>
      <vt:lpstr>AIS_option11</vt:lpstr>
      <vt:lpstr>AIS_option12</vt:lpstr>
      <vt:lpstr>AIS_option13</vt:lpstr>
      <vt:lpstr>AIS_option14</vt:lpstr>
      <vt:lpstr>AIS_option15</vt:lpstr>
      <vt:lpstr>AIS_option17</vt:lpstr>
      <vt:lpstr>AIS_option18</vt:lpstr>
      <vt:lpstr>AIS_option19</vt:lpstr>
      <vt:lpstr>AIS_option20</vt:lpstr>
      <vt:lpstr>AIS_option21</vt:lpstr>
      <vt:lpstr>AIS_option22</vt:lpstr>
      <vt:lpstr>AIS_option24</vt:lpstr>
      <vt:lpstr>AIS_option25</vt:lpstr>
      <vt:lpstr>AIS_percentrange</vt:lpstr>
      <vt:lpstr>AIS_Pollution</vt:lpstr>
      <vt:lpstr>AIS_Shell_option01</vt:lpstr>
      <vt:lpstr>AIS_shell_option02</vt:lpstr>
      <vt:lpstr>AIS_shell_option03</vt:lpstr>
      <vt:lpstr>AIS_Stage</vt:lpstr>
      <vt:lpstr>AIS_stage00</vt:lpstr>
      <vt:lpstr>AIS_stage01</vt:lpstr>
      <vt:lpstr>AIS_stage02</vt:lpstr>
      <vt:lpstr>AIS_Statement_108</vt:lpstr>
      <vt:lpstr>AIS_Statement_109</vt:lpstr>
      <vt:lpstr>AIS_Statement_110</vt:lpstr>
      <vt:lpstr>AIS_Statement_111</vt:lpstr>
      <vt:lpstr>AIS_Statement_112</vt:lpstr>
      <vt:lpstr>AIS_statement_113</vt:lpstr>
      <vt:lpstr>AIS_Statement_98</vt:lpstr>
      <vt:lpstr>AIS_statement01</vt:lpstr>
      <vt:lpstr>AIS_statement02</vt:lpstr>
      <vt:lpstr>AIS_statement03</vt:lpstr>
      <vt:lpstr>AIS_statement04</vt:lpstr>
      <vt:lpstr>AIS_statement05</vt:lpstr>
      <vt:lpstr>AIS_statement06</vt:lpstr>
      <vt:lpstr>AIS_statement08</vt:lpstr>
      <vt:lpstr>AIS_statement09</vt:lpstr>
      <vt:lpstr>AIS_statement10</vt:lpstr>
      <vt:lpstr>AIS_Statement101</vt:lpstr>
      <vt:lpstr>AIS_Statement102</vt:lpstr>
      <vt:lpstr>AIS_Statement103</vt:lpstr>
      <vt:lpstr>AIS_Statement104</vt:lpstr>
      <vt:lpstr>AIS_Statement105</vt:lpstr>
      <vt:lpstr>AIS_Statement106</vt:lpstr>
      <vt:lpstr>AIS_statement107</vt:lpstr>
      <vt:lpstr>AIS_statement11</vt:lpstr>
      <vt:lpstr>AIS_statement12</vt:lpstr>
      <vt:lpstr>AIS_statement15</vt:lpstr>
      <vt:lpstr>AIS_statement16</vt:lpstr>
      <vt:lpstr>AIS_statement17</vt:lpstr>
      <vt:lpstr>AIS_statement18</vt:lpstr>
      <vt:lpstr>AIS_statement19</vt:lpstr>
      <vt:lpstr>AIS_statement20</vt:lpstr>
      <vt:lpstr>AIS_statement21</vt:lpstr>
      <vt:lpstr>AIS_statement22</vt:lpstr>
      <vt:lpstr>AIS_statement23</vt:lpstr>
      <vt:lpstr>AIS_statement24</vt:lpstr>
      <vt:lpstr>AIS_statement25</vt:lpstr>
      <vt:lpstr>AIS_statement26</vt:lpstr>
      <vt:lpstr>AIS_statement27</vt:lpstr>
      <vt:lpstr>AIS_statement28</vt:lpstr>
      <vt:lpstr>AIS_statement29</vt:lpstr>
      <vt:lpstr>AIS_statement30</vt:lpstr>
      <vt:lpstr>AIS_statement31</vt:lpstr>
      <vt:lpstr>AIS_statement32</vt:lpstr>
      <vt:lpstr>AIS_statement33</vt:lpstr>
      <vt:lpstr>AIS_statement34</vt:lpstr>
      <vt:lpstr>AIS_statement35</vt:lpstr>
      <vt:lpstr>AIS_statement36</vt:lpstr>
      <vt:lpstr>AIS_statement37</vt:lpstr>
      <vt:lpstr>AIS_statement38</vt:lpstr>
      <vt:lpstr>AIS_statement39</vt:lpstr>
      <vt:lpstr>AIS_statement40</vt:lpstr>
      <vt:lpstr>AIS_statement41</vt:lpstr>
      <vt:lpstr>AIS_statement42</vt:lpstr>
      <vt:lpstr>AIS_statement43</vt:lpstr>
      <vt:lpstr>AIS_statement44</vt:lpstr>
      <vt:lpstr>AIS_statement45</vt:lpstr>
      <vt:lpstr>AIS_statement46</vt:lpstr>
      <vt:lpstr>AIS_statement47</vt:lpstr>
      <vt:lpstr>AIS_statement48</vt:lpstr>
      <vt:lpstr>AIS_statement49</vt:lpstr>
      <vt:lpstr>AIS_statement50</vt:lpstr>
      <vt:lpstr>AIS_statement51</vt:lpstr>
      <vt:lpstr>AIS_statement52</vt:lpstr>
      <vt:lpstr>AIS_statement53</vt:lpstr>
      <vt:lpstr>AIS_statement54</vt:lpstr>
      <vt:lpstr>AIS_statement55</vt:lpstr>
      <vt:lpstr>AIS_statement56</vt:lpstr>
      <vt:lpstr>AIS_statement57</vt:lpstr>
      <vt:lpstr>AIS_statement58</vt:lpstr>
      <vt:lpstr>AIS_statement59</vt:lpstr>
      <vt:lpstr>AIS_statement60</vt:lpstr>
      <vt:lpstr>AIS_statement61</vt:lpstr>
      <vt:lpstr>AIS_statement62</vt:lpstr>
      <vt:lpstr>AIS_statement63</vt:lpstr>
      <vt:lpstr>AIS_statement64</vt:lpstr>
      <vt:lpstr>AIS_statement65</vt:lpstr>
      <vt:lpstr>AIS_statement66</vt:lpstr>
      <vt:lpstr>AIS_statement67</vt:lpstr>
      <vt:lpstr>AIS_statement68</vt:lpstr>
      <vt:lpstr>AIS_statement69</vt:lpstr>
      <vt:lpstr>AIS_statement70</vt:lpstr>
      <vt:lpstr>AIS_statement71</vt:lpstr>
      <vt:lpstr>AIS_statement72</vt:lpstr>
      <vt:lpstr>AIS_statement73</vt:lpstr>
      <vt:lpstr>AIS_statement74</vt:lpstr>
      <vt:lpstr>AIS_statement75</vt:lpstr>
      <vt:lpstr>AIS_statement76</vt:lpstr>
      <vt:lpstr>AIS_statement77</vt:lpstr>
      <vt:lpstr>AIS_statement78</vt:lpstr>
      <vt:lpstr>AIS_statement79</vt:lpstr>
      <vt:lpstr>AIS_statement80</vt:lpstr>
      <vt:lpstr>AIS_Statement81</vt:lpstr>
      <vt:lpstr>AIS_statement82</vt:lpstr>
      <vt:lpstr>AIS_statement83</vt:lpstr>
      <vt:lpstr>AIS_statement84</vt:lpstr>
      <vt:lpstr>AIS_statement85</vt:lpstr>
      <vt:lpstr>AIS_statement86</vt:lpstr>
      <vt:lpstr>AIS_statement87</vt:lpstr>
      <vt:lpstr>AIS_Statement88</vt:lpstr>
      <vt:lpstr>AIS_statement90</vt:lpstr>
      <vt:lpstr>AIS_statement91</vt:lpstr>
      <vt:lpstr>AIS_statement92</vt:lpstr>
      <vt:lpstr>AIS_statement93</vt:lpstr>
      <vt:lpstr>AIS_statement94</vt:lpstr>
      <vt:lpstr>AIS_Statement95</vt:lpstr>
      <vt:lpstr>AIS_statement96</vt:lpstr>
      <vt:lpstr>AIS_statement97</vt:lpstr>
      <vt:lpstr>AIS_statement98</vt:lpstr>
      <vt:lpstr>AIS_statement99</vt:lpstr>
      <vt:lpstr>AIS_target</vt:lpstr>
      <vt:lpstr>AIS_Tra01_Type</vt:lpstr>
      <vt:lpstr>AIS_Transport</vt:lpstr>
      <vt:lpstr>AIS_units01</vt:lpstr>
      <vt:lpstr>AIS_units02</vt:lpstr>
      <vt:lpstr>AIS_units03</vt:lpstr>
      <vt:lpstr>AIS_units04</vt:lpstr>
      <vt:lpstr>AIS_units05</vt:lpstr>
      <vt:lpstr>AIS_units06</vt:lpstr>
      <vt:lpstr>AIS_units07</vt:lpstr>
      <vt:lpstr>AIS_units08</vt:lpstr>
      <vt:lpstr>AIS_units09</vt:lpstr>
      <vt:lpstr>AIS_units10</vt:lpstr>
      <vt:lpstr>AIS_units11</vt:lpstr>
      <vt:lpstr>AIS_units12</vt:lpstr>
      <vt:lpstr>AIS_units13</vt:lpstr>
      <vt:lpstr>AIS_units14</vt:lpstr>
      <vt:lpstr>AIS_units15</vt:lpstr>
      <vt:lpstr>AIS_units16</vt:lpstr>
      <vt:lpstr>AIS_units17</vt:lpstr>
      <vt:lpstr>AIS_units18</vt:lpstr>
      <vt:lpstr>AIS_units19</vt:lpstr>
      <vt:lpstr>AIS_units20</vt:lpstr>
      <vt:lpstr>AIS_units21</vt:lpstr>
      <vt:lpstr>AIS_units22</vt:lpstr>
      <vt:lpstr>AIS_units23</vt:lpstr>
      <vt:lpstr>AIS_units24</vt:lpstr>
      <vt:lpstr>AIS_units25</vt:lpstr>
      <vt:lpstr>AIS_units26</vt:lpstr>
      <vt:lpstr>AIS_units27</vt:lpstr>
      <vt:lpstr>AIS_units28</vt:lpstr>
      <vt:lpstr>AIS_use</vt:lpstr>
      <vt:lpstr>AIS_Waste</vt:lpstr>
      <vt:lpstr>AIS_Water</vt:lpstr>
      <vt:lpstr>AIS_Yes</vt:lpstr>
      <vt:lpstr>AISStage</vt:lpstr>
      <vt:lpstr>AR_Banner</vt:lpstr>
      <vt:lpstr>AR_credit_list</vt:lpstr>
      <vt:lpstr>Assessment_data</vt:lpstr>
      <vt:lpstr>BP_01</vt:lpstr>
      <vt:lpstr>BP_02</vt:lpstr>
      <vt:lpstr>BP_03</vt:lpstr>
      <vt:lpstr>BP_04</vt:lpstr>
      <vt:lpstr>BP_05</vt:lpstr>
      <vt:lpstr>BP_06</vt:lpstr>
      <vt:lpstr>BP_07</vt:lpstr>
      <vt:lpstr>BP_08</vt:lpstr>
      <vt:lpstr>BP_09</vt:lpstr>
      <vt:lpstr>BP_10</vt:lpstr>
      <vt:lpstr>BP_11</vt:lpstr>
      <vt:lpstr>BP_12</vt:lpstr>
      <vt:lpstr>BP_13</vt:lpstr>
      <vt:lpstr>BP_14</vt:lpstr>
      <vt:lpstr>BP_15</vt:lpstr>
      <vt:lpstr>BP_16</vt:lpstr>
      <vt:lpstr>BP_17</vt:lpstr>
      <vt:lpstr>BP_18</vt:lpstr>
      <vt:lpstr>BP_19</vt:lpstr>
      <vt:lpstr>BP_20</vt:lpstr>
      <vt:lpstr>BP_21</vt:lpstr>
      <vt:lpstr>BP_22</vt:lpstr>
      <vt:lpstr>BP_23</vt:lpstr>
      <vt:lpstr>BP_24</vt:lpstr>
      <vt:lpstr>BP_25</vt:lpstr>
      <vt:lpstr>BP_26</vt:lpstr>
      <vt:lpstr>BP_27</vt:lpstr>
      <vt:lpstr>BP_28</vt:lpstr>
      <vt:lpstr>BP_29</vt:lpstr>
      <vt:lpstr>BP_30</vt:lpstr>
      <vt:lpstr>BP_31</vt:lpstr>
      <vt:lpstr>BP_32</vt:lpstr>
      <vt:lpstr>BP_33</vt:lpstr>
      <vt:lpstr>BP_34</vt:lpstr>
      <vt:lpstr>BP_35</vt:lpstr>
      <vt:lpstr>BP_36</vt:lpstr>
      <vt:lpstr>BP_38</vt:lpstr>
      <vt:lpstr>BP_39</vt:lpstr>
      <vt:lpstr>BP_40</vt:lpstr>
      <vt:lpstr>BP_41</vt:lpstr>
      <vt:lpstr>BP_42</vt:lpstr>
      <vt:lpstr>BP_BREEAAMRating</vt:lpstr>
      <vt:lpstr>BP_BREEAMRating</vt:lpstr>
      <vt:lpstr>BP_Energy_score</vt:lpstr>
      <vt:lpstr>BP_HW_score</vt:lpstr>
      <vt:lpstr>BP_Innovation_score</vt:lpstr>
      <vt:lpstr>BP_KPI01</vt:lpstr>
      <vt:lpstr>BP_KPI02</vt:lpstr>
      <vt:lpstr>BP_KPI03</vt:lpstr>
      <vt:lpstr>BP_KPI04</vt:lpstr>
      <vt:lpstr>BP_KPI05</vt:lpstr>
      <vt:lpstr>BP_KPI06</vt:lpstr>
      <vt:lpstr>BP_KPI07</vt:lpstr>
      <vt:lpstr>BP_KPI08</vt:lpstr>
      <vt:lpstr>BP_KPI09</vt:lpstr>
      <vt:lpstr>BP_KPI10</vt:lpstr>
      <vt:lpstr>BP_KPI11</vt:lpstr>
      <vt:lpstr>BP_KPI12</vt:lpstr>
      <vt:lpstr>BP_KPI13</vt:lpstr>
      <vt:lpstr>BP_KPI14</vt:lpstr>
      <vt:lpstr>BP_KPI15</vt:lpstr>
      <vt:lpstr>BP_KPI16</vt:lpstr>
      <vt:lpstr>BP_KPI17</vt:lpstr>
      <vt:lpstr>BP_KPI18</vt:lpstr>
      <vt:lpstr>BP_KPI21</vt:lpstr>
      <vt:lpstr>BP_KPI22</vt:lpstr>
      <vt:lpstr>BP_KPI23</vt:lpstr>
      <vt:lpstr>BP_KPI24</vt:lpstr>
      <vt:lpstr>BP_KPI25</vt:lpstr>
      <vt:lpstr>BP_KPI26</vt:lpstr>
      <vt:lpstr>BP_KPI27</vt:lpstr>
      <vt:lpstr>BP_KPI28</vt:lpstr>
      <vt:lpstr>BP_KPI29</vt:lpstr>
      <vt:lpstr>BP_KPI30</vt:lpstr>
      <vt:lpstr>BP_KPI31</vt:lpstr>
      <vt:lpstr>BP_KPI32</vt:lpstr>
      <vt:lpstr>BP_KPI33</vt:lpstr>
      <vt:lpstr>BP_KPI34</vt:lpstr>
      <vt:lpstr>BP_KPI35</vt:lpstr>
      <vt:lpstr>BP_KPI36</vt:lpstr>
      <vt:lpstr>BP_KPI37</vt:lpstr>
      <vt:lpstr>BP_KPI38</vt:lpstr>
      <vt:lpstr>BP_KPI39</vt:lpstr>
      <vt:lpstr>BP_KPI40</vt:lpstr>
      <vt:lpstr>BP_KPI41</vt:lpstr>
      <vt:lpstr>BP_KPI42</vt:lpstr>
      <vt:lpstr>BP_KPI43</vt:lpstr>
      <vt:lpstr>BP_KPI44</vt:lpstr>
      <vt:lpstr>BP_KPI47</vt:lpstr>
      <vt:lpstr>BP_KPI48</vt:lpstr>
      <vt:lpstr>BP_KPI49</vt:lpstr>
      <vt:lpstr>BP_LUE_score</vt:lpstr>
      <vt:lpstr>BP_Man_score</vt:lpstr>
      <vt:lpstr>BP_Materials_score</vt:lpstr>
      <vt:lpstr>BP_MinStandards</vt:lpstr>
      <vt:lpstr>BP_OverallScore</vt:lpstr>
      <vt:lpstr>BP_Pollution_score</vt:lpstr>
      <vt:lpstr>BP_rating_benchmarks</vt:lpstr>
      <vt:lpstr>BP_Trans_score</vt:lpstr>
      <vt:lpstr>BP_Waste_Score</vt:lpstr>
      <vt:lpstr>BP_Water_score</vt:lpstr>
      <vt:lpstr>BPKPI_08</vt:lpstr>
      <vt:lpstr>BRK_Banner</vt:lpstr>
      <vt:lpstr>Country</vt:lpstr>
      <vt:lpstr>Education</vt:lpstr>
      <vt:lpstr>Ene_01</vt:lpstr>
      <vt:lpstr>Ene_02</vt:lpstr>
      <vt:lpstr>Ene_03</vt:lpstr>
      <vt:lpstr>Ene_04</vt:lpstr>
      <vt:lpstr>Ene_05</vt:lpstr>
      <vt:lpstr>Ene_06</vt:lpstr>
      <vt:lpstr>Ene_07</vt:lpstr>
      <vt:lpstr>Ene_08</vt:lpstr>
      <vt:lpstr>Ene_09</vt:lpstr>
      <vt:lpstr>Ene01_01</vt:lpstr>
      <vt:lpstr>Ene01_02</vt:lpstr>
      <vt:lpstr>Ene01_03</vt:lpstr>
      <vt:lpstr>Ene01_04</vt:lpstr>
      <vt:lpstr>Ene01_05</vt:lpstr>
      <vt:lpstr>Ene01_06</vt:lpstr>
      <vt:lpstr>Ene01_07</vt:lpstr>
      <vt:lpstr>Ene01_08</vt:lpstr>
      <vt:lpstr>Ene01_08_Err</vt:lpstr>
      <vt:lpstr>Ene01_09</vt:lpstr>
      <vt:lpstr>Ene01_10</vt:lpstr>
      <vt:lpstr>Ene01_11</vt:lpstr>
      <vt:lpstr>Ene01_12</vt:lpstr>
      <vt:lpstr>Ene01_13</vt:lpstr>
      <vt:lpstr>Ene01_14</vt:lpstr>
      <vt:lpstr>Ene01_15</vt:lpstr>
      <vt:lpstr>Ene01_16</vt:lpstr>
      <vt:lpstr>Ene01_17</vt:lpstr>
      <vt:lpstr>Ene01_18</vt:lpstr>
      <vt:lpstr>Ene01_19</vt:lpstr>
      <vt:lpstr>Ene01_20</vt:lpstr>
      <vt:lpstr>Ene01_21</vt:lpstr>
      <vt:lpstr>Ene01_22</vt:lpstr>
      <vt:lpstr>Ene01_23</vt:lpstr>
      <vt:lpstr>Ene01_24</vt:lpstr>
      <vt:lpstr>Ene01_25</vt:lpstr>
      <vt:lpstr>Ene01_27</vt:lpstr>
      <vt:lpstr>Ene01_28</vt:lpstr>
      <vt:lpstr>Ene01_29</vt:lpstr>
      <vt:lpstr>Ene01_30</vt:lpstr>
      <vt:lpstr>Ene01_31</vt:lpstr>
      <vt:lpstr>Ene01_32</vt:lpstr>
      <vt:lpstr>Ene01_33</vt:lpstr>
      <vt:lpstr>Ene01_34</vt:lpstr>
      <vt:lpstr>Ene01_35</vt:lpstr>
      <vt:lpstr>Ene01_36</vt:lpstr>
      <vt:lpstr>Ene01_37</vt:lpstr>
      <vt:lpstr>Ene01_38</vt:lpstr>
      <vt:lpstr>Ene01_39</vt:lpstr>
      <vt:lpstr>Ene01_40</vt:lpstr>
      <vt:lpstr>Ene01_41</vt:lpstr>
      <vt:lpstr>Ene01_42</vt:lpstr>
      <vt:lpstr>Ene01_43</vt:lpstr>
      <vt:lpstr>Ene01_44</vt:lpstr>
      <vt:lpstr>Ene01_45</vt:lpstr>
      <vt:lpstr>Ene01_46</vt:lpstr>
      <vt:lpstr>Ene01_47</vt:lpstr>
      <vt:lpstr>Ene01_48</vt:lpstr>
      <vt:lpstr>Ene01_49</vt:lpstr>
      <vt:lpstr>Ene01_50</vt:lpstr>
      <vt:lpstr>Ene01_50_Err</vt:lpstr>
      <vt:lpstr>Ene01_51</vt:lpstr>
      <vt:lpstr>Ene01_52</vt:lpstr>
      <vt:lpstr>Ene01_53</vt:lpstr>
      <vt:lpstr>Ene01_54</vt:lpstr>
      <vt:lpstr>Ene01_55</vt:lpstr>
      <vt:lpstr>Ene01_60</vt:lpstr>
      <vt:lpstr>Ene01_61</vt:lpstr>
      <vt:lpstr>Ene01_63</vt:lpstr>
      <vt:lpstr>Ene01_64</vt:lpstr>
      <vt:lpstr>Ene01_65</vt:lpstr>
      <vt:lpstr>Ene01_66</vt:lpstr>
      <vt:lpstr>Ene01_67</vt:lpstr>
      <vt:lpstr>Ene01_70</vt:lpstr>
      <vt:lpstr>Ene01_71</vt:lpstr>
      <vt:lpstr>Ene01_72</vt:lpstr>
      <vt:lpstr>Ene01_73</vt:lpstr>
      <vt:lpstr>Ene01_74</vt:lpstr>
      <vt:lpstr>Ene01_75</vt:lpstr>
      <vt:lpstr>Ene01_76</vt:lpstr>
      <vt:lpstr>Ene01_77</vt:lpstr>
      <vt:lpstr>Ene01_78</vt:lpstr>
      <vt:lpstr>Ene01_79</vt:lpstr>
      <vt:lpstr>Ene01_80</vt:lpstr>
      <vt:lpstr>Ene01_81</vt:lpstr>
      <vt:lpstr>Ene01_84</vt:lpstr>
      <vt:lpstr>Ene01_85</vt:lpstr>
      <vt:lpstr>Ene01_86</vt:lpstr>
      <vt:lpstr>Ene01_87</vt:lpstr>
      <vt:lpstr>Ene01_88</vt:lpstr>
      <vt:lpstr>Ene01_89</vt:lpstr>
      <vt:lpstr>Ene01_90</vt:lpstr>
      <vt:lpstr>Ene01_91</vt:lpstr>
      <vt:lpstr>Ene01_92</vt:lpstr>
      <vt:lpstr>Ene01_BERTER</vt:lpstr>
      <vt:lpstr>Ene01_credits</vt:lpstr>
      <vt:lpstr>Ene01_credits_range</vt:lpstr>
      <vt:lpstr>Ene01_imp_fact</vt:lpstr>
      <vt:lpstr>Ene01_KPI101</vt:lpstr>
      <vt:lpstr>Ene01_notes</vt:lpstr>
      <vt:lpstr>Ene02_02</vt:lpstr>
      <vt:lpstr>Ene02_03</vt:lpstr>
      <vt:lpstr>Ene02_04</vt:lpstr>
      <vt:lpstr>Ene02_05</vt:lpstr>
      <vt:lpstr>Ene02_06</vt:lpstr>
      <vt:lpstr>Ene02_07</vt:lpstr>
      <vt:lpstr>Ene02_08</vt:lpstr>
      <vt:lpstr>Ene02_09</vt:lpstr>
      <vt:lpstr>Ene02_10</vt:lpstr>
      <vt:lpstr>Ene02_11</vt:lpstr>
      <vt:lpstr>Ene02_12</vt:lpstr>
      <vt:lpstr>Ene02_13</vt:lpstr>
      <vt:lpstr>Ene02_credits</vt:lpstr>
      <vt:lpstr>Ene02_notes</vt:lpstr>
      <vt:lpstr>Ene02_tot</vt:lpstr>
      <vt:lpstr>Ene02_Tot_Err</vt:lpstr>
      <vt:lpstr>Ene02b_01</vt:lpstr>
      <vt:lpstr>Ene02b_02</vt:lpstr>
      <vt:lpstr>Ene02b_03</vt:lpstr>
      <vt:lpstr>Ene02b_04</vt:lpstr>
      <vt:lpstr>Ene02b_05</vt:lpstr>
      <vt:lpstr>Ene02b_06</vt:lpstr>
      <vt:lpstr>Ene02b_07</vt:lpstr>
      <vt:lpstr>Ene02b_credits</vt:lpstr>
      <vt:lpstr>Ene02b_tot</vt:lpstr>
      <vt:lpstr>Ene03_01</vt:lpstr>
      <vt:lpstr>Ene03_02</vt:lpstr>
      <vt:lpstr>Ene03_03</vt:lpstr>
      <vt:lpstr>Ene03_04</vt:lpstr>
      <vt:lpstr>Ene03_05</vt:lpstr>
      <vt:lpstr>Ene03_06</vt:lpstr>
      <vt:lpstr>Ene03_07</vt:lpstr>
      <vt:lpstr>Ene03_08</vt:lpstr>
      <vt:lpstr>Ene03_09</vt:lpstr>
      <vt:lpstr>Ene03_13</vt:lpstr>
      <vt:lpstr>Ene03_credits</vt:lpstr>
      <vt:lpstr>Ene03_notes</vt:lpstr>
      <vt:lpstr>Ene03_tot</vt:lpstr>
      <vt:lpstr>ENE04_01</vt:lpstr>
      <vt:lpstr>ENE04_02</vt:lpstr>
      <vt:lpstr>ENE04_03</vt:lpstr>
      <vt:lpstr>ENE04_04</vt:lpstr>
      <vt:lpstr>ENE04_05</vt:lpstr>
      <vt:lpstr>ENE04_06</vt:lpstr>
      <vt:lpstr>Ene04_10</vt:lpstr>
      <vt:lpstr>Ene04_11</vt:lpstr>
      <vt:lpstr>Ene04_15</vt:lpstr>
      <vt:lpstr>Ene04_16</vt:lpstr>
      <vt:lpstr>Ene04_17</vt:lpstr>
      <vt:lpstr>Ene04_19</vt:lpstr>
      <vt:lpstr>Ene04_20</vt:lpstr>
      <vt:lpstr>Ene04_20_Err</vt:lpstr>
      <vt:lpstr>Ene04_21</vt:lpstr>
      <vt:lpstr>Ene04_22</vt:lpstr>
      <vt:lpstr>Ene04_23</vt:lpstr>
      <vt:lpstr>Ene04_benchmarks</vt:lpstr>
      <vt:lpstr>Ene04_credits</vt:lpstr>
      <vt:lpstr>Ene04_Inn</vt:lpstr>
      <vt:lpstr>Ene04_KPI01</vt:lpstr>
      <vt:lpstr>Ene04_notes</vt:lpstr>
      <vt:lpstr>Ene04_options01</vt:lpstr>
      <vt:lpstr>Ene04_options02</vt:lpstr>
      <vt:lpstr>Ene04_options03</vt:lpstr>
      <vt:lpstr>Ene04_options04</vt:lpstr>
      <vt:lpstr>Ene04_Perc</vt:lpstr>
      <vt:lpstr>Ene04_Please_select</vt:lpstr>
      <vt:lpstr>Ene04_tot</vt:lpstr>
      <vt:lpstr>Ene04_Tot_Err</vt:lpstr>
      <vt:lpstr>Ene04_TZC</vt:lpstr>
      <vt:lpstr>Ene05_01</vt:lpstr>
      <vt:lpstr>Ene05_02</vt:lpstr>
      <vt:lpstr>Ene05_03</vt:lpstr>
      <vt:lpstr>Ene05_04</vt:lpstr>
      <vt:lpstr>Ene05_05</vt:lpstr>
      <vt:lpstr>Ene05_06</vt:lpstr>
      <vt:lpstr>Ene05_07</vt:lpstr>
      <vt:lpstr>Ene05_08</vt:lpstr>
      <vt:lpstr>Ene05_09</vt:lpstr>
      <vt:lpstr>Ene05_10</vt:lpstr>
      <vt:lpstr>Ene05_11</vt:lpstr>
      <vt:lpstr>Ene05_14</vt:lpstr>
      <vt:lpstr>Ene05_15</vt:lpstr>
      <vt:lpstr>Ene05_17</vt:lpstr>
      <vt:lpstr>Ene05_18</vt:lpstr>
      <vt:lpstr>ene05_19</vt:lpstr>
      <vt:lpstr>Ene05_20</vt:lpstr>
      <vt:lpstr>Ene05_21</vt:lpstr>
      <vt:lpstr>Ene05_credits</vt:lpstr>
      <vt:lpstr>Ene05_notes</vt:lpstr>
      <vt:lpstr>Ene05_tot</vt:lpstr>
      <vt:lpstr>Ene05_Tot_Err</vt:lpstr>
      <vt:lpstr>Ene06_01</vt:lpstr>
      <vt:lpstr>Ene06_02</vt:lpstr>
      <vt:lpstr>ENE06_02a_tot_err</vt:lpstr>
      <vt:lpstr>Ene06_03</vt:lpstr>
      <vt:lpstr>Ene06_04</vt:lpstr>
      <vt:lpstr>ENE06_04_tot_err</vt:lpstr>
      <vt:lpstr>Ene06_05</vt:lpstr>
      <vt:lpstr>ENE06_05a</vt:lpstr>
      <vt:lpstr>Ene06_07</vt:lpstr>
      <vt:lpstr>Ene06_10</vt:lpstr>
      <vt:lpstr>Ene06_11</vt:lpstr>
      <vt:lpstr>Ene06_12</vt:lpstr>
      <vt:lpstr>Ene06_credits</vt:lpstr>
      <vt:lpstr>Ene06_notes</vt:lpstr>
      <vt:lpstr>Ene06_tot</vt:lpstr>
      <vt:lpstr>Ene06_Tot_Err</vt:lpstr>
      <vt:lpstr>Ene07_01</vt:lpstr>
      <vt:lpstr>Ene07_03</vt:lpstr>
      <vt:lpstr>Ene07_04</vt:lpstr>
      <vt:lpstr>Ene07_05</vt:lpstr>
      <vt:lpstr>Ene07_06</vt:lpstr>
      <vt:lpstr>Ene07_08</vt:lpstr>
      <vt:lpstr>Ene07_08_Err</vt:lpstr>
      <vt:lpstr>Ene07_09</vt:lpstr>
      <vt:lpstr>Ene07_10</vt:lpstr>
      <vt:lpstr>Ene07_11</vt:lpstr>
      <vt:lpstr>Ene07_12</vt:lpstr>
      <vt:lpstr>Ene07_13</vt:lpstr>
      <vt:lpstr>Ene07_14</vt:lpstr>
      <vt:lpstr>Ene07_15</vt:lpstr>
      <vt:lpstr>Ene07_16</vt:lpstr>
      <vt:lpstr>Ene07_17</vt:lpstr>
      <vt:lpstr>Ene07_18</vt:lpstr>
      <vt:lpstr>Ene07_19</vt:lpstr>
      <vt:lpstr>Ene07_20</vt:lpstr>
      <vt:lpstr>Ene07_21</vt:lpstr>
      <vt:lpstr>Ene07_22</vt:lpstr>
      <vt:lpstr>Ene07_23</vt:lpstr>
      <vt:lpstr>Ene07_24</vt:lpstr>
      <vt:lpstr>Ene07_25</vt:lpstr>
      <vt:lpstr>Ene07_ADBT</vt:lpstr>
      <vt:lpstr>Ene07_Cat</vt:lpstr>
      <vt:lpstr>Ene07_credits</vt:lpstr>
      <vt:lpstr>Ene07_FC</vt:lpstr>
      <vt:lpstr>Ene07_Labsize</vt:lpstr>
      <vt:lpstr>Ene07_notes</vt:lpstr>
      <vt:lpstr>Ene07_tot</vt:lpstr>
      <vt:lpstr>Ene07_Tot_Err</vt:lpstr>
      <vt:lpstr>Ene08_01</vt:lpstr>
      <vt:lpstr>Ene08_02</vt:lpstr>
      <vt:lpstr>Ene08_03</vt:lpstr>
      <vt:lpstr>Ene08_04</vt:lpstr>
      <vt:lpstr>Ene08_05</vt:lpstr>
      <vt:lpstr>Ene08_06</vt:lpstr>
      <vt:lpstr>Ene08_07</vt:lpstr>
      <vt:lpstr>Ene08_08</vt:lpstr>
      <vt:lpstr>Ene08_09</vt:lpstr>
      <vt:lpstr>Ene08_10</vt:lpstr>
      <vt:lpstr>Ene08_11</vt:lpstr>
      <vt:lpstr>Ene08_12</vt:lpstr>
      <vt:lpstr>Ene08_13</vt:lpstr>
      <vt:lpstr>Ene08_14</vt:lpstr>
      <vt:lpstr>Ene08_15</vt:lpstr>
      <vt:lpstr>Ene08_16</vt:lpstr>
      <vt:lpstr>Ene08_17</vt:lpstr>
      <vt:lpstr>Ene08_18</vt:lpstr>
      <vt:lpstr>Ene08_19</vt:lpstr>
      <vt:lpstr>Ene08_20</vt:lpstr>
      <vt:lpstr>Ene08_22</vt:lpstr>
      <vt:lpstr>Ene08_23</vt:lpstr>
      <vt:lpstr>Ene08_24</vt:lpstr>
      <vt:lpstr>Ene08_25</vt:lpstr>
      <vt:lpstr>Ene08_26</vt:lpstr>
      <vt:lpstr>Ene08_27</vt:lpstr>
      <vt:lpstr>Ene08_29</vt:lpstr>
      <vt:lpstr>Ene08_30</vt:lpstr>
      <vt:lpstr>Ene08_credits</vt:lpstr>
      <vt:lpstr>Ene08_Maj</vt:lpstr>
      <vt:lpstr>Ene08_notes</vt:lpstr>
      <vt:lpstr>Ene08_tot</vt:lpstr>
      <vt:lpstr>Ene09_01</vt:lpstr>
      <vt:lpstr>Ene09_02</vt:lpstr>
      <vt:lpstr>Ene09_03</vt:lpstr>
      <vt:lpstr>Ene09_04</vt:lpstr>
      <vt:lpstr>Ene09_05</vt:lpstr>
      <vt:lpstr>Ene09_06</vt:lpstr>
      <vt:lpstr>Ene09_07</vt:lpstr>
      <vt:lpstr>Ene09_10</vt:lpstr>
      <vt:lpstr>Ene09_credits</vt:lpstr>
      <vt:lpstr>Ene09_notes</vt:lpstr>
      <vt:lpstr>Ene09_tot</vt:lpstr>
      <vt:lpstr>Ene09_Tot_Err</vt:lpstr>
      <vt:lpstr>ene10_80</vt:lpstr>
      <vt:lpstr>England</vt:lpstr>
      <vt:lpstr>Hea_01</vt:lpstr>
      <vt:lpstr>Hea_02</vt:lpstr>
      <vt:lpstr>Hea_03</vt:lpstr>
      <vt:lpstr>Hea_04</vt:lpstr>
      <vt:lpstr>Hea_05</vt:lpstr>
      <vt:lpstr>Hea_06</vt:lpstr>
      <vt:lpstr>Hea01_01</vt:lpstr>
      <vt:lpstr>Hea01_02</vt:lpstr>
      <vt:lpstr>Hea01_03</vt:lpstr>
      <vt:lpstr>Hea01_04</vt:lpstr>
      <vt:lpstr>Hea01_07</vt:lpstr>
      <vt:lpstr>Hea01_08</vt:lpstr>
      <vt:lpstr>Hea01_09</vt:lpstr>
      <vt:lpstr>Hea01_12</vt:lpstr>
      <vt:lpstr>Hea01_13</vt:lpstr>
      <vt:lpstr>Hea01_14</vt:lpstr>
      <vt:lpstr>Hea01_15</vt:lpstr>
      <vt:lpstr>Hea01_18</vt:lpstr>
      <vt:lpstr>Hea01_19</vt:lpstr>
      <vt:lpstr>Hea01_20</vt:lpstr>
      <vt:lpstr>Hea01_21</vt:lpstr>
      <vt:lpstr>Hea01_25</vt:lpstr>
      <vt:lpstr>Hea01_26</vt:lpstr>
      <vt:lpstr>Hea01_27</vt:lpstr>
      <vt:lpstr>Hea01_credits</vt:lpstr>
      <vt:lpstr>Hea01_notes</vt:lpstr>
      <vt:lpstr>Hea01_prereq</vt:lpstr>
      <vt:lpstr>Hea01_tot</vt:lpstr>
      <vt:lpstr>Hea01_Tot_Err</vt:lpstr>
      <vt:lpstr>Hea02_01</vt:lpstr>
      <vt:lpstr>Hea02_02</vt:lpstr>
      <vt:lpstr>Hea02_03</vt:lpstr>
      <vt:lpstr>Hea02_04</vt:lpstr>
      <vt:lpstr>Hea02_05</vt:lpstr>
      <vt:lpstr>Hea02_07</vt:lpstr>
      <vt:lpstr>Hea02_08</vt:lpstr>
      <vt:lpstr>Hea02_09</vt:lpstr>
      <vt:lpstr>Hea02_10</vt:lpstr>
      <vt:lpstr>Hea02_11</vt:lpstr>
      <vt:lpstr>Hea02_13</vt:lpstr>
      <vt:lpstr>Hea02_14</vt:lpstr>
      <vt:lpstr>Hea02_15</vt:lpstr>
      <vt:lpstr>Hea02_16</vt:lpstr>
      <vt:lpstr>Hea02_17</vt:lpstr>
      <vt:lpstr>Hea02_19</vt:lpstr>
      <vt:lpstr>Hea02_20</vt:lpstr>
      <vt:lpstr>Hea02_21</vt:lpstr>
      <vt:lpstr>Hea02_22</vt:lpstr>
      <vt:lpstr>Hea02_23</vt:lpstr>
      <vt:lpstr>Hea02_25</vt:lpstr>
      <vt:lpstr>Hea02_26</vt:lpstr>
      <vt:lpstr>Hea02_27</vt:lpstr>
      <vt:lpstr>Hea02_28</vt:lpstr>
      <vt:lpstr>Hea02_30</vt:lpstr>
      <vt:lpstr>Hea02_credits</vt:lpstr>
      <vt:lpstr>Hea02_KPI01</vt:lpstr>
      <vt:lpstr>Hea02_KPI02</vt:lpstr>
      <vt:lpstr>Hea02_notes</vt:lpstr>
      <vt:lpstr>Hea02_tot</vt:lpstr>
      <vt:lpstr>Hea02_Tot_Err</vt:lpstr>
      <vt:lpstr>Hea03_01</vt:lpstr>
      <vt:lpstr>Hea03_02</vt:lpstr>
      <vt:lpstr>Hea03_03</vt:lpstr>
      <vt:lpstr>Hea03_04</vt:lpstr>
      <vt:lpstr>Hea03_05</vt:lpstr>
      <vt:lpstr>Hea03_06</vt:lpstr>
      <vt:lpstr>Hea03_07</vt:lpstr>
      <vt:lpstr>Hea03_08</vt:lpstr>
      <vt:lpstr>Hea03_09</vt:lpstr>
      <vt:lpstr>Hea03_10</vt:lpstr>
      <vt:lpstr>Hea03_11</vt:lpstr>
      <vt:lpstr>Hea03_13</vt:lpstr>
      <vt:lpstr>Hea03_14</vt:lpstr>
      <vt:lpstr>Hea03_15</vt:lpstr>
      <vt:lpstr>Hea03_AC1</vt:lpstr>
      <vt:lpstr>Hea03_credits</vt:lpstr>
      <vt:lpstr>Hea03_notes</vt:lpstr>
      <vt:lpstr>Hea03_tot</vt:lpstr>
      <vt:lpstr>Hea03_Tot_Err</vt:lpstr>
      <vt:lpstr>Hea04_01</vt:lpstr>
      <vt:lpstr>Hea04_02</vt:lpstr>
      <vt:lpstr>Hea04_03</vt:lpstr>
      <vt:lpstr>Hea04_03a</vt:lpstr>
      <vt:lpstr>Hea04_04</vt:lpstr>
      <vt:lpstr>Hea04_05</vt:lpstr>
      <vt:lpstr>Hea04_06</vt:lpstr>
      <vt:lpstr>Hea04_07</vt:lpstr>
      <vt:lpstr>Hea04_10</vt:lpstr>
      <vt:lpstr>Hea04_11</vt:lpstr>
      <vt:lpstr>Hea04_12</vt:lpstr>
      <vt:lpstr>Hea04_13</vt:lpstr>
      <vt:lpstr>Hea04_14</vt:lpstr>
      <vt:lpstr>Hea04_15</vt:lpstr>
      <vt:lpstr>Hea04_16</vt:lpstr>
      <vt:lpstr>Hea04_17</vt:lpstr>
      <vt:lpstr>Hea04_credits</vt:lpstr>
      <vt:lpstr>Hea04_notes</vt:lpstr>
      <vt:lpstr>Hea04_tot</vt:lpstr>
      <vt:lpstr>Hea05_01</vt:lpstr>
      <vt:lpstr>Hea05_02</vt:lpstr>
      <vt:lpstr>Hea05_03</vt:lpstr>
      <vt:lpstr>Hea05_06</vt:lpstr>
      <vt:lpstr>Hea05_07</vt:lpstr>
      <vt:lpstr>Hea05_08</vt:lpstr>
      <vt:lpstr>Hea05_26</vt:lpstr>
      <vt:lpstr>Hea05_credits</vt:lpstr>
      <vt:lpstr>Hea05_notes</vt:lpstr>
      <vt:lpstr>Hea05_Scoring</vt:lpstr>
      <vt:lpstr>Hea05_tot</vt:lpstr>
      <vt:lpstr>Hea05_Tot_Err</vt:lpstr>
      <vt:lpstr>Hea06_01</vt:lpstr>
      <vt:lpstr>Hea06_02</vt:lpstr>
      <vt:lpstr>Hea06_03</vt:lpstr>
      <vt:lpstr>Hea06_04</vt:lpstr>
      <vt:lpstr>Hea06_05</vt:lpstr>
      <vt:lpstr>Hea06_06</vt:lpstr>
      <vt:lpstr>Hea06_07</vt:lpstr>
      <vt:lpstr>Hea06_credits</vt:lpstr>
      <vt:lpstr>Hea06_notes</vt:lpstr>
      <vt:lpstr>Hea06_tot</vt:lpstr>
      <vt:lpstr>Hea06_Tot_Err</vt:lpstr>
      <vt:lpstr>Hea07_08</vt:lpstr>
      <vt:lpstr>Hea08_01</vt:lpstr>
      <vt:lpstr>Hea08_02</vt:lpstr>
      <vt:lpstr>Hea08_03</vt:lpstr>
      <vt:lpstr>Hea08_04</vt:lpstr>
      <vt:lpstr>Hea08_credits</vt:lpstr>
      <vt:lpstr>Hea08_tot</vt:lpstr>
      <vt:lpstr>Hea09_01</vt:lpstr>
      <vt:lpstr>Hea09_02</vt:lpstr>
      <vt:lpstr>Hea09_03</vt:lpstr>
      <vt:lpstr>Hea09_04</vt:lpstr>
      <vt:lpstr>Hea09_05</vt:lpstr>
      <vt:lpstr>Hea09_06</vt:lpstr>
      <vt:lpstr>Hea09_07</vt:lpstr>
      <vt:lpstr>Hea09_credits</vt:lpstr>
      <vt:lpstr>Hea09_tot</vt:lpstr>
      <vt:lpstr>Hea10_01</vt:lpstr>
      <vt:lpstr>Hea10_02</vt:lpstr>
      <vt:lpstr>Hea10_03</vt:lpstr>
      <vt:lpstr>Hea10_04</vt:lpstr>
      <vt:lpstr>Hea10_05</vt:lpstr>
      <vt:lpstr>Hea10_06</vt:lpstr>
      <vt:lpstr>Hea10_07</vt:lpstr>
      <vt:lpstr>Hea10_08</vt:lpstr>
      <vt:lpstr>Hea10_09</vt:lpstr>
      <vt:lpstr>Hea10_10</vt:lpstr>
      <vt:lpstr>Hea10_credits</vt:lpstr>
      <vt:lpstr>Hea10_tot</vt:lpstr>
      <vt:lpstr>i</vt:lpstr>
      <vt:lpstr>Industrial</vt:lpstr>
      <vt:lpstr>Inn_01</vt:lpstr>
      <vt:lpstr>Inn01_01</vt:lpstr>
      <vt:lpstr>Inn01_02</vt:lpstr>
      <vt:lpstr>Inn01_03</vt:lpstr>
      <vt:lpstr>Inn01_04</vt:lpstr>
      <vt:lpstr>Inn01_credits</vt:lpstr>
      <vt:lpstr>Inn01_notes</vt:lpstr>
      <vt:lpstr>Inn01_tot</vt:lpstr>
      <vt:lpstr>Inn01_Tot_Err</vt:lpstr>
      <vt:lpstr>ISERROR</vt:lpstr>
      <vt:lpstr>Law_Court</vt:lpstr>
      <vt:lpstr>LE_01</vt:lpstr>
      <vt:lpstr>LE_02</vt:lpstr>
      <vt:lpstr>LE_04</vt:lpstr>
      <vt:lpstr>LE_05</vt:lpstr>
      <vt:lpstr>LE01_01</vt:lpstr>
      <vt:lpstr>LE01_02</vt:lpstr>
      <vt:lpstr>LE01_03</vt:lpstr>
      <vt:lpstr>LE01_04</vt:lpstr>
      <vt:lpstr>LE01_05</vt:lpstr>
      <vt:lpstr>LE01_06</vt:lpstr>
      <vt:lpstr>LE01_07</vt:lpstr>
      <vt:lpstr>LE01_08</vt:lpstr>
      <vt:lpstr>LE01_credits</vt:lpstr>
      <vt:lpstr>LE01_notes</vt:lpstr>
      <vt:lpstr>LE01_tot</vt:lpstr>
      <vt:lpstr>LE02_02</vt:lpstr>
      <vt:lpstr>LE02_03</vt:lpstr>
      <vt:lpstr>LE02_04</vt:lpstr>
      <vt:lpstr>LE02_05</vt:lpstr>
      <vt:lpstr>LE02_06</vt:lpstr>
      <vt:lpstr>LE02_07</vt:lpstr>
      <vt:lpstr>LE02_08</vt:lpstr>
      <vt:lpstr>LE02_credits</vt:lpstr>
      <vt:lpstr>LE02_notes</vt:lpstr>
      <vt:lpstr>LE02_options</vt:lpstr>
      <vt:lpstr>LE02_tot</vt:lpstr>
      <vt:lpstr>LE03_02</vt:lpstr>
      <vt:lpstr>LE03_03</vt:lpstr>
      <vt:lpstr>LE03_05</vt:lpstr>
      <vt:lpstr>LE03_06</vt:lpstr>
      <vt:lpstr>LE03_08</vt:lpstr>
      <vt:lpstr>LE03_09</vt:lpstr>
      <vt:lpstr>LE03_10</vt:lpstr>
      <vt:lpstr>LE03_credits</vt:lpstr>
      <vt:lpstr>LE03_notes</vt:lpstr>
      <vt:lpstr>LE03_options</vt:lpstr>
      <vt:lpstr>LE03_subtot</vt:lpstr>
      <vt:lpstr>LE03_tot</vt:lpstr>
      <vt:lpstr>LE03_Tot_Err</vt:lpstr>
      <vt:lpstr>LE04_02</vt:lpstr>
      <vt:lpstr>LE04_03</vt:lpstr>
      <vt:lpstr>LE04_05</vt:lpstr>
      <vt:lpstr>LE04_06</vt:lpstr>
      <vt:lpstr>LE04_08</vt:lpstr>
      <vt:lpstr>LE04_09</vt:lpstr>
      <vt:lpstr>LE04_10</vt:lpstr>
      <vt:lpstr>LE04_11</vt:lpstr>
      <vt:lpstr>LE04_12</vt:lpstr>
      <vt:lpstr>LE04_13</vt:lpstr>
      <vt:lpstr>LE04_14</vt:lpstr>
      <vt:lpstr>LE04_credits</vt:lpstr>
      <vt:lpstr>LE04_lookup</vt:lpstr>
      <vt:lpstr>Le04_nonPrison</vt:lpstr>
      <vt:lpstr>LE04_nonPrison1</vt:lpstr>
      <vt:lpstr>LE04_notes</vt:lpstr>
      <vt:lpstr>Le04_Prison</vt:lpstr>
      <vt:lpstr>LE04_tot</vt:lpstr>
      <vt:lpstr>LE05_02</vt:lpstr>
      <vt:lpstr>LE05_03</vt:lpstr>
      <vt:lpstr>LE05_04</vt:lpstr>
      <vt:lpstr>LE05_05</vt:lpstr>
      <vt:lpstr>LE05_09</vt:lpstr>
      <vt:lpstr>LE05_10</vt:lpstr>
      <vt:lpstr>LE05_11</vt:lpstr>
      <vt:lpstr>LE05_12</vt:lpstr>
      <vt:lpstr>LE05_13</vt:lpstr>
      <vt:lpstr>LE05_14</vt:lpstr>
      <vt:lpstr>LE05_15</vt:lpstr>
      <vt:lpstr>LE05_16</vt:lpstr>
      <vt:lpstr>LE05_1to6</vt:lpstr>
      <vt:lpstr>LE05_credits</vt:lpstr>
      <vt:lpstr>LE05_notes</vt:lpstr>
      <vt:lpstr>LE05_range01</vt:lpstr>
      <vt:lpstr>LE05_range02</vt:lpstr>
      <vt:lpstr>LE05_range03</vt:lpstr>
      <vt:lpstr>LE05_range04</vt:lpstr>
      <vt:lpstr>LE05_range05</vt:lpstr>
      <vt:lpstr>LE05_range06</vt:lpstr>
      <vt:lpstr>LE05_tot</vt:lpstr>
      <vt:lpstr>LE05_tot_err</vt:lpstr>
      <vt:lpstr>LE05NA</vt:lpstr>
      <vt:lpstr>M_Resi_Weight</vt:lpstr>
      <vt:lpstr>Man_01</vt:lpstr>
      <vt:lpstr>Man_02</vt:lpstr>
      <vt:lpstr>Man_03</vt:lpstr>
      <vt:lpstr>MAN_03_Scoring</vt:lpstr>
      <vt:lpstr>Man_04</vt:lpstr>
      <vt:lpstr>Man_05</vt:lpstr>
      <vt:lpstr>Man_05_Aftercare</vt:lpstr>
      <vt:lpstr>Man01_01</vt:lpstr>
      <vt:lpstr>Man01_02</vt:lpstr>
      <vt:lpstr>Man01_03</vt:lpstr>
      <vt:lpstr>Man01_04</vt:lpstr>
      <vt:lpstr>Man01_10</vt:lpstr>
      <vt:lpstr>Man01_11</vt:lpstr>
      <vt:lpstr>Man01_12</vt:lpstr>
      <vt:lpstr>Man01_13</vt:lpstr>
      <vt:lpstr>Man01_19</vt:lpstr>
      <vt:lpstr>Man01_20</vt:lpstr>
      <vt:lpstr>Man01_21</vt:lpstr>
      <vt:lpstr>Man01_22</vt:lpstr>
      <vt:lpstr>Man01_28</vt:lpstr>
      <vt:lpstr>Man01_29</vt:lpstr>
      <vt:lpstr>Man01_30</vt:lpstr>
      <vt:lpstr>Man01_31</vt:lpstr>
      <vt:lpstr>Man01_37</vt:lpstr>
      <vt:lpstr>Man01_38</vt:lpstr>
      <vt:lpstr>Man01_39</vt:lpstr>
      <vt:lpstr>Man01_ccs_credits02</vt:lpstr>
      <vt:lpstr>Man01_credits</vt:lpstr>
      <vt:lpstr>Man01_Exemp</vt:lpstr>
      <vt:lpstr>Man01_notes</vt:lpstr>
      <vt:lpstr>Man01_Tot</vt:lpstr>
      <vt:lpstr>Man01_Tot_Err</vt:lpstr>
      <vt:lpstr>Man02_01</vt:lpstr>
      <vt:lpstr>Man02_02</vt:lpstr>
      <vt:lpstr>Man02_03</vt:lpstr>
      <vt:lpstr>Man02_11</vt:lpstr>
      <vt:lpstr>Man02_12</vt:lpstr>
      <vt:lpstr>Man02_14</vt:lpstr>
      <vt:lpstr>Man02_15</vt:lpstr>
      <vt:lpstr>Man02_16</vt:lpstr>
      <vt:lpstr>Man02_ccs_credits01</vt:lpstr>
      <vt:lpstr>Man02_ccs_credits03</vt:lpstr>
      <vt:lpstr>Man02_ccs_credits04</vt:lpstr>
      <vt:lpstr>Man02_ccs_option01</vt:lpstr>
      <vt:lpstr>Man02_ccs_option03</vt:lpstr>
      <vt:lpstr>Man02_ccs_option04</vt:lpstr>
      <vt:lpstr>Man02_ccs_option05</vt:lpstr>
      <vt:lpstr>Man02_ccs_optipn02</vt:lpstr>
      <vt:lpstr>Man02_CCSscheme_Standard_benchmarks</vt:lpstr>
      <vt:lpstr>Man02_CCSschemelist</vt:lpstr>
      <vt:lpstr>Man02_credits</vt:lpstr>
      <vt:lpstr>Man02_Exemp</vt:lpstr>
      <vt:lpstr>Man02_notes</vt:lpstr>
      <vt:lpstr>Man02_options</vt:lpstr>
      <vt:lpstr>Man02_Tot</vt:lpstr>
      <vt:lpstr>Man02_Tot_Err</vt:lpstr>
      <vt:lpstr>Man03_01</vt:lpstr>
      <vt:lpstr>Man03_02</vt:lpstr>
      <vt:lpstr>Man03_03</vt:lpstr>
      <vt:lpstr>Man03_04</vt:lpstr>
      <vt:lpstr>Man03_06</vt:lpstr>
      <vt:lpstr>Man03_07</vt:lpstr>
      <vt:lpstr>Man03_08</vt:lpstr>
      <vt:lpstr>Man03_09</vt:lpstr>
      <vt:lpstr>Man03_11a</vt:lpstr>
      <vt:lpstr>Man03_11b</vt:lpstr>
      <vt:lpstr>Man03_11c</vt:lpstr>
      <vt:lpstr>Man03_12</vt:lpstr>
      <vt:lpstr>Man03_13</vt:lpstr>
      <vt:lpstr>Man03_14</vt:lpstr>
      <vt:lpstr>Man03_15</vt:lpstr>
      <vt:lpstr>Man03_16</vt:lpstr>
      <vt:lpstr>Man03_18</vt:lpstr>
      <vt:lpstr>Man03_47</vt:lpstr>
      <vt:lpstr>Man03_credits</vt:lpstr>
      <vt:lpstr>Man03_inn</vt:lpstr>
      <vt:lpstr>Man03_kPI01</vt:lpstr>
      <vt:lpstr>Man03_KPI02</vt:lpstr>
      <vt:lpstr>Man03_KPI03</vt:lpstr>
      <vt:lpstr>Man03_KPI04</vt:lpstr>
      <vt:lpstr>Man03_KPI05</vt:lpstr>
      <vt:lpstr>Man03_KPI06</vt:lpstr>
      <vt:lpstr>Man03_KPI07</vt:lpstr>
      <vt:lpstr>Man03_KPI08</vt:lpstr>
      <vt:lpstr>Man03_KPI09</vt:lpstr>
      <vt:lpstr>Man03_KPI09_Err</vt:lpstr>
      <vt:lpstr>Man03_KPI10</vt:lpstr>
      <vt:lpstr>Man03_KPI11</vt:lpstr>
      <vt:lpstr>Man03_KPI11_Err</vt:lpstr>
      <vt:lpstr>Man03_kPI12</vt:lpstr>
      <vt:lpstr>Man03_KPI13</vt:lpstr>
      <vt:lpstr>Man03_KPI14</vt:lpstr>
      <vt:lpstr>Man03_KPI14_Err</vt:lpstr>
      <vt:lpstr>Man03_KPI15</vt:lpstr>
      <vt:lpstr>Man03_KPI16</vt:lpstr>
      <vt:lpstr>Man03_KPI16_Err</vt:lpstr>
      <vt:lpstr>Man03_notes</vt:lpstr>
      <vt:lpstr>Man03_prereq</vt:lpstr>
      <vt:lpstr>Man03_prereq2</vt:lpstr>
      <vt:lpstr>Man03_Tot</vt:lpstr>
      <vt:lpstr>Man03_Tot_Err</vt:lpstr>
      <vt:lpstr>Man04_01</vt:lpstr>
      <vt:lpstr>Man04_02</vt:lpstr>
      <vt:lpstr>Man04_03</vt:lpstr>
      <vt:lpstr>Man04_03cred_FF_SnC</vt:lpstr>
      <vt:lpstr>Man04_03credit_SO</vt:lpstr>
      <vt:lpstr>Man04_04</vt:lpstr>
      <vt:lpstr>Man04_04_1</vt:lpstr>
      <vt:lpstr>Man04_05</vt:lpstr>
      <vt:lpstr>Man04_06</vt:lpstr>
      <vt:lpstr>Man04_07</vt:lpstr>
      <vt:lpstr>Man04_08</vt:lpstr>
      <vt:lpstr>Man04_09</vt:lpstr>
      <vt:lpstr>Man04_10</vt:lpstr>
      <vt:lpstr>Man04_11</vt:lpstr>
      <vt:lpstr>Man04_12</vt:lpstr>
      <vt:lpstr>Man04_13</vt:lpstr>
      <vt:lpstr>Man04_14</vt:lpstr>
      <vt:lpstr>Man04_15</vt:lpstr>
      <vt:lpstr>Man04_16</vt:lpstr>
      <vt:lpstr>Man04_17</vt:lpstr>
      <vt:lpstr>Man04_40</vt:lpstr>
      <vt:lpstr>Man04_BUG</vt:lpstr>
      <vt:lpstr>Man04_credits</vt:lpstr>
      <vt:lpstr>Man04_notes</vt:lpstr>
      <vt:lpstr>Man04_shell</vt:lpstr>
      <vt:lpstr>Man04_tot</vt:lpstr>
      <vt:lpstr>Man04_Tot_Err</vt:lpstr>
      <vt:lpstr>Man05_01</vt:lpstr>
      <vt:lpstr>Man05_02</vt:lpstr>
      <vt:lpstr>Man05_03</vt:lpstr>
      <vt:lpstr>Man05_04</vt:lpstr>
      <vt:lpstr>Man05_05</vt:lpstr>
      <vt:lpstr>Man05_06</vt:lpstr>
      <vt:lpstr>Man05_07</vt:lpstr>
      <vt:lpstr>Man05_08</vt:lpstr>
      <vt:lpstr>Man05_09</vt:lpstr>
      <vt:lpstr>Man05_10</vt:lpstr>
      <vt:lpstr>Man05_11</vt:lpstr>
      <vt:lpstr>Man05_credits</vt:lpstr>
      <vt:lpstr>Man05_exemp</vt:lpstr>
      <vt:lpstr>Man05_exemp_01</vt:lpstr>
      <vt:lpstr>Man05_exemp_02</vt:lpstr>
      <vt:lpstr>Man05_notes</vt:lpstr>
      <vt:lpstr>Man05_tot</vt:lpstr>
      <vt:lpstr>Man05_Tot_Err</vt:lpstr>
      <vt:lpstr>Man06_01</vt:lpstr>
      <vt:lpstr>Man06_02</vt:lpstr>
      <vt:lpstr>Man06_03</vt:lpstr>
      <vt:lpstr>Man06_04</vt:lpstr>
      <vt:lpstr>Man06_05</vt:lpstr>
      <vt:lpstr>Man06_cont</vt:lpstr>
      <vt:lpstr>Man06_credits</vt:lpstr>
      <vt:lpstr>Man06_prereq</vt:lpstr>
      <vt:lpstr>Man06_tot</vt:lpstr>
      <vt:lpstr>Mat_04</vt:lpstr>
      <vt:lpstr>Mat_05</vt:lpstr>
      <vt:lpstr>Mat_06</vt:lpstr>
      <vt:lpstr>Mat01_02</vt:lpstr>
      <vt:lpstr>Mat01_03</vt:lpstr>
      <vt:lpstr>Mat01_05</vt:lpstr>
      <vt:lpstr>Mat01_06</vt:lpstr>
      <vt:lpstr>Mat01_07</vt:lpstr>
      <vt:lpstr>Mat01_08</vt:lpstr>
      <vt:lpstr>Mat01_09</vt:lpstr>
      <vt:lpstr>Mat01_10</vt:lpstr>
      <vt:lpstr>Mat01_11</vt:lpstr>
      <vt:lpstr>Mat01_12</vt:lpstr>
      <vt:lpstr>Mat01_13</vt:lpstr>
      <vt:lpstr>Mat01_14</vt:lpstr>
      <vt:lpstr>Mat01_15</vt:lpstr>
      <vt:lpstr>Mat01_16</vt:lpstr>
      <vt:lpstr>Mat01_17</vt:lpstr>
      <vt:lpstr>Mat01_18</vt:lpstr>
      <vt:lpstr>Mat01_19</vt:lpstr>
      <vt:lpstr>Mat01_20</vt:lpstr>
      <vt:lpstr>Mat01_21</vt:lpstr>
      <vt:lpstr>Mat01_22</vt:lpstr>
      <vt:lpstr>Mat01_23</vt:lpstr>
      <vt:lpstr>Mat01_24</vt:lpstr>
      <vt:lpstr>Mat01_25</vt:lpstr>
      <vt:lpstr>Mat01_26</vt:lpstr>
      <vt:lpstr>Mat01_27</vt:lpstr>
      <vt:lpstr>Mat01_28</vt:lpstr>
      <vt:lpstr>Mat01_29</vt:lpstr>
      <vt:lpstr>Mat01_courts</vt:lpstr>
      <vt:lpstr>Mat01_credits</vt:lpstr>
      <vt:lpstr>Mat01_credits_extra</vt:lpstr>
      <vt:lpstr>Mat01_dataapp</vt:lpstr>
      <vt:lpstr>Mat01_datacheck</vt:lpstr>
      <vt:lpstr>Mat01_education</vt:lpstr>
      <vt:lpstr>Mat01_Exemp_tot</vt:lpstr>
      <vt:lpstr>Mat01_healthcare</vt:lpstr>
      <vt:lpstr>Mat01_industrial</vt:lpstr>
      <vt:lpstr>Mat01_KPI01</vt:lpstr>
      <vt:lpstr>Mat01_KPI02</vt:lpstr>
      <vt:lpstr>Mat01_KPI03</vt:lpstr>
      <vt:lpstr>Mat01_multires</vt:lpstr>
      <vt:lpstr>Mat01_notes</vt:lpstr>
      <vt:lpstr>Mat01_office</vt:lpstr>
      <vt:lpstr>Mat01_other</vt:lpstr>
      <vt:lpstr>Mat01_prisons</vt:lpstr>
      <vt:lpstr>Mat01_retail</vt:lpstr>
      <vt:lpstr>Mat01_tot</vt:lpstr>
      <vt:lpstr>Mat01_totalarea</vt:lpstr>
      <vt:lpstr>Mat01_totalimpact</vt:lpstr>
      <vt:lpstr>Mat02_02</vt:lpstr>
      <vt:lpstr>Mat02_03</vt:lpstr>
      <vt:lpstr>Mat02_04</vt:lpstr>
      <vt:lpstr>Mat02_05</vt:lpstr>
      <vt:lpstr>Mat02_06</vt:lpstr>
      <vt:lpstr>Mat02_credits</vt:lpstr>
      <vt:lpstr>Mat02_notes</vt:lpstr>
      <vt:lpstr>Mat02_tot</vt:lpstr>
      <vt:lpstr>Mat03_02</vt:lpstr>
      <vt:lpstr>Mat03_03</vt:lpstr>
      <vt:lpstr>Mat03_03_Err</vt:lpstr>
      <vt:lpstr>Mat03_04</vt:lpstr>
      <vt:lpstr>Mat03_05</vt:lpstr>
      <vt:lpstr>Mat03_05_Err</vt:lpstr>
      <vt:lpstr>Mat03_06</vt:lpstr>
      <vt:lpstr>Mat03_35</vt:lpstr>
      <vt:lpstr>Mat03_36</vt:lpstr>
      <vt:lpstr>Mat03_37</vt:lpstr>
      <vt:lpstr>Mat03_38</vt:lpstr>
      <vt:lpstr>Mat03_credit_benchmarks</vt:lpstr>
      <vt:lpstr>Mat03_credits</vt:lpstr>
      <vt:lpstr>Mat03_errorcheck</vt:lpstr>
      <vt:lpstr>Mat03_exemp</vt:lpstr>
      <vt:lpstr>Mat03_notes</vt:lpstr>
      <vt:lpstr>Mat03_route_options</vt:lpstr>
      <vt:lpstr>Mat03_tot</vt:lpstr>
      <vt:lpstr>Mat03susproc</vt:lpstr>
      <vt:lpstr>Mat04_01</vt:lpstr>
      <vt:lpstr>Mat04_03</vt:lpstr>
      <vt:lpstr>Mat04_05</vt:lpstr>
      <vt:lpstr>Mat04_07</vt:lpstr>
      <vt:lpstr>Mat04_09</vt:lpstr>
      <vt:lpstr>Mat04_10</vt:lpstr>
      <vt:lpstr>Mat04_credits</vt:lpstr>
      <vt:lpstr>Mat04_notes</vt:lpstr>
      <vt:lpstr>Mat04_tot</vt:lpstr>
      <vt:lpstr>Mat05_01</vt:lpstr>
      <vt:lpstr>Mat05_01a</vt:lpstr>
      <vt:lpstr>Mat05_02</vt:lpstr>
      <vt:lpstr>Mat05_03</vt:lpstr>
      <vt:lpstr>Mat05_04</vt:lpstr>
      <vt:lpstr>Mat05_05</vt:lpstr>
      <vt:lpstr>Mat05_06</vt:lpstr>
      <vt:lpstr>Mat05_08</vt:lpstr>
      <vt:lpstr>Mat05_credits</vt:lpstr>
      <vt:lpstr>Mat05_notes</vt:lpstr>
      <vt:lpstr>Mat05_tot</vt:lpstr>
      <vt:lpstr>Mat06_01</vt:lpstr>
      <vt:lpstr>MAt06_09</vt:lpstr>
      <vt:lpstr>Mat06_Credits</vt:lpstr>
      <vt:lpstr>Mat06_tot</vt:lpstr>
      <vt:lpstr>Mat07_01</vt:lpstr>
      <vt:lpstr>Mat07_02</vt:lpstr>
      <vt:lpstr>Mat07_03</vt:lpstr>
      <vt:lpstr>Mat07_04</vt:lpstr>
      <vt:lpstr>Mat07_05</vt:lpstr>
      <vt:lpstr>Mat07_06</vt:lpstr>
      <vt:lpstr>Mat07_07</vt:lpstr>
      <vt:lpstr>Mat07_08</vt:lpstr>
      <vt:lpstr>mat07_09</vt:lpstr>
      <vt:lpstr>Mat07_10</vt:lpstr>
      <vt:lpstr>Mat07_credits</vt:lpstr>
      <vt:lpstr>Mat07_tot</vt:lpstr>
      <vt:lpstr>MinSt_01</vt:lpstr>
      <vt:lpstr>MinSt_02</vt:lpstr>
      <vt:lpstr>MinSt_03</vt:lpstr>
      <vt:lpstr>MinSt_04</vt:lpstr>
      <vt:lpstr>MinSt_06</vt:lpstr>
      <vt:lpstr>MinSt_07</vt:lpstr>
      <vt:lpstr>MinSt_09</vt:lpstr>
      <vt:lpstr>MinSt_10</vt:lpstr>
      <vt:lpstr>MinSt_11</vt:lpstr>
      <vt:lpstr>MinSt_12</vt:lpstr>
      <vt:lpstr>MinSt_13</vt:lpstr>
      <vt:lpstr>MinSt_14</vt:lpstr>
      <vt:lpstr>MinSt_15</vt:lpstr>
      <vt:lpstr>MinSt_16</vt:lpstr>
      <vt:lpstr>MinSt_17</vt:lpstr>
      <vt:lpstr>MinSt_18</vt:lpstr>
      <vt:lpstr>Mna02_ccs_credits00</vt:lpstr>
      <vt:lpstr>MultiResidential_Accommodation</vt:lpstr>
      <vt:lpstr>Non_Resi_Weight</vt:lpstr>
      <vt:lpstr>Northern_Ireland</vt:lpstr>
      <vt:lpstr>Not_cons_imp</vt:lpstr>
      <vt:lpstr>Not_Cons_Imp_SAP</vt:lpstr>
      <vt:lpstr>Not_dem_imp</vt:lpstr>
      <vt:lpstr>Not_dem_impSAP</vt:lpstr>
      <vt:lpstr>Office</vt:lpstr>
      <vt:lpstr>Old_wst01_02</vt:lpstr>
      <vt:lpstr>Pol_01</vt:lpstr>
      <vt:lpstr>Pol_02</vt:lpstr>
      <vt:lpstr>Pol_03</vt:lpstr>
      <vt:lpstr>Pol_04</vt:lpstr>
      <vt:lpstr>Pol_05</vt:lpstr>
      <vt:lpstr>Pol01_01</vt:lpstr>
      <vt:lpstr>Pol01_02</vt:lpstr>
      <vt:lpstr>Pol01_03</vt:lpstr>
      <vt:lpstr>Pol01_04</vt:lpstr>
      <vt:lpstr>Pol01_05</vt:lpstr>
      <vt:lpstr>Pol01_06</vt:lpstr>
      <vt:lpstr>Pol01_07</vt:lpstr>
      <vt:lpstr>Pol01_08</vt:lpstr>
      <vt:lpstr>Pol01_09</vt:lpstr>
      <vt:lpstr>Pol01_10</vt:lpstr>
      <vt:lpstr>Pol01_11</vt:lpstr>
      <vt:lpstr>Pol01_12</vt:lpstr>
      <vt:lpstr>Pol01_13</vt:lpstr>
      <vt:lpstr>Pol01_14</vt:lpstr>
      <vt:lpstr>Pol01_15</vt:lpstr>
      <vt:lpstr>Pol01_16</vt:lpstr>
      <vt:lpstr>Pol01_17</vt:lpstr>
      <vt:lpstr>Pol01_18</vt:lpstr>
      <vt:lpstr>Pol01_19</vt:lpstr>
      <vt:lpstr>Pol01_20</vt:lpstr>
      <vt:lpstr>Pol01_21</vt:lpstr>
      <vt:lpstr>Pol01_credits</vt:lpstr>
      <vt:lpstr>Pol01_KPI02</vt:lpstr>
      <vt:lpstr>Pol01_notes</vt:lpstr>
      <vt:lpstr>Pol01_prereq</vt:lpstr>
      <vt:lpstr>Pol01_tot</vt:lpstr>
      <vt:lpstr>Pol01_Tot_Err</vt:lpstr>
      <vt:lpstr>Pol02_02</vt:lpstr>
      <vt:lpstr>Pol02_03</vt:lpstr>
      <vt:lpstr>Pol02_04</vt:lpstr>
      <vt:lpstr>Pol02_05</vt:lpstr>
      <vt:lpstr>Pol02_06</vt:lpstr>
      <vt:lpstr>Pol02_07</vt:lpstr>
      <vt:lpstr>Pol02_08</vt:lpstr>
      <vt:lpstr>Pol02_09</vt:lpstr>
      <vt:lpstr>Pol02_10</vt:lpstr>
      <vt:lpstr>Pol02_11</vt:lpstr>
      <vt:lpstr>Pol02_12</vt:lpstr>
      <vt:lpstr>Pol02_20</vt:lpstr>
      <vt:lpstr>Pol02_21</vt:lpstr>
      <vt:lpstr>Pol02_23</vt:lpstr>
      <vt:lpstr>Pol02_24</vt:lpstr>
      <vt:lpstr>Pol02_25</vt:lpstr>
      <vt:lpstr>Pol02_26</vt:lpstr>
      <vt:lpstr>Pol02_27</vt:lpstr>
      <vt:lpstr>Pol02_28</vt:lpstr>
      <vt:lpstr>Pol02_29</vt:lpstr>
      <vt:lpstr>Pol02_30</vt:lpstr>
      <vt:lpstr>Pol02_31</vt:lpstr>
      <vt:lpstr>Pol02_benchmark01</vt:lpstr>
      <vt:lpstr>Pol02_benchmark02</vt:lpstr>
      <vt:lpstr>Pol02_Calc_tot</vt:lpstr>
      <vt:lpstr>Pol02_credits</vt:lpstr>
      <vt:lpstr>Pol02_HIB_options</vt:lpstr>
      <vt:lpstr>Pol02_notes</vt:lpstr>
      <vt:lpstr>Pol02_result</vt:lpstr>
      <vt:lpstr>Pol02_result01</vt:lpstr>
      <vt:lpstr>Pol02_result02</vt:lpstr>
      <vt:lpstr>Pol02_result03</vt:lpstr>
      <vt:lpstr>Pol02_tot</vt:lpstr>
      <vt:lpstr>Pol02_Tot_01</vt:lpstr>
      <vt:lpstr>Pol02_Tot_02</vt:lpstr>
      <vt:lpstr>Pol02_Tot_2</vt:lpstr>
      <vt:lpstr>Pol03_01</vt:lpstr>
      <vt:lpstr>Pol03_02</vt:lpstr>
      <vt:lpstr>Pol03_03</vt:lpstr>
      <vt:lpstr>Pol03_04</vt:lpstr>
      <vt:lpstr>Pol03_05</vt:lpstr>
      <vt:lpstr>Pol03_06</vt:lpstr>
      <vt:lpstr>Pol03_07</vt:lpstr>
      <vt:lpstr>Pol03_08</vt:lpstr>
      <vt:lpstr>Pol03_09</vt:lpstr>
      <vt:lpstr>Pol03_10</vt:lpstr>
      <vt:lpstr>Pol03_11</vt:lpstr>
      <vt:lpstr>Pol03_12</vt:lpstr>
      <vt:lpstr>Pol03_13</vt:lpstr>
      <vt:lpstr>Pol03_14</vt:lpstr>
      <vt:lpstr>Pol03_15</vt:lpstr>
      <vt:lpstr>Pol03_30</vt:lpstr>
      <vt:lpstr>Pol03_31</vt:lpstr>
      <vt:lpstr>Pol03_32</vt:lpstr>
      <vt:lpstr>Pol03_33</vt:lpstr>
      <vt:lpstr>Pol03_34</vt:lpstr>
      <vt:lpstr>Pol03_35</vt:lpstr>
      <vt:lpstr>Pol03_36</vt:lpstr>
      <vt:lpstr>Pol03_37</vt:lpstr>
      <vt:lpstr>Pol03_38</vt:lpstr>
      <vt:lpstr>Pol03_39</vt:lpstr>
      <vt:lpstr>Pol03_40</vt:lpstr>
      <vt:lpstr>Pol03_41</vt:lpstr>
      <vt:lpstr>Pol03_42</vt:lpstr>
      <vt:lpstr>Pol03_43</vt:lpstr>
      <vt:lpstr>Pol03_44</vt:lpstr>
      <vt:lpstr>Pol03_credits</vt:lpstr>
      <vt:lpstr>Pol03_floodoptions</vt:lpstr>
      <vt:lpstr>Pol03_notes</vt:lpstr>
      <vt:lpstr>Pol03_option01</vt:lpstr>
      <vt:lpstr>Pol03_option02</vt:lpstr>
      <vt:lpstr>Pol03_option03</vt:lpstr>
      <vt:lpstr>Pol03_option04</vt:lpstr>
      <vt:lpstr>Pol03_option05</vt:lpstr>
      <vt:lpstr>Pol03_SD_01</vt:lpstr>
      <vt:lpstr>Pol03_SD_options</vt:lpstr>
      <vt:lpstr>Pol03_tot</vt:lpstr>
      <vt:lpstr>Pol03_Tot_Err</vt:lpstr>
      <vt:lpstr>Pol04_01</vt:lpstr>
      <vt:lpstr>Pol04_02</vt:lpstr>
      <vt:lpstr>Pol04_03</vt:lpstr>
      <vt:lpstr>Pol04_04</vt:lpstr>
      <vt:lpstr>Pol04_05</vt:lpstr>
      <vt:lpstr>Pol04_06</vt:lpstr>
      <vt:lpstr>Pol04_08</vt:lpstr>
      <vt:lpstr>Pol04_credits</vt:lpstr>
      <vt:lpstr>Pol04_notes</vt:lpstr>
      <vt:lpstr>Pol04_switch</vt:lpstr>
      <vt:lpstr>Pol04_tot</vt:lpstr>
      <vt:lpstr>Pol05_02</vt:lpstr>
      <vt:lpstr>Pol05_03</vt:lpstr>
      <vt:lpstr>Pol05_04</vt:lpstr>
      <vt:lpstr>Pol05_06</vt:lpstr>
      <vt:lpstr>Pol05_07</vt:lpstr>
      <vt:lpstr>Pol05_09</vt:lpstr>
      <vt:lpstr>Pol05_10</vt:lpstr>
      <vt:lpstr>Pol05_11</vt:lpstr>
      <vt:lpstr>Pol05_12</vt:lpstr>
      <vt:lpstr>Pol05_13</vt:lpstr>
      <vt:lpstr>Pol05_14</vt:lpstr>
      <vt:lpstr>Pol05_credits</vt:lpstr>
      <vt:lpstr>Pol05_notes</vt:lpstr>
      <vt:lpstr>Pol05_tot</vt:lpstr>
      <vt:lpstr>Pol05_Tot_Err</vt:lpstr>
      <vt:lpstr>Prison</vt:lpstr>
      <vt:lpstr>Prisons</vt:lpstr>
      <vt:lpstr>projecttype</vt:lpstr>
      <vt:lpstr>Residential</vt:lpstr>
      <vt:lpstr>Residential_Institution</vt:lpstr>
      <vt:lpstr>Retail</vt:lpstr>
      <vt:lpstr>S_Resi_Weight</vt:lpstr>
      <vt:lpstr>Scotland</vt:lpstr>
      <vt:lpstr>Scotland_Bld_Regs_v</vt:lpstr>
      <vt:lpstr>Scotland_List</vt:lpstr>
      <vt:lpstr>SEne01_01</vt:lpstr>
      <vt:lpstr>SEne01_02</vt:lpstr>
      <vt:lpstr>SEne01_03</vt:lpstr>
      <vt:lpstr>SEne01_N_Res_Range</vt:lpstr>
      <vt:lpstr>SEne01_Pimp</vt:lpstr>
      <vt:lpstr>SEne01_Res_Range</vt:lpstr>
      <vt:lpstr>SEne01_Tot</vt:lpstr>
      <vt:lpstr>SETra03_01</vt:lpstr>
      <vt:lpstr>Tra_01</vt:lpstr>
      <vt:lpstr>Tra_02</vt:lpstr>
      <vt:lpstr>Tra_03</vt:lpstr>
      <vt:lpstr>Tra_03b</vt:lpstr>
      <vt:lpstr>Tra_04</vt:lpstr>
      <vt:lpstr>Tra_05</vt:lpstr>
      <vt:lpstr>Tra01_01</vt:lpstr>
      <vt:lpstr>Tra01_03</vt:lpstr>
      <vt:lpstr>Tra01_04</vt:lpstr>
      <vt:lpstr>Tra01_05</vt:lpstr>
      <vt:lpstr>Tra01_06</vt:lpstr>
      <vt:lpstr>Tra01_07</vt:lpstr>
      <vt:lpstr>Tra01_07_Err</vt:lpstr>
      <vt:lpstr>TRa01_08</vt:lpstr>
      <vt:lpstr>Tra01_08_Err</vt:lpstr>
      <vt:lpstr>Tra01_09</vt:lpstr>
      <vt:lpstr>Tra01_10</vt:lpstr>
      <vt:lpstr>Tra01_11</vt:lpstr>
      <vt:lpstr>Tra01_12</vt:lpstr>
      <vt:lpstr>Tra01_13</vt:lpstr>
      <vt:lpstr>Tra01_AI_calc</vt:lpstr>
      <vt:lpstr>Tra01_benchmarks</vt:lpstr>
      <vt:lpstr>Tra01_credits</vt:lpstr>
      <vt:lpstr>Tra01_Max_credits_available</vt:lpstr>
      <vt:lpstr>Tra01_notes</vt:lpstr>
      <vt:lpstr>Tra01_retail</vt:lpstr>
      <vt:lpstr>Tra01_rural</vt:lpstr>
      <vt:lpstr>Tra01_rural_sens</vt:lpstr>
      <vt:lpstr>Tra01_school</vt:lpstr>
      <vt:lpstr>Tra01_tot</vt:lpstr>
      <vt:lpstr>Tra01_Tot_Err</vt:lpstr>
      <vt:lpstr>Tra01_Type00</vt:lpstr>
      <vt:lpstr>Tra01_type1</vt:lpstr>
      <vt:lpstr>Tra01_type1a</vt:lpstr>
      <vt:lpstr>Tra01_type1b</vt:lpstr>
      <vt:lpstr>Tra01_type1c</vt:lpstr>
      <vt:lpstr>Tra01_type2</vt:lpstr>
      <vt:lpstr>Tra01_type2b</vt:lpstr>
      <vt:lpstr>Tra01_type2c</vt:lpstr>
      <vt:lpstr>Tra01_type3</vt:lpstr>
      <vt:lpstr>Tra01_type4a</vt:lpstr>
      <vt:lpstr>Tra01_type5</vt:lpstr>
      <vt:lpstr>Tra02_01</vt:lpstr>
      <vt:lpstr>Tra02_02</vt:lpstr>
      <vt:lpstr>Tra02_03</vt:lpstr>
      <vt:lpstr>Tra02_04</vt:lpstr>
      <vt:lpstr>Tra02_05</vt:lpstr>
      <vt:lpstr>Tra02_06</vt:lpstr>
      <vt:lpstr>Tra02_06_Err</vt:lpstr>
      <vt:lpstr>Tra02_07</vt:lpstr>
      <vt:lpstr>Tra02_07_Err</vt:lpstr>
      <vt:lpstr>Tra02_credits</vt:lpstr>
      <vt:lpstr>Tra02_notes</vt:lpstr>
      <vt:lpstr>Tra02_sub_credits</vt:lpstr>
      <vt:lpstr>Tra02_tot</vt:lpstr>
      <vt:lpstr>Tra02_Tot_Err</vt:lpstr>
      <vt:lpstr>Tra03_01</vt:lpstr>
      <vt:lpstr>Tra03_02</vt:lpstr>
      <vt:lpstr>Tra03_03</vt:lpstr>
      <vt:lpstr>Tra03_04</vt:lpstr>
      <vt:lpstr>Tra03_09_Extra</vt:lpstr>
      <vt:lpstr>Tra03_13</vt:lpstr>
      <vt:lpstr>Tra03_13_Err</vt:lpstr>
      <vt:lpstr>Tra03_14</vt:lpstr>
      <vt:lpstr>Tra03_14_Err</vt:lpstr>
      <vt:lpstr>Tra03_15</vt:lpstr>
      <vt:lpstr>Tra03_16</vt:lpstr>
      <vt:lpstr>Tra03_17</vt:lpstr>
      <vt:lpstr>Tra03_credits</vt:lpstr>
      <vt:lpstr>Tra03_Credits_Err</vt:lpstr>
      <vt:lpstr>Tra03_Credits_Tot</vt:lpstr>
      <vt:lpstr>Tra03_cycle</vt:lpstr>
      <vt:lpstr>Tra03_cycle_fac</vt:lpstr>
      <vt:lpstr>Tra03_facilities</vt:lpstr>
      <vt:lpstr>Tra03_LT_Resi</vt:lpstr>
      <vt:lpstr>Tra03_notes</vt:lpstr>
      <vt:lpstr>Tra03_option</vt:lpstr>
      <vt:lpstr>Tra03_option00</vt:lpstr>
      <vt:lpstr>Tra03_option01</vt:lpstr>
      <vt:lpstr>Tra03_option02</vt:lpstr>
      <vt:lpstr>Tra03_option03</vt:lpstr>
      <vt:lpstr>Tra03_option04</vt:lpstr>
      <vt:lpstr>Tra03_option05</vt:lpstr>
      <vt:lpstr>Tra03_option06</vt:lpstr>
      <vt:lpstr>Tra03_option07</vt:lpstr>
      <vt:lpstr>Tra03_option08</vt:lpstr>
      <vt:lpstr>Tra03_option09</vt:lpstr>
      <vt:lpstr>Tra03_option10</vt:lpstr>
      <vt:lpstr>Tra03_option11</vt:lpstr>
      <vt:lpstr>Tra03_option12</vt:lpstr>
      <vt:lpstr>Tra03_option13</vt:lpstr>
      <vt:lpstr>Tra03_option14</vt:lpstr>
      <vt:lpstr>Tra03_option15</vt:lpstr>
      <vt:lpstr>Tra03_option16</vt:lpstr>
      <vt:lpstr>Tra03_option17</vt:lpstr>
      <vt:lpstr>Tra03_option18</vt:lpstr>
      <vt:lpstr>Tra03_options</vt:lpstr>
      <vt:lpstr>Tra03_retail</vt:lpstr>
      <vt:lpstr>Tra03_rural</vt:lpstr>
      <vt:lpstr>Tra03_rural_sens</vt:lpstr>
      <vt:lpstr>Tra03_school</vt:lpstr>
      <vt:lpstr>Tra03_tot</vt:lpstr>
      <vt:lpstr>Tra03_Tot_Err</vt:lpstr>
      <vt:lpstr>Tra03_TransHub</vt:lpstr>
      <vt:lpstr>Tra03a_Inn</vt:lpstr>
      <vt:lpstr>Tra03a_option</vt:lpstr>
      <vt:lpstr>Tra03b_02</vt:lpstr>
      <vt:lpstr>Tra03b_13</vt:lpstr>
      <vt:lpstr>Tra03b_14</vt:lpstr>
      <vt:lpstr>Tra03b_14_err</vt:lpstr>
      <vt:lpstr>Tra03b_15</vt:lpstr>
      <vt:lpstr>Tra03b_16</vt:lpstr>
      <vt:lpstr>Tra03b_17</vt:lpstr>
      <vt:lpstr>Tra03b_credits</vt:lpstr>
      <vt:lpstr>Tra03b_cycle</vt:lpstr>
      <vt:lpstr>Tra03b_Inn</vt:lpstr>
      <vt:lpstr>Tra03b_options</vt:lpstr>
      <vt:lpstr>Tra03b_tot</vt:lpstr>
      <vt:lpstr>Tra03b_tot_err</vt:lpstr>
      <vt:lpstr>Tra04_02</vt:lpstr>
      <vt:lpstr>Tra04_03</vt:lpstr>
      <vt:lpstr>Tra04_04</vt:lpstr>
      <vt:lpstr>Tra04_05</vt:lpstr>
      <vt:lpstr>tra04_06</vt:lpstr>
      <vt:lpstr>Tra04_07</vt:lpstr>
      <vt:lpstr>Tra04_08</vt:lpstr>
      <vt:lpstr>Tra04_09</vt:lpstr>
      <vt:lpstr>Tra04_09_Err</vt:lpstr>
      <vt:lpstr>Tra04_10</vt:lpstr>
      <vt:lpstr>Tra04_10_Err</vt:lpstr>
      <vt:lpstr>Tra04_credits</vt:lpstr>
      <vt:lpstr>Tra04_notes</vt:lpstr>
      <vt:lpstr>Tra04_tot</vt:lpstr>
      <vt:lpstr>Tra04_Tot_Err</vt:lpstr>
      <vt:lpstr>Tra05_01</vt:lpstr>
      <vt:lpstr>Tra05_02</vt:lpstr>
      <vt:lpstr>Tra05_03</vt:lpstr>
      <vt:lpstr>Tra05_04</vt:lpstr>
      <vt:lpstr>Tra05_04_Err</vt:lpstr>
      <vt:lpstr>Tra05_05</vt:lpstr>
      <vt:lpstr>Tra05_05_Err</vt:lpstr>
      <vt:lpstr>Tra05_credits</vt:lpstr>
      <vt:lpstr>Tra05_notes</vt:lpstr>
      <vt:lpstr>Tra05_switch</vt:lpstr>
      <vt:lpstr>Tra05_tot</vt:lpstr>
      <vt:lpstr>Tra06_01</vt:lpstr>
      <vt:lpstr>Tra06_02</vt:lpstr>
      <vt:lpstr>Tra06_03</vt:lpstr>
      <vt:lpstr>Tra06_04</vt:lpstr>
      <vt:lpstr>Tra06_05</vt:lpstr>
      <vt:lpstr>Tra06_credits</vt:lpstr>
      <vt:lpstr>Tra06_switch</vt:lpstr>
      <vt:lpstr>Tra06_tot</vt:lpstr>
      <vt:lpstr>TVC_Current_Version</vt:lpstr>
      <vt:lpstr>'Assessment Details'!Utskriftsområde</vt:lpstr>
      <vt:lpstr>'Assessment Issue Scoring'!Utskriftsområde</vt:lpstr>
      <vt:lpstr>'Assessment Rating &amp; KPIs'!Utskriftsområde</vt:lpstr>
      <vt:lpstr>'Assessment References'!Utskriftsområde</vt:lpstr>
      <vt:lpstr>'Assessment Details'!Utskriftsrubriker</vt:lpstr>
      <vt:lpstr>'Assessment References'!Utskriftsrubriker</vt:lpstr>
      <vt:lpstr>Wales</vt:lpstr>
      <vt:lpstr>Wat_01</vt:lpstr>
      <vt:lpstr>Wat_02</vt:lpstr>
      <vt:lpstr>Wat_03</vt:lpstr>
      <vt:lpstr>Wat_04</vt:lpstr>
      <vt:lpstr>Wat01_00</vt:lpstr>
      <vt:lpstr>Wat01_01</vt:lpstr>
      <vt:lpstr>Wat01_02</vt:lpstr>
      <vt:lpstr>Wat01_03</vt:lpstr>
      <vt:lpstr>Wat01_04</vt:lpstr>
      <vt:lpstr>Wat01_05</vt:lpstr>
      <vt:lpstr>Wat01_08</vt:lpstr>
      <vt:lpstr>Wat01_09</vt:lpstr>
      <vt:lpstr>Wat01_10</vt:lpstr>
      <vt:lpstr>Wat01_11</vt:lpstr>
      <vt:lpstr>Wat01_12</vt:lpstr>
      <vt:lpstr>Wat01_13</vt:lpstr>
      <vt:lpstr>Wat01_14</vt:lpstr>
      <vt:lpstr>Wat01_15</vt:lpstr>
      <vt:lpstr>Wat01_15_Err</vt:lpstr>
      <vt:lpstr>Wat01_15_Tot</vt:lpstr>
      <vt:lpstr>Wat01_16</vt:lpstr>
      <vt:lpstr>Wat01_Alt_bench</vt:lpstr>
      <vt:lpstr>Wat01_Alt_bench01</vt:lpstr>
      <vt:lpstr>Wat01_Alt_Exemp</vt:lpstr>
      <vt:lpstr>Wat01_Alt_level5</vt:lpstr>
      <vt:lpstr>Wat01_Alt_Levels</vt:lpstr>
      <vt:lpstr>Wat01_Alt_Recycle_systems</vt:lpstr>
      <vt:lpstr>Wat01_Alt_subtotal</vt:lpstr>
      <vt:lpstr>Wat01_Alt_total</vt:lpstr>
      <vt:lpstr>Wat01_benchmarks</vt:lpstr>
      <vt:lpstr>Wat01_credits</vt:lpstr>
      <vt:lpstr>Wat01_Exemp</vt:lpstr>
      <vt:lpstr>Wat01_KPI01</vt:lpstr>
      <vt:lpstr>Wat01_KPI02</vt:lpstr>
      <vt:lpstr>Wat01_notes</vt:lpstr>
      <vt:lpstr>Wat01_tot</vt:lpstr>
      <vt:lpstr>Wat01_Tot_Err</vt:lpstr>
      <vt:lpstr>Wat02_02</vt:lpstr>
      <vt:lpstr>Wat02_03</vt:lpstr>
      <vt:lpstr>Wat02_04</vt:lpstr>
      <vt:lpstr>Wat02_05</vt:lpstr>
      <vt:lpstr>Wat02_06</vt:lpstr>
      <vt:lpstr>Wat02_07</vt:lpstr>
      <vt:lpstr>Wat02_08</vt:lpstr>
      <vt:lpstr>Wat02_10</vt:lpstr>
      <vt:lpstr>Wat02_11</vt:lpstr>
      <vt:lpstr>Wat02_12</vt:lpstr>
      <vt:lpstr>Wat02_13</vt:lpstr>
      <vt:lpstr>Wat02_credits</vt:lpstr>
      <vt:lpstr>Wat02_notes</vt:lpstr>
      <vt:lpstr>Wat02_tot</vt:lpstr>
      <vt:lpstr>Wat03_01</vt:lpstr>
      <vt:lpstr>Wat03_02</vt:lpstr>
      <vt:lpstr>Wat03_03</vt:lpstr>
      <vt:lpstr>Wat03_04</vt:lpstr>
      <vt:lpstr>Wat03_05</vt:lpstr>
      <vt:lpstr>Wat03_06</vt:lpstr>
      <vt:lpstr>Wat03_07</vt:lpstr>
      <vt:lpstr>Wat03_08</vt:lpstr>
      <vt:lpstr>Wat03_09</vt:lpstr>
      <vt:lpstr>Wat03_10</vt:lpstr>
      <vt:lpstr>Wat03_11</vt:lpstr>
      <vt:lpstr>Wat03_12</vt:lpstr>
      <vt:lpstr>Wat03_13</vt:lpstr>
      <vt:lpstr>Wat03_credits</vt:lpstr>
      <vt:lpstr>Wat03_notes</vt:lpstr>
      <vt:lpstr>Wat03_tot</vt:lpstr>
      <vt:lpstr>Wat04_01</vt:lpstr>
      <vt:lpstr>Wat04_02</vt:lpstr>
      <vt:lpstr>Wat04_03</vt:lpstr>
      <vt:lpstr>Wat04_04</vt:lpstr>
      <vt:lpstr>Wat04_05</vt:lpstr>
      <vt:lpstr>Wat04_06</vt:lpstr>
      <vt:lpstr>Wat04_credits</vt:lpstr>
      <vt:lpstr>Wat04_notes</vt:lpstr>
      <vt:lpstr>Wat04_tot</vt:lpstr>
      <vt:lpstr>Wat04_Tot_Err</vt:lpstr>
      <vt:lpstr>WD_Scotland</vt:lpstr>
      <vt:lpstr>Wst_01</vt:lpstr>
      <vt:lpstr>Wst_02</vt:lpstr>
      <vt:lpstr>Wst_03</vt:lpstr>
      <vt:lpstr>Wst_04</vt:lpstr>
      <vt:lpstr>Wst01_01</vt:lpstr>
      <vt:lpstr>Wst01_01a</vt:lpstr>
      <vt:lpstr>Wst01_02</vt:lpstr>
      <vt:lpstr>Wst01_03</vt:lpstr>
      <vt:lpstr>Wst01_04</vt:lpstr>
      <vt:lpstr>Wst01_05</vt:lpstr>
      <vt:lpstr>Wst01_06</vt:lpstr>
      <vt:lpstr>Wst01_07</vt:lpstr>
      <vt:lpstr>Wst01_08</vt:lpstr>
      <vt:lpstr>Wst01_09</vt:lpstr>
      <vt:lpstr>Wst01_10</vt:lpstr>
      <vt:lpstr>Wst01_11</vt:lpstr>
      <vt:lpstr>Wst01_12</vt:lpstr>
      <vt:lpstr>Wst01_13</vt:lpstr>
      <vt:lpstr>Wst01_14</vt:lpstr>
      <vt:lpstr>Wst01_15</vt:lpstr>
      <vt:lpstr>Wst01_17</vt:lpstr>
      <vt:lpstr>Wst01_17_Err</vt:lpstr>
      <vt:lpstr>Wst01_18</vt:lpstr>
      <vt:lpstr>Wst01_19</vt:lpstr>
      <vt:lpstr>Wst01_20</vt:lpstr>
      <vt:lpstr>Wst01_22</vt:lpstr>
      <vt:lpstr>Wst01_23</vt:lpstr>
      <vt:lpstr>Wst01_24</vt:lpstr>
      <vt:lpstr>Wst01_25</vt:lpstr>
      <vt:lpstr>Wst01_26</vt:lpstr>
      <vt:lpstr>Wst01_27</vt:lpstr>
      <vt:lpstr>Wst01_28</vt:lpstr>
      <vt:lpstr>Wst01_29</vt:lpstr>
      <vt:lpstr>Wst01_50</vt:lpstr>
      <vt:lpstr>Wst01_51</vt:lpstr>
      <vt:lpstr>Wst01_61</vt:lpstr>
      <vt:lpstr>Wst01_62</vt:lpstr>
      <vt:lpstr>Wst01_63</vt:lpstr>
      <vt:lpstr>Wst01_64</vt:lpstr>
      <vt:lpstr>Wst01_65</vt:lpstr>
      <vt:lpstr>Wst01_66</vt:lpstr>
      <vt:lpstr>Wst01_67</vt:lpstr>
      <vt:lpstr>Wst01_68</vt:lpstr>
      <vt:lpstr>Wst01_69</vt:lpstr>
      <vt:lpstr>Wst01_70</vt:lpstr>
      <vt:lpstr>Wst01_71</vt:lpstr>
      <vt:lpstr>Wst01_72</vt:lpstr>
      <vt:lpstr>Wst01_73</vt:lpstr>
      <vt:lpstr>Wst01_74</vt:lpstr>
      <vt:lpstr>Wst01_credit_awarded</vt:lpstr>
      <vt:lpstr>Wst01_credits</vt:lpstr>
      <vt:lpstr>Wst01_notes</vt:lpstr>
      <vt:lpstr>Wst01_tot</vt:lpstr>
      <vt:lpstr>Wst01_Tot_Er</vt:lpstr>
      <vt:lpstr>Wst01_Tot_Err</vt:lpstr>
      <vt:lpstr>Wst01_Units</vt:lpstr>
      <vt:lpstr>Wst02_01</vt:lpstr>
      <vt:lpstr>Wst02_02</vt:lpstr>
      <vt:lpstr>Wst02_03</vt:lpstr>
      <vt:lpstr>Wst02_04</vt:lpstr>
      <vt:lpstr>Wst02_05</vt:lpstr>
      <vt:lpstr>Wst02_06</vt:lpstr>
      <vt:lpstr>Wst02_07</vt:lpstr>
      <vt:lpstr>Wst02_08</vt:lpstr>
      <vt:lpstr>Wst02_10</vt:lpstr>
      <vt:lpstr>Wst02_11</vt:lpstr>
      <vt:lpstr>Wst02_13</vt:lpstr>
      <vt:lpstr>Wst02_14</vt:lpstr>
      <vt:lpstr>Wst02_15</vt:lpstr>
      <vt:lpstr>Wst02_16</vt:lpstr>
      <vt:lpstr>Wst02_17</vt:lpstr>
      <vt:lpstr>Wst02_credits</vt:lpstr>
      <vt:lpstr>Wst02_notes</vt:lpstr>
      <vt:lpstr>Wst02_tot</vt:lpstr>
      <vt:lpstr>Wst02_Tot_Err</vt:lpstr>
      <vt:lpstr>Wst03_02</vt:lpstr>
      <vt:lpstr>Wst03_03</vt:lpstr>
      <vt:lpstr>Wst03_04</vt:lpstr>
      <vt:lpstr>Wst03_05</vt:lpstr>
      <vt:lpstr>Wst03_06</vt:lpstr>
      <vt:lpstr>Wst03_07</vt:lpstr>
      <vt:lpstr>Wst03_09</vt:lpstr>
      <vt:lpstr>Wst03_10</vt:lpstr>
      <vt:lpstr>Wst03_11</vt:lpstr>
      <vt:lpstr>Wst03_12</vt:lpstr>
      <vt:lpstr>Wst03_13</vt:lpstr>
      <vt:lpstr>Wst03_14</vt:lpstr>
      <vt:lpstr>Wst03_credits</vt:lpstr>
      <vt:lpstr>Wst03_HCreq</vt:lpstr>
      <vt:lpstr>Wst03_Multiresreq</vt:lpstr>
      <vt:lpstr>Wst03_notes</vt:lpstr>
      <vt:lpstr>Wst03_Schoolreq</vt:lpstr>
      <vt:lpstr>Wst03_tot</vt:lpstr>
      <vt:lpstr>Wst03a_switch</vt:lpstr>
      <vt:lpstr>Wst03b_01</vt:lpstr>
      <vt:lpstr>Wst03b_02</vt:lpstr>
      <vt:lpstr>Wst03b_03</vt:lpstr>
      <vt:lpstr>Wst03b_04</vt:lpstr>
      <vt:lpstr>Wst03b_05</vt:lpstr>
      <vt:lpstr>Wst03b_06</vt:lpstr>
      <vt:lpstr>Wst03b_07</vt:lpstr>
      <vt:lpstr>Wst03b_08</vt:lpstr>
      <vt:lpstr>Wst03b_09</vt:lpstr>
      <vt:lpstr>Wst03b_10</vt:lpstr>
      <vt:lpstr>Wst03b_credits</vt:lpstr>
      <vt:lpstr>Wst03b_switch</vt:lpstr>
      <vt:lpstr>Wst03b_tot</vt:lpstr>
      <vt:lpstr>Wst04_01</vt:lpstr>
      <vt:lpstr>Wst04_03</vt:lpstr>
      <vt:lpstr>Wst04_04</vt:lpstr>
      <vt:lpstr>Wst04_05</vt:lpstr>
      <vt:lpstr>Wst04_06</vt:lpstr>
      <vt:lpstr>Wst04_07</vt:lpstr>
      <vt:lpstr>Wst04_08</vt:lpstr>
      <vt:lpstr>Wst04_09</vt:lpstr>
      <vt:lpstr>Wst04_credits</vt:lpstr>
      <vt:lpstr>Wst04_MR_options</vt:lpstr>
      <vt:lpstr>Wst04_notes</vt:lpstr>
      <vt:lpstr>Wst04_option00</vt:lpstr>
      <vt:lpstr>Wst04_option01</vt:lpstr>
      <vt:lpstr>Wst04_option02</vt:lpstr>
      <vt:lpstr>Wst04_option03</vt:lpstr>
      <vt:lpstr>Wst04_option06</vt:lpstr>
      <vt:lpstr>Wst04_option07</vt:lpstr>
      <vt:lpstr>Wst04_options</vt:lpstr>
      <vt:lpstr>Wst04_tot</vt:lpstr>
      <vt:lpstr>Wst04_Tot_Err</vt:lpstr>
      <vt:lpstr>Wst05_01</vt:lpstr>
      <vt:lpstr>Wst05_02</vt:lpstr>
      <vt:lpstr>Wst05_03</vt:lpstr>
      <vt:lpstr>Wst05_04</vt:lpstr>
      <vt:lpstr>Wst05_05</vt:lpstr>
      <vt:lpstr>Wst05_06</vt:lpstr>
      <vt:lpstr>Wst05_07</vt:lpstr>
      <vt:lpstr>Wst05_08</vt:lpstr>
      <vt:lpstr>Wst05_09</vt:lpstr>
      <vt:lpstr>wst05_10</vt:lpstr>
      <vt:lpstr>Wst05_11</vt:lpstr>
      <vt:lpstr>Wst05_Credits</vt:lpstr>
      <vt:lpstr>Wst05_tot</vt:lpstr>
      <vt:lpstr>Wst06_01</vt:lpstr>
      <vt:lpstr>Wst06_02</vt:lpstr>
      <vt:lpstr>Wst06_03</vt:lpstr>
      <vt:lpstr>Wst06_04</vt:lpstr>
      <vt:lpstr>Wst06_Credits</vt:lpstr>
      <vt:lpstr>Wst06_switch</vt:lpstr>
      <vt:lpstr>Wst06_tot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 Global Ltd</dc:creator>
  <cp:keywords/>
  <dc:description/>
  <cp:lastModifiedBy>Sotiria Ignatiadou</cp:lastModifiedBy>
  <cp:revision/>
  <dcterms:created xsi:type="dcterms:W3CDTF">2011-03-28T14:05:06Z</dcterms:created>
  <dcterms:modified xsi:type="dcterms:W3CDTF">2024-03-15T12:39:55Z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0x0101002C37E62BD058AD4FB1012BA1650790E7</vt:lpwstr>
  </property>
  <property fmtid="{D5CDD505-2E9C-101B-9397-08002B2CF9AE}" pid="3" name="AuthorIds_UIVersion_2048">
    <vt:lpwstr>20</vt:lpwstr>
  </property>
  <property fmtid="{D5CDD505-2E9C-101B-9397-08002B2CF9AE}" pid="4" name="MediaServiceImageTags">
    <vt:lpwstr/>
  </property>
</Properties>
</file>